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customProperty12.bin" ContentType="application/vnd.openxmlformats-officedocument.spreadsheetml.customProperty"/>
  <Override PartName="/xl/customProperty23.bin" ContentType="application/vnd.openxmlformats-officedocument.spreadsheetml.customProperty"/>
  <Override PartName="/xl/worksheets/sheet13.xml" ContentType="application/vnd.openxmlformats-officedocument.spreadsheetml.worksheet+xml"/>
  <Override PartName="/xl/styles.xml" ContentType="application/vnd.openxmlformats-officedocument.spreadsheetml.styles+xml"/>
  <Override PartName="/xl/customProperty8.bin" ContentType="application/vnd.openxmlformats-officedocument.spreadsheetml.customProperty"/>
  <Override PartName="/xl/drawings/drawing6.xml" ContentType="application/vnd.openxmlformats-officedocument.drawing+xml"/>
  <Override PartName="/xl/comments8.xml" ContentType="application/vnd.openxmlformats-officedocument.spreadsheetml.comments+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Default Extension="xml" ContentType="application/xml"/>
  <Override PartName="/xl/customProperty4.bin" ContentType="application/vnd.openxmlformats-officedocument.spreadsheetml.customProperty"/>
  <Override PartName="/xl/drawings/drawing2.xml" ContentType="application/vnd.openxmlformats-officedocument.drawing+xml"/>
  <Override PartName="/xl/comments4.xml" ContentType="application/vnd.openxmlformats-officedocument.spreadsheetml.comments+xml"/>
  <Override PartName="/xl/worksheets/sheet3.xml" ContentType="application/vnd.openxmlformats-officedocument.spreadsheetml.worksheet+xml"/>
  <Override PartName="/xl/customProperty2.bin" ContentType="application/vnd.openxmlformats-officedocument.spreadsheetml.customProperty"/>
  <Override PartName="/xl/comments2.xml" ContentType="application/vnd.openxmlformats-officedocument.spreadsheetml.comments+xml"/>
  <Override PartName="/xl/drawings/drawing13.xml" ContentType="application/vnd.openxmlformats-officedocument.drawing+xml"/>
  <Override PartName="/xl/drawings/drawing22.xml" ContentType="application/vnd.openxmlformats-officedocument.drawing+xml"/>
  <Override PartName="/xl/drawings/drawing24.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customProperty19.bin" ContentType="application/vnd.openxmlformats-officedocument.spreadsheetml.customProperty"/>
  <Override PartName="/xl/worksheets/sheet29.xml" ContentType="application/vnd.openxmlformats-officedocument.spreadsheetml.worksheet+xml"/>
  <Override PartName="/xl/sharedStrings.xml" ContentType="application/vnd.openxmlformats-officedocument.spreadsheetml.sharedStrings+xml"/>
  <Override PartName="/xl/customProperty17.bin" ContentType="application/vnd.openxmlformats-officedocument.spreadsheetml.customProperty"/>
  <Override PartName="/xl/customProperty26.bin" ContentType="application/vnd.openxmlformats-officedocument.spreadsheetml.customProperty"/>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customProperty15.bin" ContentType="application/vnd.openxmlformats-officedocument.spreadsheetml.customProperty"/>
  <Override PartName="/xl/comments10.xml" ContentType="application/vnd.openxmlformats-officedocument.spreadsheetml.comments+xml"/>
  <Override PartName="/xl/customProperty24.bin" ContentType="application/vnd.openxmlformats-officedocument.spreadsheetml.customProperty"/>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Override PartName="/xl/customProperty9.bin" ContentType="application/vnd.openxmlformats-officedocument.spreadsheetml.customProperty"/>
  <Override PartName="/xl/drawings/drawing9.xml" ContentType="application/vnd.openxmlformats-officedocument.drawing+xml"/>
  <Override PartName="/xl/customProperty13.bin" ContentType="application/vnd.openxmlformats-officedocument.spreadsheetml.customProperty"/>
  <Override PartName="/xl/customProperty22.bin" ContentType="application/vnd.openxmlformats-officedocument.spreadsheetml.customProperty"/>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customProperty7.bin" ContentType="application/vnd.openxmlformats-officedocument.spreadsheetml.customProperty"/>
  <Override PartName="/xl/drawings/drawing7.xml" ContentType="application/vnd.openxmlformats-officedocument.drawing+xml"/>
  <Override PartName="/xl/customProperty11.bin" ContentType="application/vnd.openxmlformats-officedocument.spreadsheetml.customProperty"/>
  <Override PartName="/xl/comments9.xml" ContentType="application/vnd.openxmlformats-officedocument.spreadsheetml.comments+xml"/>
  <Override PartName="/xl/customProperty20.bin" ContentType="application/vnd.openxmlformats-officedocument.spreadsheetml.customProperty"/>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jpeg" ContentType="image/jpeg"/>
  <Override PartName="/xl/customProperty5.bin" ContentType="application/vnd.openxmlformats-officedocument.spreadsheetml.customProperty"/>
  <Override PartName="/xl/drawings/drawing5.xml" ContentType="application/vnd.openxmlformats-officedocument.drawing+xml"/>
  <Override PartName="/xl/drawings/drawing18.xml" ContentType="application/vnd.openxmlformats-officedocument.drawing+xml"/>
  <Override PartName="/xl/comments7.xml" ContentType="application/vnd.openxmlformats-officedocument.spreadsheetml.comments+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ustomProperty3.bin" ContentType="application/vnd.openxmlformats-officedocument.spreadsheetml.customProperty"/>
  <Override PartName="/xl/drawings/drawing3.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charts/chart1.xml" ContentType="application/vnd.openxmlformats-officedocument.drawingml.chart+xml"/>
  <Override PartName="/xl/drawings/drawing25.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customProperty1.bin" ContentType="application/vnd.openxmlformats-officedocument.spreadsheetml.customProperty"/>
  <Override PartName="/xl/drawings/drawing1.xml" ContentType="application/vnd.openxmlformats-officedocument.drawing+xml"/>
  <Override PartName="/xl/comments3.xml" ContentType="application/vnd.openxmlformats-officedocument.spreadsheetml.comments+xml"/>
  <Override PartName="/xl/drawings/drawing14.xml" ContentType="application/vnd.openxmlformats-officedocument.drawing+xml"/>
  <Override PartName="/xl/drawings/drawing23.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12.xml" ContentType="application/vnd.openxmlformats-officedocument.drawing+xml"/>
  <Override PartName="/xl/customProperty18.bin" ContentType="application/vnd.openxmlformats-officedocument.spreadsheetml.customProperty"/>
  <Default Extension="gif" ContentType="image/gif"/>
  <Override PartName="/xl/drawings/drawing21.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drawings/drawing10.xml" ContentType="application/vnd.openxmlformats-officedocument.drawing+xml"/>
  <Override PartName="/xl/customProperty16.bin" ContentType="application/vnd.openxmlformats-officedocument.spreadsheetml.customProperty"/>
  <Override PartName="/xl/worksheets/sheet17.xml" ContentType="application/vnd.openxmlformats-officedocument.spreadsheetml.worksheet+xml"/>
  <Override PartName="/xl/worksheets/sheet26.xml" ContentType="application/vnd.openxmlformats-officedocument.spreadsheetml.worksheet+xml"/>
  <Override PartName="/xl/customProperty14.bin" ContentType="application/vnd.openxmlformats-officedocument.spreadsheetml.customProperty"/>
  <Override PartName="/xl/comments11.xml" ContentType="application/vnd.openxmlformats-officedocument.spreadsheetml.comments+xml"/>
  <Override PartName="/xl/customProperty25.bin" ContentType="application/vnd.openxmlformats-officedocument.spreadsheetml.customProperty"/>
  <Override PartName="/docProps/core.xml" ContentType="application/vnd.openxmlformats-package.core-properties+xml"/>
  <Override PartName="/xl/worksheets/sheet15.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customProperty10.bin" ContentType="application/vnd.openxmlformats-officedocument.spreadsheetml.customProperty"/>
  <Override PartName="/xl/drawings/drawing8.xml" ContentType="application/vnd.openxmlformats-officedocument.drawing+xml"/>
  <Override PartName="/xl/drawings/drawing19.xml" ContentType="application/vnd.openxmlformats-officedocument.drawing+xml"/>
  <Override PartName="/xl/customProperty21.bin" ContentType="application/vnd.openxmlformats-officedocument.spreadsheetml.customProperty"/>
  <Override PartName="/xl/worksheets/sheet11.xml" ContentType="application/vnd.openxmlformats-officedocument.spreadsheetml.worksheet+xml"/>
  <Override PartName="/xl/customProperty6.bin" ContentType="application/vnd.openxmlformats-officedocument.spreadsheetml.customProperty"/>
  <Override PartName="/xl/drawings/drawing4.xml" ContentType="application/vnd.openxmlformats-officedocument.drawing+xml"/>
  <Override PartName="/xl/comments6.xml" ContentType="application/vnd.openxmlformats-officedocument.spreadsheetml.comments+xml"/>
  <Default Extension="rels" ContentType="application/vnd.openxmlformats-package.relationships+xml"/>
  <Default Extension="wmf" ContentType="image/x-wmf"/>
  <Override PartName="/xl/worksheets/sheet5.xml" ContentType="application/vnd.openxmlformats-officedocument.spreadsheetml.worksheet+xml"/>
  <Override PartName="/xl/drawings/drawing15.xml" ContentType="application/vnd.openxmlformats-officedocument.drawin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555" yWindow="0" windowWidth="12495" windowHeight="9240" tabRatio="863"/>
  </bookViews>
  <sheets>
    <sheet name="ΠΛΟΗΓΗΣΗ" sheetId="30" r:id="rId1"/>
    <sheet name="Ταμείο" sheetId="31" r:id="rId2"/>
    <sheet name="Σύνολα" sheetId="28" r:id="rId3"/>
    <sheet name="Πετρέλαιο" sheetId="24" r:id="rId4"/>
    <sheet name="Ώρες" sheetId="23" r:id="rId5"/>
    <sheet name="ΣΤΟΙΧΕΙΑ" sheetId="13" r:id="rId6"/>
    <sheet name="Διαμερίσματα" sheetId="14" r:id="rId7"/>
    <sheet name="Θέρμανση" sheetId="7" r:id="rId8"/>
    <sheet name="Δαπάνες" sheetId="12" r:id="rId9"/>
    <sheet name="1-2" sheetId="9" r:id="rId10"/>
    <sheet name="3-4" sheetId="19" r:id="rId11"/>
    <sheet name="5-6" sheetId="20" r:id="rId12"/>
    <sheet name="7-8" sheetId="21" r:id="rId13"/>
    <sheet name="9-10" sheetId="22" r:id="rId14"/>
    <sheet name="11-12" sheetId="39" r:id="rId15"/>
    <sheet name="13-14" sheetId="47" r:id="rId16"/>
    <sheet name="15-16" sheetId="48" r:id="rId17"/>
    <sheet name="17-18" sheetId="49" r:id="rId18"/>
    <sheet name="19-20" sheetId="50" r:id="rId19"/>
    <sheet name="21-22" sheetId="51" r:id="rId20"/>
    <sheet name="Σχόλια" sheetId="26" r:id="rId21"/>
    <sheet name="Ενημέρωση" sheetId="32" r:id="rId22"/>
    <sheet name="Αναλώσιμα" sheetId="33" r:id="rId23"/>
    <sheet name="Συγκεντρωτικό" sheetId="46" r:id="rId24"/>
    <sheet name="Υπολογισμοί" sheetId="52" r:id="rId25"/>
    <sheet name="Δεξαμενή" sheetId="53" r:id="rId26"/>
    <sheet name="Μελέτη" sheetId="25" r:id="rId27"/>
    <sheet name="Απολογισμός" sheetId="35" r:id="rId28"/>
    <sheet name="Συνέλευση" sheetId="36" r:id="rId29"/>
    <sheet name="Νομοθεσία" sheetId="38" r:id="rId30"/>
    <sheet name="Πρακτικά" sheetId="27" r:id="rId31"/>
    <sheet name="Ανελκυστήρας" sheetId="34" r:id="rId32"/>
    <sheet name="Καπέλα" sheetId="37" r:id="rId33"/>
    <sheet name="Αναλυτικά" sheetId="29" r:id="rId34"/>
    <sheet name="DV-IDENTITY-0" sheetId="45" state="veryHidden" r:id="rId35"/>
    <sheet name="ΞΕΚΛΕΙΔΩΤΟ" sheetId="54" r:id="rId36"/>
  </sheets>
  <externalReferences>
    <externalReference r:id="rId37"/>
  </externalReferences>
  <definedNames>
    <definedName name="a_">#REF!</definedName>
    <definedName name="Arccos_x" localSheetId="24">Υπολογισμοί!#REF!</definedName>
    <definedName name="Arccos_x">[1]Sheet1!$A$7</definedName>
    <definedName name="cvTMP" localSheetId="24">Υπολογισμοί!#REF!</definedName>
    <definedName name="cvTMP">[1]Sheet1!$A$8</definedName>
    <definedName name="D_" localSheetId="25">#REF!</definedName>
    <definedName name="D_">#REF!</definedName>
    <definedName name="h_" localSheetId="25">#REF!</definedName>
    <definedName name="h_">#REF!</definedName>
    <definedName name="H_Cyl" localSheetId="24">Υπολογισμοί!#REF!</definedName>
    <definedName name="H_Cyl">[1]Sheet1!$D$7</definedName>
    <definedName name="H_HemiSphere" localSheetId="24">Υπολογισμοί!#REF!</definedName>
    <definedName name="H_HemiSphere">[1]Sheet1!$D$8</definedName>
    <definedName name="L_" localSheetId="25">#REF!</definedName>
    <definedName name="L_">#REF!</definedName>
    <definedName name="L_Cyl" localSheetId="24">Υπολογισμοί!#REF!</definedName>
    <definedName name="L_Cyl">[1]Sheet1!$D$6</definedName>
    <definedName name="_xlnm.Print_Titles" localSheetId="22">Αναλώσιμα!$2:$3</definedName>
    <definedName name="_xlnm.Print_Titles" localSheetId="1">Ταμείο!$7:$8</definedName>
    <definedName name="R_" localSheetId="25">#REF!</definedName>
    <definedName name="R_">#REF!</definedName>
    <definedName name="R_Cyl" localSheetId="24">Υπολογισμοί!#REF!</definedName>
    <definedName name="R_Cyl">[1]Sheet1!$D$5</definedName>
    <definedName name="Radius" localSheetId="24">Υπολογισμοί!#REF!</definedName>
    <definedName name="Radius">[1]Sheet1!$A$5</definedName>
    <definedName name="X_" localSheetId="24">Υπολογισμοί!#REF!</definedName>
    <definedName name="X_">[1]Sheet1!$A$6</definedName>
  </definedNames>
  <calcPr calcId="125725"/>
</workbook>
</file>

<file path=xl/calcChain.xml><?xml version="1.0" encoding="utf-8"?>
<calcChain xmlns="http://schemas.openxmlformats.org/spreadsheetml/2006/main">
  <c r="E9" i="7"/>
  <c r="E10"/>
  <c r="E11"/>
  <c r="E12"/>
  <c r="E13"/>
  <c r="E14"/>
  <c r="E15"/>
  <c r="E16"/>
  <c r="E17"/>
  <c r="E18"/>
  <c r="E19"/>
  <c r="E20"/>
  <c r="E21"/>
  <c r="E22"/>
  <c r="E23"/>
  <c r="E24"/>
  <c r="E25"/>
  <c r="E26"/>
  <c r="E8"/>
  <c r="T10" i="14"/>
  <c r="U10"/>
  <c r="T11"/>
  <c r="U11"/>
  <c r="T12"/>
  <c r="U12"/>
  <c r="T13"/>
  <c r="U13"/>
  <c r="T14"/>
  <c r="U14"/>
  <c r="T15"/>
  <c r="U15"/>
  <c r="T16"/>
  <c r="U16"/>
  <c r="T17"/>
  <c r="U17"/>
  <c r="T18"/>
  <c r="U18"/>
  <c r="T19"/>
  <c r="U19"/>
  <c r="T20"/>
  <c r="U20"/>
  <c r="T21"/>
  <c r="U21"/>
  <c r="T22"/>
  <c r="U22"/>
  <c r="T23"/>
  <c r="U23"/>
  <c r="T24"/>
  <c r="U24"/>
  <c r="T25"/>
  <c r="U25"/>
  <c r="T26"/>
  <c r="U26"/>
  <c r="T27"/>
  <c r="U27"/>
  <c r="U9"/>
  <c r="T9"/>
  <c r="M195" i="31" l="1"/>
  <c r="L195"/>
  <c r="G195"/>
  <c r="K195" s="1"/>
  <c r="N195" l="1"/>
  <c r="B78" i="29" l="1"/>
  <c r="C78"/>
  <c r="B79"/>
  <c r="C79"/>
  <c r="B80"/>
  <c r="C80"/>
  <c r="B81"/>
  <c r="C81"/>
  <c r="B82"/>
  <c r="C82"/>
  <c r="B83"/>
  <c r="C83"/>
  <c r="B84"/>
  <c r="C84"/>
  <c r="B85"/>
  <c r="C85"/>
  <c r="B86"/>
  <c r="C86"/>
  <c r="B87"/>
  <c r="C87"/>
  <c r="B88"/>
  <c r="C88"/>
  <c r="B33"/>
  <c r="C33"/>
  <c r="B34"/>
  <c r="C34"/>
  <c r="B35"/>
  <c r="C35"/>
  <c r="B36"/>
  <c r="C36"/>
  <c r="B37"/>
  <c r="C37"/>
  <c r="B38"/>
  <c r="C38"/>
  <c r="B39"/>
  <c r="C39"/>
  <c r="B40"/>
  <c r="C40"/>
  <c r="B41"/>
  <c r="C41"/>
  <c r="B42"/>
  <c r="C42"/>
  <c r="B43"/>
  <c r="C43"/>
  <c r="C8" i="12" l="1"/>
  <c r="D8" s="1"/>
  <c r="E8" s="1"/>
  <c r="F8" s="1"/>
  <c r="B8"/>
  <c r="D42" i="53"/>
  <c r="B42"/>
  <c r="B41"/>
  <c r="D41" s="1"/>
  <c r="C41" s="1"/>
  <c r="E41" s="1"/>
  <c r="D40"/>
  <c r="D39" s="1"/>
  <c r="C39" s="1"/>
  <c r="E39" s="1"/>
  <c r="B40"/>
  <c r="B39"/>
  <c r="D38"/>
  <c r="D37" s="1"/>
  <c r="C37" s="1"/>
  <c r="E37" s="1"/>
  <c r="B38"/>
  <c r="B37"/>
  <c r="D36"/>
  <c r="D35" s="1"/>
  <c r="C35" s="1"/>
  <c r="E35" s="1"/>
  <c r="B36"/>
  <c r="B35"/>
  <c r="D34"/>
  <c r="D33" s="1"/>
  <c r="C33" s="1"/>
  <c r="E33" s="1"/>
  <c r="B34"/>
  <c r="B33"/>
  <c r="D32"/>
  <c r="D31" s="1"/>
  <c r="C31" s="1"/>
  <c r="E31" s="1"/>
  <c r="B32"/>
  <c r="B31"/>
  <c r="D30"/>
  <c r="D29" s="1"/>
  <c r="C29" s="1"/>
  <c r="E29" s="1"/>
  <c r="B30"/>
  <c r="B29"/>
  <c r="D28"/>
  <c r="D27" s="1"/>
  <c r="C27" s="1"/>
  <c r="E27" s="1"/>
  <c r="B28"/>
  <c r="B27"/>
  <c r="D26"/>
  <c r="D25" s="1"/>
  <c r="C25" s="1"/>
  <c r="E25" s="1"/>
  <c r="B26"/>
  <c r="B25"/>
  <c r="D24"/>
  <c r="D23" s="1"/>
  <c r="C23" s="1"/>
  <c r="E23" s="1"/>
  <c r="B24"/>
  <c r="B23"/>
  <c r="D22"/>
  <c r="D21" s="1"/>
  <c r="C21" s="1"/>
  <c r="E21" s="1"/>
  <c r="B22"/>
  <c r="B21"/>
  <c r="D20"/>
  <c r="D19" s="1"/>
  <c r="C19" s="1"/>
  <c r="E19" s="1"/>
  <c r="B20"/>
  <c r="B19"/>
  <c r="D18"/>
  <c r="D17" s="1"/>
  <c r="C17" s="1"/>
  <c r="E17" s="1"/>
  <c r="B18"/>
  <c r="B17"/>
  <c r="D16"/>
  <c r="D15" s="1"/>
  <c r="C15" s="1"/>
  <c r="E15" s="1"/>
  <c r="B16"/>
  <c r="B15"/>
  <c r="D14"/>
  <c r="D13" s="1"/>
  <c r="C13" s="1"/>
  <c r="E13" s="1"/>
  <c r="B14"/>
  <c r="B13"/>
  <c r="D12"/>
  <c r="D11" s="1"/>
  <c r="C11" s="1"/>
  <c r="E11" s="1"/>
  <c r="B12"/>
  <c r="B11"/>
  <c r="D10"/>
  <c r="D9" s="1"/>
  <c r="C9" s="1"/>
  <c r="E9" s="1"/>
  <c r="B10"/>
  <c r="B9"/>
  <c r="D8"/>
  <c r="D7" s="1"/>
  <c r="C7" s="1"/>
  <c r="E7" s="1"/>
  <c r="B8"/>
  <c r="B7"/>
  <c r="D6"/>
  <c r="D5" s="1"/>
  <c r="C5" s="1"/>
  <c r="E5" s="1"/>
  <c r="B6"/>
  <c r="B5"/>
  <c r="D4"/>
  <c r="B4"/>
  <c r="D252" i="52"/>
  <c r="C252"/>
  <c r="B252"/>
  <c r="F252" s="1"/>
  <c r="A252"/>
  <c r="D251"/>
  <c r="C251"/>
  <c r="B251"/>
  <c r="F251" s="1"/>
  <c r="A251"/>
  <c r="D250"/>
  <c r="C250"/>
  <c r="B250"/>
  <c r="F250" s="1"/>
  <c r="A250"/>
  <c r="D249"/>
  <c r="C249"/>
  <c r="B249"/>
  <c r="F249" s="1"/>
  <c r="A249"/>
  <c r="D248"/>
  <c r="C248"/>
  <c r="B248"/>
  <c r="F248" s="1"/>
  <c r="A248"/>
  <c r="D247"/>
  <c r="C247"/>
  <c r="B247"/>
  <c r="F247" s="1"/>
  <c r="A247"/>
  <c r="D246"/>
  <c r="C246"/>
  <c r="B246"/>
  <c r="F246" s="1"/>
  <c r="A246"/>
  <c r="D245"/>
  <c r="C245"/>
  <c r="B245"/>
  <c r="F245" s="1"/>
  <c r="A245"/>
  <c r="D244"/>
  <c r="C244"/>
  <c r="B244"/>
  <c r="F244" s="1"/>
  <c r="A244"/>
  <c r="D243"/>
  <c r="C243"/>
  <c r="B243"/>
  <c r="F243" s="1"/>
  <c r="A243"/>
  <c r="D242"/>
  <c r="C242"/>
  <c r="B242"/>
  <c r="F242" s="1"/>
  <c r="A242"/>
  <c r="D241"/>
  <c r="C241"/>
  <c r="B241"/>
  <c r="F241" s="1"/>
  <c r="A241"/>
  <c r="D240"/>
  <c r="C240"/>
  <c r="B240"/>
  <c r="F240" s="1"/>
  <c r="A240"/>
  <c r="D239"/>
  <c r="C239"/>
  <c r="B239"/>
  <c r="F239" s="1"/>
  <c r="A239"/>
  <c r="D238"/>
  <c r="C238"/>
  <c r="B238"/>
  <c r="F238" s="1"/>
  <c r="A238"/>
  <c r="F237"/>
  <c r="D237"/>
  <c r="C237"/>
  <c r="B237"/>
  <c r="A237"/>
  <c r="D236"/>
  <c r="C236"/>
  <c r="B236"/>
  <c r="F236" s="1"/>
  <c r="A236"/>
  <c r="F235"/>
  <c r="D235"/>
  <c r="C235"/>
  <c r="B235"/>
  <c r="A235"/>
  <c r="D234"/>
  <c r="C234"/>
  <c r="B234"/>
  <c r="F234" s="1"/>
  <c r="A234"/>
  <c r="F233"/>
  <c r="D233"/>
  <c r="C233"/>
  <c r="B233"/>
  <c r="A233"/>
  <c r="D232"/>
  <c r="C232"/>
  <c r="B232"/>
  <c r="F232" s="1"/>
  <c r="A232"/>
  <c r="F231"/>
  <c r="D231"/>
  <c r="C231"/>
  <c r="B231"/>
  <c r="A231"/>
  <c r="D230"/>
  <c r="C230"/>
  <c r="B230"/>
  <c r="F230" s="1"/>
  <c r="G230" s="1"/>
  <c r="A230"/>
  <c r="F229"/>
  <c r="D229"/>
  <c r="C229"/>
  <c r="B229"/>
  <c r="A229"/>
  <c r="G228"/>
  <c r="D228"/>
  <c r="C228"/>
  <c r="H228" s="1"/>
  <c r="B228"/>
  <c r="F228" s="1"/>
  <c r="I228" s="1"/>
  <c r="A228"/>
  <c r="F227"/>
  <c r="D227"/>
  <c r="C227"/>
  <c r="B227"/>
  <c r="A227"/>
  <c r="D226"/>
  <c r="C226"/>
  <c r="B226"/>
  <c r="F226" s="1"/>
  <c r="A226"/>
  <c r="F225"/>
  <c r="D225"/>
  <c r="C225"/>
  <c r="B225"/>
  <c r="A225"/>
  <c r="G224"/>
  <c r="D224"/>
  <c r="C224"/>
  <c r="H224" s="1"/>
  <c r="B224"/>
  <c r="F224" s="1"/>
  <c r="I224" s="1"/>
  <c r="A224"/>
  <c r="F223"/>
  <c r="D223"/>
  <c r="C223"/>
  <c r="B223"/>
  <c r="A223"/>
  <c r="D222"/>
  <c r="C222"/>
  <c r="B222"/>
  <c r="F222" s="1"/>
  <c r="A222"/>
  <c r="F221"/>
  <c r="D221"/>
  <c r="C221"/>
  <c r="B221"/>
  <c r="A221"/>
  <c r="G220"/>
  <c r="D220"/>
  <c r="C220"/>
  <c r="H220" s="1"/>
  <c r="B220"/>
  <c r="F220" s="1"/>
  <c r="I220" s="1"/>
  <c r="A220"/>
  <c r="F219"/>
  <c r="D219"/>
  <c r="C219"/>
  <c r="B219"/>
  <c r="A219"/>
  <c r="D218"/>
  <c r="C218"/>
  <c r="B218"/>
  <c r="F218" s="1"/>
  <c r="A218"/>
  <c r="F217"/>
  <c r="D217"/>
  <c r="C217"/>
  <c r="B217"/>
  <c r="A217"/>
  <c r="G216"/>
  <c r="D216"/>
  <c r="C216"/>
  <c r="H216" s="1"/>
  <c r="B216"/>
  <c r="F216" s="1"/>
  <c r="I216" s="1"/>
  <c r="A216"/>
  <c r="F215"/>
  <c r="D215"/>
  <c r="C215"/>
  <c r="B215"/>
  <c r="A215"/>
  <c r="D214"/>
  <c r="C214"/>
  <c r="B214"/>
  <c r="F214" s="1"/>
  <c r="A214"/>
  <c r="F213"/>
  <c r="D213"/>
  <c r="C213"/>
  <c r="B213"/>
  <c r="A213"/>
  <c r="G212"/>
  <c r="D212"/>
  <c r="C212"/>
  <c r="H212" s="1"/>
  <c r="B212"/>
  <c r="F212" s="1"/>
  <c r="I212" s="1"/>
  <c r="A212"/>
  <c r="F211"/>
  <c r="D211"/>
  <c r="C211"/>
  <c r="B211"/>
  <c r="A211"/>
  <c r="D210"/>
  <c r="C210"/>
  <c r="B210"/>
  <c r="F210" s="1"/>
  <c r="A210"/>
  <c r="F209"/>
  <c r="D209"/>
  <c r="C209"/>
  <c r="B209"/>
  <c r="A209"/>
  <c r="G208"/>
  <c r="D208"/>
  <c r="C208"/>
  <c r="H208" s="1"/>
  <c r="B208"/>
  <c r="F208" s="1"/>
  <c r="I208" s="1"/>
  <c r="A208"/>
  <c r="F207"/>
  <c r="D207"/>
  <c r="C207"/>
  <c r="B207"/>
  <c r="A207"/>
  <c r="D206"/>
  <c r="C206"/>
  <c r="B206"/>
  <c r="F206" s="1"/>
  <c r="A206"/>
  <c r="F205"/>
  <c r="D205"/>
  <c r="C205"/>
  <c r="B205"/>
  <c r="A205"/>
  <c r="G204"/>
  <c r="D204"/>
  <c r="C204"/>
  <c r="H204" s="1"/>
  <c r="B204"/>
  <c r="F204" s="1"/>
  <c r="I204" s="1"/>
  <c r="A204"/>
  <c r="F203"/>
  <c r="D203"/>
  <c r="C203"/>
  <c r="B203"/>
  <c r="A203"/>
  <c r="D202"/>
  <c r="C202"/>
  <c r="B202"/>
  <c r="F202" s="1"/>
  <c r="A202"/>
  <c r="F201"/>
  <c r="D201"/>
  <c r="C201"/>
  <c r="B201"/>
  <c r="A201"/>
  <c r="G200"/>
  <c r="D200"/>
  <c r="C200"/>
  <c r="H200" s="1"/>
  <c r="B200"/>
  <c r="F200" s="1"/>
  <c r="I200" s="1"/>
  <c r="A200"/>
  <c r="F199"/>
  <c r="D199"/>
  <c r="C199"/>
  <c r="B199"/>
  <c r="A199"/>
  <c r="D198"/>
  <c r="C198"/>
  <c r="B198"/>
  <c r="F198" s="1"/>
  <c r="A198"/>
  <c r="F197"/>
  <c r="D197"/>
  <c r="C197"/>
  <c r="B197"/>
  <c r="A197"/>
  <c r="G196"/>
  <c r="D196"/>
  <c r="C196"/>
  <c r="H196" s="1"/>
  <c r="B196"/>
  <c r="F196" s="1"/>
  <c r="I196" s="1"/>
  <c r="A196"/>
  <c r="F195"/>
  <c r="D195"/>
  <c r="C195"/>
  <c r="B195"/>
  <c r="A195"/>
  <c r="D194"/>
  <c r="C194"/>
  <c r="B194"/>
  <c r="F194" s="1"/>
  <c r="A194"/>
  <c r="F193"/>
  <c r="D193"/>
  <c r="C193"/>
  <c r="B193"/>
  <c r="A193"/>
  <c r="G192"/>
  <c r="D192"/>
  <c r="C192"/>
  <c r="H192" s="1"/>
  <c r="B192"/>
  <c r="F192" s="1"/>
  <c r="I192" s="1"/>
  <c r="A192"/>
  <c r="F191"/>
  <c r="D191"/>
  <c r="C191"/>
  <c r="B191"/>
  <c r="A191"/>
  <c r="D190"/>
  <c r="C190"/>
  <c r="B190"/>
  <c r="F190" s="1"/>
  <c r="A190"/>
  <c r="F189"/>
  <c r="D189"/>
  <c r="C189"/>
  <c r="B189"/>
  <c r="A189"/>
  <c r="G188"/>
  <c r="D188"/>
  <c r="C188"/>
  <c r="H188" s="1"/>
  <c r="B188"/>
  <c r="F188" s="1"/>
  <c r="I188" s="1"/>
  <c r="A188"/>
  <c r="F187"/>
  <c r="D187"/>
  <c r="C187"/>
  <c r="B187"/>
  <c r="A187"/>
  <c r="D186"/>
  <c r="C186"/>
  <c r="B186"/>
  <c r="F186" s="1"/>
  <c r="A186"/>
  <c r="F185"/>
  <c r="D185"/>
  <c r="C185"/>
  <c r="B185"/>
  <c r="A185"/>
  <c r="G184"/>
  <c r="D184"/>
  <c r="C184"/>
  <c r="H184" s="1"/>
  <c r="B184"/>
  <c r="F184" s="1"/>
  <c r="I184" s="1"/>
  <c r="A184"/>
  <c r="F183"/>
  <c r="D183"/>
  <c r="C183"/>
  <c r="B183"/>
  <c r="A183"/>
  <c r="D182"/>
  <c r="C182"/>
  <c r="B182"/>
  <c r="F182" s="1"/>
  <c r="A182"/>
  <c r="F181"/>
  <c r="D181"/>
  <c r="C181"/>
  <c r="B181"/>
  <c r="A181"/>
  <c r="D180"/>
  <c r="C180"/>
  <c r="B180"/>
  <c r="F180" s="1"/>
  <c r="A180"/>
  <c r="D179"/>
  <c r="C179"/>
  <c r="B179"/>
  <c r="F179" s="1"/>
  <c r="A179"/>
  <c r="F178"/>
  <c r="D178"/>
  <c r="C178"/>
  <c r="B178"/>
  <c r="A178"/>
  <c r="D177"/>
  <c r="C177"/>
  <c r="B177"/>
  <c r="F177" s="1"/>
  <c r="A177"/>
  <c r="F176"/>
  <c r="D176"/>
  <c r="C176"/>
  <c r="B176"/>
  <c r="A176"/>
  <c r="D175"/>
  <c r="C175"/>
  <c r="B175"/>
  <c r="F175" s="1"/>
  <c r="A175"/>
  <c r="F174"/>
  <c r="D174"/>
  <c r="C174"/>
  <c r="B174"/>
  <c r="A174"/>
  <c r="D173"/>
  <c r="C173"/>
  <c r="B173"/>
  <c r="F173" s="1"/>
  <c r="A173"/>
  <c r="F172"/>
  <c r="D172"/>
  <c r="C172"/>
  <c r="B172"/>
  <c r="A172"/>
  <c r="D171"/>
  <c r="C171"/>
  <c r="B171"/>
  <c r="F171" s="1"/>
  <c r="A171"/>
  <c r="F170"/>
  <c r="D170"/>
  <c r="C170"/>
  <c r="B170"/>
  <c r="A170"/>
  <c r="D169"/>
  <c r="C169"/>
  <c r="B169"/>
  <c r="F169" s="1"/>
  <c r="A169"/>
  <c r="F168"/>
  <c r="D168"/>
  <c r="C168"/>
  <c r="B168"/>
  <c r="A168"/>
  <c r="D167"/>
  <c r="C167"/>
  <c r="B167"/>
  <c r="F167" s="1"/>
  <c r="A167"/>
  <c r="F166"/>
  <c r="D166"/>
  <c r="C166"/>
  <c r="B166"/>
  <c r="A166"/>
  <c r="D165"/>
  <c r="C165"/>
  <c r="B165"/>
  <c r="F165" s="1"/>
  <c r="A165"/>
  <c r="F164"/>
  <c r="D164"/>
  <c r="C164"/>
  <c r="B164"/>
  <c r="A164"/>
  <c r="D163"/>
  <c r="C163"/>
  <c r="B163"/>
  <c r="F163" s="1"/>
  <c r="A163"/>
  <c r="F162"/>
  <c r="D162"/>
  <c r="C162"/>
  <c r="B162"/>
  <c r="A162"/>
  <c r="D161"/>
  <c r="C161"/>
  <c r="B161"/>
  <c r="F161" s="1"/>
  <c r="A161"/>
  <c r="F160"/>
  <c r="D160"/>
  <c r="C160"/>
  <c r="B160"/>
  <c r="A160"/>
  <c r="D159"/>
  <c r="C159"/>
  <c r="B159"/>
  <c r="F159" s="1"/>
  <c r="A159"/>
  <c r="F158"/>
  <c r="D158"/>
  <c r="C158"/>
  <c r="B158"/>
  <c r="A158"/>
  <c r="D157"/>
  <c r="C157"/>
  <c r="B157"/>
  <c r="F157" s="1"/>
  <c r="A157"/>
  <c r="F156"/>
  <c r="D156"/>
  <c r="C156"/>
  <c r="B156"/>
  <c r="A156"/>
  <c r="D155"/>
  <c r="C155"/>
  <c r="B155"/>
  <c r="F155" s="1"/>
  <c r="A155"/>
  <c r="F154"/>
  <c r="D154"/>
  <c r="C154"/>
  <c r="B154"/>
  <c r="A154"/>
  <c r="D153"/>
  <c r="C153"/>
  <c r="B153"/>
  <c r="F153" s="1"/>
  <c r="A153"/>
  <c r="F152"/>
  <c r="D152"/>
  <c r="C152"/>
  <c r="B152"/>
  <c r="A152"/>
  <c r="D151"/>
  <c r="C151"/>
  <c r="B151"/>
  <c r="F151" s="1"/>
  <c r="A151"/>
  <c r="F150"/>
  <c r="D150"/>
  <c r="C150"/>
  <c r="B150"/>
  <c r="A150"/>
  <c r="D149"/>
  <c r="C149"/>
  <c r="B149"/>
  <c r="F149" s="1"/>
  <c r="A149"/>
  <c r="F148"/>
  <c r="D148"/>
  <c r="C148"/>
  <c r="B148"/>
  <c r="A148"/>
  <c r="D147"/>
  <c r="C147"/>
  <c r="B147"/>
  <c r="F147" s="1"/>
  <c r="A147"/>
  <c r="F146"/>
  <c r="D146"/>
  <c r="C146"/>
  <c r="B146"/>
  <c r="A146"/>
  <c r="D145"/>
  <c r="C145"/>
  <c r="B145"/>
  <c r="F145" s="1"/>
  <c r="A145"/>
  <c r="F144"/>
  <c r="D144"/>
  <c r="C144"/>
  <c r="B144"/>
  <c r="A144"/>
  <c r="D143"/>
  <c r="C143"/>
  <c r="B143"/>
  <c r="F143" s="1"/>
  <c r="A143"/>
  <c r="F142"/>
  <c r="D142"/>
  <c r="C142"/>
  <c r="B142"/>
  <c r="A142"/>
  <c r="D141"/>
  <c r="C141"/>
  <c r="B141"/>
  <c r="F141" s="1"/>
  <c r="A141"/>
  <c r="F140"/>
  <c r="D140"/>
  <c r="C140"/>
  <c r="B140"/>
  <c r="A140"/>
  <c r="D139"/>
  <c r="C139"/>
  <c r="B139"/>
  <c r="F139" s="1"/>
  <c r="A139"/>
  <c r="F138"/>
  <c r="D138"/>
  <c r="C138"/>
  <c r="B138"/>
  <c r="A138"/>
  <c r="D137"/>
  <c r="C137"/>
  <c r="B137"/>
  <c r="F137" s="1"/>
  <c r="A137"/>
  <c r="F136"/>
  <c r="D136"/>
  <c r="C136"/>
  <c r="B136"/>
  <c r="A136"/>
  <c r="D135"/>
  <c r="C135"/>
  <c r="B135"/>
  <c r="F135" s="1"/>
  <c r="A135"/>
  <c r="F134"/>
  <c r="D134"/>
  <c r="C134"/>
  <c r="B134"/>
  <c r="A134"/>
  <c r="D133"/>
  <c r="C133"/>
  <c r="B133"/>
  <c r="F133" s="1"/>
  <c r="A133"/>
  <c r="F132"/>
  <c r="D132"/>
  <c r="C132"/>
  <c r="B132"/>
  <c r="A132"/>
  <c r="D131"/>
  <c r="C131"/>
  <c r="B131"/>
  <c r="F131" s="1"/>
  <c r="A131"/>
  <c r="F130"/>
  <c r="D130"/>
  <c r="C130"/>
  <c r="B130"/>
  <c r="A130"/>
  <c r="D129"/>
  <c r="C129"/>
  <c r="B129"/>
  <c r="F129" s="1"/>
  <c r="A129"/>
  <c r="F128"/>
  <c r="D128"/>
  <c r="C128"/>
  <c r="B128"/>
  <c r="A128"/>
  <c r="D127"/>
  <c r="C127"/>
  <c r="B127"/>
  <c r="F127" s="1"/>
  <c r="A127"/>
  <c r="F126"/>
  <c r="D126"/>
  <c r="C126"/>
  <c r="B126"/>
  <c r="A126"/>
  <c r="D125"/>
  <c r="C125"/>
  <c r="B125"/>
  <c r="F125" s="1"/>
  <c r="A125"/>
  <c r="F124"/>
  <c r="D124"/>
  <c r="C124"/>
  <c r="B124"/>
  <c r="A124"/>
  <c r="G123"/>
  <c r="D123"/>
  <c r="C123"/>
  <c r="H123" s="1"/>
  <c r="B123"/>
  <c r="F123" s="1"/>
  <c r="I123" s="1"/>
  <c r="A123"/>
  <c r="F122"/>
  <c r="D122"/>
  <c r="C122"/>
  <c r="B122"/>
  <c r="A122"/>
  <c r="D121"/>
  <c r="C121"/>
  <c r="B121"/>
  <c r="F121" s="1"/>
  <c r="A121"/>
  <c r="F120"/>
  <c r="D120"/>
  <c r="C120"/>
  <c r="B120"/>
  <c r="A120"/>
  <c r="G119"/>
  <c r="D119"/>
  <c r="C119"/>
  <c r="H119" s="1"/>
  <c r="B119"/>
  <c r="F119" s="1"/>
  <c r="I119" s="1"/>
  <c r="A119"/>
  <c r="F118"/>
  <c r="D118"/>
  <c r="C118"/>
  <c r="B118"/>
  <c r="A118"/>
  <c r="D117"/>
  <c r="C117"/>
  <c r="B117"/>
  <c r="F117" s="1"/>
  <c r="A117"/>
  <c r="F116"/>
  <c r="D116"/>
  <c r="C116"/>
  <c r="B116"/>
  <c r="A116"/>
  <c r="G115"/>
  <c r="D115"/>
  <c r="C115"/>
  <c r="H115" s="1"/>
  <c r="B115"/>
  <c r="F115" s="1"/>
  <c r="I115" s="1"/>
  <c r="A115"/>
  <c r="F114"/>
  <c r="D114"/>
  <c r="C114"/>
  <c r="B114"/>
  <c r="A114"/>
  <c r="D113"/>
  <c r="C113"/>
  <c r="B113"/>
  <c r="F113" s="1"/>
  <c r="A113"/>
  <c r="F112"/>
  <c r="D112"/>
  <c r="C112"/>
  <c r="B112"/>
  <c r="A112"/>
  <c r="G111"/>
  <c r="D111"/>
  <c r="C111"/>
  <c r="H111" s="1"/>
  <c r="B111"/>
  <c r="F111" s="1"/>
  <c r="I111" s="1"/>
  <c r="A111"/>
  <c r="F110"/>
  <c r="D110"/>
  <c r="C110"/>
  <c r="B110"/>
  <c r="A110"/>
  <c r="D109"/>
  <c r="C109"/>
  <c r="B109"/>
  <c r="F109" s="1"/>
  <c r="A109"/>
  <c r="F108"/>
  <c r="D108"/>
  <c r="C108"/>
  <c r="B108"/>
  <c r="A108"/>
  <c r="G107"/>
  <c r="D107"/>
  <c r="C107"/>
  <c r="H107" s="1"/>
  <c r="B107"/>
  <c r="F107" s="1"/>
  <c r="I107" s="1"/>
  <c r="A107"/>
  <c r="F106"/>
  <c r="D106"/>
  <c r="C106"/>
  <c r="B106"/>
  <c r="A106"/>
  <c r="D105"/>
  <c r="C105"/>
  <c r="B105"/>
  <c r="F105" s="1"/>
  <c r="A105"/>
  <c r="F104"/>
  <c r="D104"/>
  <c r="C104"/>
  <c r="B104"/>
  <c r="A104"/>
  <c r="G103"/>
  <c r="D103"/>
  <c r="C103"/>
  <c r="H103" s="1"/>
  <c r="B103"/>
  <c r="F103" s="1"/>
  <c r="I103" s="1"/>
  <c r="A103"/>
  <c r="F102"/>
  <c r="D102"/>
  <c r="C102"/>
  <c r="B102"/>
  <c r="A102"/>
  <c r="D101"/>
  <c r="C101"/>
  <c r="B101"/>
  <c r="F101" s="1"/>
  <c r="A101"/>
  <c r="F100"/>
  <c r="D100"/>
  <c r="C100"/>
  <c r="B100"/>
  <c r="A100"/>
  <c r="G99"/>
  <c r="D99"/>
  <c r="C99"/>
  <c r="H99" s="1"/>
  <c r="B99"/>
  <c r="F99" s="1"/>
  <c r="I99" s="1"/>
  <c r="A99"/>
  <c r="F98"/>
  <c r="D98"/>
  <c r="C98"/>
  <c r="B98"/>
  <c r="A98"/>
  <c r="D97"/>
  <c r="C97"/>
  <c r="B97"/>
  <c r="F97" s="1"/>
  <c r="A97"/>
  <c r="F96"/>
  <c r="D96"/>
  <c r="C96"/>
  <c r="B96"/>
  <c r="A96"/>
  <c r="G95"/>
  <c r="D95"/>
  <c r="C95"/>
  <c r="H95" s="1"/>
  <c r="B95"/>
  <c r="F95" s="1"/>
  <c r="I95" s="1"/>
  <c r="A95"/>
  <c r="F94"/>
  <c r="D94"/>
  <c r="C94"/>
  <c r="B94"/>
  <c r="A94"/>
  <c r="D93"/>
  <c r="C93"/>
  <c r="B93"/>
  <c r="F93" s="1"/>
  <c r="A93"/>
  <c r="F92"/>
  <c r="D92"/>
  <c r="C92"/>
  <c r="B92"/>
  <c r="A92"/>
  <c r="G91"/>
  <c r="D91"/>
  <c r="C91"/>
  <c r="H91" s="1"/>
  <c r="B91"/>
  <c r="F91" s="1"/>
  <c r="I91" s="1"/>
  <c r="A91"/>
  <c r="F90"/>
  <c r="D90"/>
  <c r="C90"/>
  <c r="B90"/>
  <c r="A90"/>
  <c r="D89"/>
  <c r="C89"/>
  <c r="B89"/>
  <c r="F89" s="1"/>
  <c r="A89"/>
  <c r="F88"/>
  <c r="D88"/>
  <c r="C88"/>
  <c r="B88"/>
  <c r="A88"/>
  <c r="G87"/>
  <c r="D87"/>
  <c r="C87"/>
  <c r="H87" s="1"/>
  <c r="B87"/>
  <c r="F87" s="1"/>
  <c r="I87" s="1"/>
  <c r="A87"/>
  <c r="F86"/>
  <c r="D86"/>
  <c r="C86"/>
  <c r="B86"/>
  <c r="A86"/>
  <c r="D85"/>
  <c r="C85"/>
  <c r="B85"/>
  <c r="F85" s="1"/>
  <c r="A85"/>
  <c r="F84"/>
  <c r="D84"/>
  <c r="C84"/>
  <c r="B84"/>
  <c r="A84"/>
  <c r="G83"/>
  <c r="D83"/>
  <c r="C83"/>
  <c r="H83" s="1"/>
  <c r="B83"/>
  <c r="F83" s="1"/>
  <c r="I83" s="1"/>
  <c r="A83"/>
  <c r="F82"/>
  <c r="D82"/>
  <c r="C82"/>
  <c r="B82"/>
  <c r="A82"/>
  <c r="D81"/>
  <c r="C81"/>
  <c r="B81"/>
  <c r="F81" s="1"/>
  <c r="A81"/>
  <c r="F80"/>
  <c r="D80"/>
  <c r="C80"/>
  <c r="B80"/>
  <c r="A80"/>
  <c r="G79"/>
  <c r="D79"/>
  <c r="C79"/>
  <c r="H79" s="1"/>
  <c r="B79"/>
  <c r="F79" s="1"/>
  <c r="I79" s="1"/>
  <c r="A79"/>
  <c r="F78"/>
  <c r="D78"/>
  <c r="C78"/>
  <c r="B78"/>
  <c r="A78"/>
  <c r="D77"/>
  <c r="C77"/>
  <c r="B77"/>
  <c r="F77" s="1"/>
  <c r="A77"/>
  <c r="F76"/>
  <c r="D76"/>
  <c r="C76"/>
  <c r="B76"/>
  <c r="A76"/>
  <c r="G75"/>
  <c r="D75"/>
  <c r="C75"/>
  <c r="H75" s="1"/>
  <c r="B75"/>
  <c r="F75" s="1"/>
  <c r="I75" s="1"/>
  <c r="A75"/>
  <c r="D74"/>
  <c r="C74"/>
  <c r="B74"/>
  <c r="F74" s="1"/>
  <c r="A74"/>
  <c r="F73"/>
  <c r="D73"/>
  <c r="C73"/>
  <c r="B73"/>
  <c r="A73"/>
  <c r="D72"/>
  <c r="C72"/>
  <c r="B72"/>
  <c r="F72" s="1"/>
  <c r="A72"/>
  <c r="F71"/>
  <c r="D71"/>
  <c r="C71"/>
  <c r="B71"/>
  <c r="A71"/>
  <c r="D70"/>
  <c r="C70"/>
  <c r="B70"/>
  <c r="F70" s="1"/>
  <c r="A70"/>
  <c r="F69"/>
  <c r="D69"/>
  <c r="C69"/>
  <c r="B69"/>
  <c r="A69"/>
  <c r="D68"/>
  <c r="C68"/>
  <c r="B68"/>
  <c r="F68" s="1"/>
  <c r="A68"/>
  <c r="F67"/>
  <c r="D67"/>
  <c r="C67"/>
  <c r="B67"/>
  <c r="A67"/>
  <c r="D66"/>
  <c r="C66"/>
  <c r="B66"/>
  <c r="F66" s="1"/>
  <c r="A66"/>
  <c r="F65"/>
  <c r="D65"/>
  <c r="C65"/>
  <c r="B65"/>
  <c r="A65"/>
  <c r="D64"/>
  <c r="C64"/>
  <c r="B64"/>
  <c r="F64" s="1"/>
  <c r="A64"/>
  <c r="F63"/>
  <c r="D63"/>
  <c r="C63"/>
  <c r="B63"/>
  <c r="A63"/>
  <c r="D62"/>
  <c r="C62"/>
  <c r="B62"/>
  <c r="F62" s="1"/>
  <c r="A62"/>
  <c r="F61"/>
  <c r="D61"/>
  <c r="C61"/>
  <c r="B61"/>
  <c r="A61"/>
  <c r="D60"/>
  <c r="C60"/>
  <c r="B60"/>
  <c r="F60" s="1"/>
  <c r="A60"/>
  <c r="F59"/>
  <c r="D59"/>
  <c r="C59"/>
  <c r="B59"/>
  <c r="A59"/>
  <c r="D58"/>
  <c r="C58"/>
  <c r="B58"/>
  <c r="F58" s="1"/>
  <c r="A58"/>
  <c r="F57"/>
  <c r="D57"/>
  <c r="C57"/>
  <c r="B57"/>
  <c r="A57"/>
  <c r="D56"/>
  <c r="C56"/>
  <c r="B56"/>
  <c r="F56" s="1"/>
  <c r="A56"/>
  <c r="F55"/>
  <c r="D55"/>
  <c r="C55"/>
  <c r="B55"/>
  <c r="A55"/>
  <c r="D54"/>
  <c r="C54"/>
  <c r="B54"/>
  <c r="F54" s="1"/>
  <c r="A54"/>
  <c r="F53"/>
  <c r="D53"/>
  <c r="C53"/>
  <c r="B53"/>
  <c r="A53"/>
  <c r="D52"/>
  <c r="C52"/>
  <c r="B52"/>
  <c r="F52" s="1"/>
  <c r="A52"/>
  <c r="F51"/>
  <c r="D51"/>
  <c r="C51"/>
  <c r="B51"/>
  <c r="A51"/>
  <c r="D50"/>
  <c r="C50"/>
  <c r="B50"/>
  <c r="F50" s="1"/>
  <c r="A50"/>
  <c r="F49"/>
  <c r="D49"/>
  <c r="C49"/>
  <c r="B49"/>
  <c r="A49"/>
  <c r="D48"/>
  <c r="C48"/>
  <c r="B48"/>
  <c r="F48" s="1"/>
  <c r="A48"/>
  <c r="F47"/>
  <c r="D47"/>
  <c r="C47"/>
  <c r="B47"/>
  <c r="A47"/>
  <c r="D46"/>
  <c r="C46"/>
  <c r="B46"/>
  <c r="F46" s="1"/>
  <c r="A46"/>
  <c r="U45"/>
  <c r="S45"/>
  <c r="Q45"/>
  <c r="P45"/>
  <c r="O45"/>
  <c r="D45"/>
  <c r="C45"/>
  <c r="B45"/>
  <c r="F45" s="1"/>
  <c r="A45"/>
  <c r="U44"/>
  <c r="S44"/>
  <c r="Q44"/>
  <c r="P44"/>
  <c r="O44"/>
  <c r="D44"/>
  <c r="C44"/>
  <c r="B44"/>
  <c r="F44" s="1"/>
  <c r="A44"/>
  <c r="U43"/>
  <c r="S43"/>
  <c r="Q43"/>
  <c r="P43"/>
  <c r="O43"/>
  <c r="D43"/>
  <c r="C43"/>
  <c r="B43"/>
  <c r="F43" s="1"/>
  <c r="A43"/>
  <c r="U42"/>
  <c r="S42"/>
  <c r="Q42"/>
  <c r="P42"/>
  <c r="O42"/>
  <c r="D42"/>
  <c r="C42"/>
  <c r="B42"/>
  <c r="F42" s="1"/>
  <c r="A42"/>
  <c r="U41"/>
  <c r="S41"/>
  <c r="Q41"/>
  <c r="P41"/>
  <c r="O41"/>
  <c r="D41"/>
  <c r="C41"/>
  <c r="B41"/>
  <c r="F41" s="1"/>
  <c r="A41"/>
  <c r="U40"/>
  <c r="S40"/>
  <c r="Q40"/>
  <c r="P40"/>
  <c r="O40"/>
  <c r="D40"/>
  <c r="C40"/>
  <c r="B40"/>
  <c r="F40" s="1"/>
  <c r="A40"/>
  <c r="U39"/>
  <c r="S39"/>
  <c r="Q39"/>
  <c r="P39"/>
  <c r="O39"/>
  <c r="D39"/>
  <c r="C39"/>
  <c r="B39"/>
  <c r="F39" s="1"/>
  <c r="A39"/>
  <c r="U38"/>
  <c r="S38"/>
  <c r="Q38"/>
  <c r="P38"/>
  <c r="O38"/>
  <c r="D38"/>
  <c r="C38"/>
  <c r="B38"/>
  <c r="F38" s="1"/>
  <c r="A38"/>
  <c r="U37"/>
  <c r="S37"/>
  <c r="Q37"/>
  <c r="P37"/>
  <c r="O37"/>
  <c r="D37"/>
  <c r="C37"/>
  <c r="B37"/>
  <c r="F37" s="1"/>
  <c r="A37"/>
  <c r="U36"/>
  <c r="S36"/>
  <c r="Q36"/>
  <c r="P36"/>
  <c r="O36"/>
  <c r="D36"/>
  <c r="C36"/>
  <c r="B36"/>
  <c r="F36" s="1"/>
  <c r="A36"/>
  <c r="U35"/>
  <c r="S35"/>
  <c r="Q35"/>
  <c r="P35"/>
  <c r="O35"/>
  <c r="D35"/>
  <c r="C35"/>
  <c r="B35"/>
  <c r="F35" s="1"/>
  <c r="A35"/>
  <c r="U34"/>
  <c r="S34"/>
  <c r="Q34"/>
  <c r="P34"/>
  <c r="O34"/>
  <c r="D34"/>
  <c r="C34"/>
  <c r="B34"/>
  <c r="F34" s="1"/>
  <c r="A34"/>
  <c r="U33"/>
  <c r="S33"/>
  <c r="Q33"/>
  <c r="P33"/>
  <c r="O33"/>
  <c r="D33"/>
  <c r="C33"/>
  <c r="B33"/>
  <c r="F33" s="1"/>
  <c r="A33"/>
  <c r="U32"/>
  <c r="S32"/>
  <c r="Q32"/>
  <c r="P32"/>
  <c r="O32"/>
  <c r="D32"/>
  <c r="C32"/>
  <c r="B32"/>
  <c r="F32" s="1"/>
  <c r="A32"/>
  <c r="U31"/>
  <c r="S31"/>
  <c r="Q31"/>
  <c r="P31"/>
  <c r="O31"/>
  <c r="D31"/>
  <c r="C31"/>
  <c r="B31"/>
  <c r="F31" s="1"/>
  <c r="A31"/>
  <c r="U30"/>
  <c r="S30"/>
  <c r="Q30"/>
  <c r="P30"/>
  <c r="O30"/>
  <c r="D30"/>
  <c r="C30"/>
  <c r="B30"/>
  <c r="F30" s="1"/>
  <c r="A30"/>
  <c r="U29"/>
  <c r="S29"/>
  <c r="Q29"/>
  <c r="P29"/>
  <c r="O29"/>
  <c r="D29"/>
  <c r="C29"/>
  <c r="B29"/>
  <c r="F29" s="1"/>
  <c r="A29"/>
  <c r="U28"/>
  <c r="S28"/>
  <c r="Q28"/>
  <c r="P28"/>
  <c r="O28"/>
  <c r="D28"/>
  <c r="C28"/>
  <c r="B28"/>
  <c r="F28" s="1"/>
  <c r="A28"/>
  <c r="U27"/>
  <c r="S27"/>
  <c r="Q27"/>
  <c r="P27"/>
  <c r="O27"/>
  <c r="D27"/>
  <c r="C27"/>
  <c r="B27"/>
  <c r="F27" s="1"/>
  <c r="A27"/>
  <c r="U26"/>
  <c r="S26"/>
  <c r="Q26"/>
  <c r="P26"/>
  <c r="O26"/>
  <c r="D26"/>
  <c r="C26"/>
  <c r="B26"/>
  <c r="F26" s="1"/>
  <c r="A26"/>
  <c r="U25"/>
  <c r="S25"/>
  <c r="Q25"/>
  <c r="P25"/>
  <c r="O25"/>
  <c r="D25"/>
  <c r="C25"/>
  <c r="B25"/>
  <c r="F25" s="1"/>
  <c r="A25"/>
  <c r="U24"/>
  <c r="S24"/>
  <c r="Q24"/>
  <c r="P24"/>
  <c r="O24"/>
  <c r="D24"/>
  <c r="C24"/>
  <c r="B24"/>
  <c r="F24" s="1"/>
  <c r="A24"/>
  <c r="U23"/>
  <c r="S23"/>
  <c r="Q23"/>
  <c r="P23"/>
  <c r="O23"/>
  <c r="D23"/>
  <c r="C23"/>
  <c r="B23"/>
  <c r="F23" s="1"/>
  <c r="A23"/>
  <c r="U22"/>
  <c r="S22"/>
  <c r="Q22"/>
  <c r="P22"/>
  <c r="O22"/>
  <c r="D22"/>
  <c r="C22"/>
  <c r="B22"/>
  <c r="F22" s="1"/>
  <c r="A22"/>
  <c r="U21"/>
  <c r="S21"/>
  <c r="Q21"/>
  <c r="P21"/>
  <c r="O21"/>
  <c r="D21"/>
  <c r="C21"/>
  <c r="B21"/>
  <c r="F21" s="1"/>
  <c r="A21"/>
  <c r="U20"/>
  <c r="S20"/>
  <c r="Q20"/>
  <c r="P20"/>
  <c r="O20"/>
  <c r="D20"/>
  <c r="C20"/>
  <c r="B20"/>
  <c r="F20" s="1"/>
  <c r="A20"/>
  <c r="U19"/>
  <c r="S19"/>
  <c r="Q19"/>
  <c r="P19"/>
  <c r="O19"/>
  <c r="D19"/>
  <c r="C19"/>
  <c r="B19"/>
  <c r="F19" s="1"/>
  <c r="A19"/>
  <c r="U18"/>
  <c r="S18"/>
  <c r="Q18"/>
  <c r="P18"/>
  <c r="O18"/>
  <c r="D18"/>
  <c r="C18"/>
  <c r="B18"/>
  <c r="F18" s="1"/>
  <c r="A18"/>
  <c r="U17"/>
  <c r="S17"/>
  <c r="Q17"/>
  <c r="P17"/>
  <c r="O17"/>
  <c r="D17"/>
  <c r="C17"/>
  <c r="B17"/>
  <c r="F17" s="1"/>
  <c r="A17"/>
  <c r="U16"/>
  <c r="S16"/>
  <c r="Q16"/>
  <c r="P16"/>
  <c r="O16"/>
  <c r="D16"/>
  <c r="C16"/>
  <c r="B16"/>
  <c r="F16" s="1"/>
  <c r="A16"/>
  <c r="U15"/>
  <c r="S15"/>
  <c r="Q15"/>
  <c r="P15"/>
  <c r="O15"/>
  <c r="D15"/>
  <c r="C15"/>
  <c r="B15"/>
  <c r="F15" s="1"/>
  <c r="A15"/>
  <c r="U14"/>
  <c r="S14"/>
  <c r="Q14"/>
  <c r="P14"/>
  <c r="O14"/>
  <c r="D14"/>
  <c r="C14"/>
  <c r="B14"/>
  <c r="F14" s="1"/>
  <c r="A14"/>
  <c r="U13"/>
  <c r="S13"/>
  <c r="Q13"/>
  <c r="P13"/>
  <c r="O13"/>
  <c r="D13"/>
  <c r="C13"/>
  <c r="B13"/>
  <c r="F13" s="1"/>
  <c r="A13"/>
  <c r="U12"/>
  <c r="S12"/>
  <c r="Q12"/>
  <c r="P12"/>
  <c r="O12"/>
  <c r="D12"/>
  <c r="C12"/>
  <c r="B12"/>
  <c r="F12" s="1"/>
  <c r="A12"/>
  <c r="U11"/>
  <c r="S11"/>
  <c r="Q11"/>
  <c r="P11"/>
  <c r="O11"/>
  <c r="D11"/>
  <c r="C11"/>
  <c r="B11"/>
  <c r="F11" s="1"/>
  <c r="A11"/>
  <c r="U10"/>
  <c r="S10"/>
  <c r="Q10"/>
  <c r="P10"/>
  <c r="O10"/>
  <c r="D10"/>
  <c r="C10"/>
  <c r="B10"/>
  <c r="F10" s="1"/>
  <c r="A10"/>
  <c r="U9"/>
  <c r="S9"/>
  <c r="Q9"/>
  <c r="P9"/>
  <c r="O9"/>
  <c r="D9"/>
  <c r="C9"/>
  <c r="B9"/>
  <c r="F9" s="1"/>
  <c r="A9"/>
  <c r="U8"/>
  <c r="S8"/>
  <c r="Q8"/>
  <c r="P8"/>
  <c r="O8"/>
  <c r="D8"/>
  <c r="C8"/>
  <c r="B8"/>
  <c r="F8" s="1"/>
  <c r="A8"/>
  <c r="U7"/>
  <c r="S7"/>
  <c r="Q7"/>
  <c r="P7"/>
  <c r="O7"/>
  <c r="D7"/>
  <c r="C7"/>
  <c r="B7"/>
  <c r="F7" s="1"/>
  <c r="A7"/>
  <c r="U6"/>
  <c r="S6"/>
  <c r="Q6"/>
  <c r="P6"/>
  <c r="O6"/>
  <c r="D6"/>
  <c r="C6"/>
  <c r="B6"/>
  <c r="F6" s="1"/>
  <c r="A6"/>
  <c r="U5"/>
  <c r="S5"/>
  <c r="Q5"/>
  <c r="P5"/>
  <c r="O5"/>
  <c r="F5"/>
  <c r="C5"/>
  <c r="U4"/>
  <c r="S4"/>
  <c r="Q4"/>
  <c r="P4"/>
  <c r="O4"/>
  <c r="F4"/>
  <c r="C4"/>
  <c r="U3"/>
  <c r="S3"/>
  <c r="Q3"/>
  <c r="P3"/>
  <c r="O3"/>
  <c r="AA44" i="24"/>
  <c r="Y44"/>
  <c r="AA43"/>
  <c r="Y43"/>
  <c r="AA42"/>
  <c r="Y42"/>
  <c r="AA41"/>
  <c r="Y41"/>
  <c r="AA40"/>
  <c r="Y40"/>
  <c r="AA39"/>
  <c r="Y39"/>
  <c r="AA38"/>
  <c r="Y38"/>
  <c r="AA37"/>
  <c r="Y37"/>
  <c r="AA36"/>
  <c r="Y36"/>
  <c r="AA35"/>
  <c r="Y35"/>
  <c r="AA34"/>
  <c r="Y34"/>
  <c r="AA33"/>
  <c r="Y33"/>
  <c r="AA32"/>
  <c r="Y32"/>
  <c r="AA31"/>
  <c r="Y31"/>
  <c r="AA30"/>
  <c r="Y30"/>
  <c r="AA29"/>
  <c r="Y29"/>
  <c r="AA28"/>
  <c r="Y28"/>
  <c r="AA27"/>
  <c r="Y27"/>
  <c r="AA26"/>
  <c r="Y26"/>
  <c r="AA25"/>
  <c r="Y25"/>
  <c r="AA24"/>
  <c r="Y24"/>
  <c r="AA23"/>
  <c r="Y23"/>
  <c r="AA22"/>
  <c r="Y22"/>
  <c r="AA21"/>
  <c r="Y21"/>
  <c r="AA20"/>
  <c r="Y20"/>
  <c r="AA19"/>
  <c r="Y19"/>
  <c r="AA18"/>
  <c r="Y18"/>
  <c r="AA17"/>
  <c r="Y17"/>
  <c r="AA16"/>
  <c r="Y16"/>
  <c r="AA15"/>
  <c r="Y15"/>
  <c r="AA14"/>
  <c r="Y14"/>
  <c r="AA13"/>
  <c r="Y13"/>
  <c r="AA12"/>
  <c r="Y12"/>
  <c r="AA11"/>
  <c r="Y11"/>
  <c r="AA10"/>
  <c r="Y10"/>
  <c r="AA9"/>
  <c r="Y9"/>
  <c r="AA8"/>
  <c r="Y8"/>
  <c r="AA7"/>
  <c r="Y7"/>
  <c r="AA6"/>
  <c r="Y6"/>
  <c r="AA5"/>
  <c r="Y5"/>
  <c r="AA4"/>
  <c r="Y4"/>
  <c r="AA3"/>
  <c r="Y3"/>
  <c r="E5"/>
  <c r="B5"/>
  <c r="A5"/>
  <c r="D5" s="1"/>
  <c r="G5" s="1"/>
  <c r="G54" i="52" l="1"/>
  <c r="G58"/>
  <c r="G62"/>
  <c r="G66"/>
  <c r="G70"/>
  <c r="G74"/>
  <c r="J75"/>
  <c r="K75"/>
  <c r="L75" s="1"/>
  <c r="J83"/>
  <c r="K83"/>
  <c r="L83" s="1"/>
  <c r="J91"/>
  <c r="K91"/>
  <c r="L91" s="1"/>
  <c r="J99"/>
  <c r="K99"/>
  <c r="L99" s="1"/>
  <c r="J107"/>
  <c r="K107"/>
  <c r="L107" s="1"/>
  <c r="J115"/>
  <c r="K115"/>
  <c r="L115" s="1"/>
  <c r="J123"/>
  <c r="K123"/>
  <c r="L123" s="1"/>
  <c r="G6"/>
  <c r="G8"/>
  <c r="G10"/>
  <c r="G12"/>
  <c r="G14"/>
  <c r="G16"/>
  <c r="G18"/>
  <c r="G20"/>
  <c r="G22"/>
  <c r="G24"/>
  <c r="G26"/>
  <c r="G28"/>
  <c r="G30"/>
  <c r="G32"/>
  <c r="G34"/>
  <c r="G36"/>
  <c r="G38"/>
  <c r="G40"/>
  <c r="G42"/>
  <c r="G44"/>
  <c r="G46"/>
  <c r="G50"/>
  <c r="G7"/>
  <c r="G9"/>
  <c r="G11"/>
  <c r="G13"/>
  <c r="G15"/>
  <c r="G17"/>
  <c r="G19"/>
  <c r="G21"/>
  <c r="G23"/>
  <c r="G25"/>
  <c r="G27"/>
  <c r="G29"/>
  <c r="G31"/>
  <c r="G33"/>
  <c r="G35"/>
  <c r="G37"/>
  <c r="G39"/>
  <c r="G41"/>
  <c r="G43"/>
  <c r="G45"/>
  <c r="G48"/>
  <c r="G52"/>
  <c r="H52" s="1"/>
  <c r="I52" s="1"/>
  <c r="G56"/>
  <c r="H56" s="1"/>
  <c r="I56" s="1"/>
  <c r="G60"/>
  <c r="H60" s="1"/>
  <c r="I60" s="1"/>
  <c r="G64"/>
  <c r="H64" s="1"/>
  <c r="I64" s="1"/>
  <c r="G68"/>
  <c r="H68" s="1"/>
  <c r="I68" s="1"/>
  <c r="G72"/>
  <c r="H72" s="1"/>
  <c r="I72" s="1"/>
  <c r="J79"/>
  <c r="K79"/>
  <c r="L79" s="1"/>
  <c r="J87"/>
  <c r="K87"/>
  <c r="L87" s="1"/>
  <c r="J95"/>
  <c r="K95"/>
  <c r="L95" s="1"/>
  <c r="J103"/>
  <c r="K103"/>
  <c r="L103" s="1"/>
  <c r="J111"/>
  <c r="K111"/>
  <c r="L111" s="1"/>
  <c r="J119"/>
  <c r="K119"/>
  <c r="L119" s="1"/>
  <c r="H7"/>
  <c r="I7" s="1"/>
  <c r="H9"/>
  <c r="I9" s="1"/>
  <c r="H11"/>
  <c r="I11" s="1"/>
  <c r="H13"/>
  <c r="I13" s="1"/>
  <c r="H15"/>
  <c r="I15" s="1"/>
  <c r="H17"/>
  <c r="I17" s="1"/>
  <c r="H19"/>
  <c r="I19" s="1"/>
  <c r="H21"/>
  <c r="I21" s="1"/>
  <c r="H23"/>
  <c r="I23" s="1"/>
  <c r="H25"/>
  <c r="I25" s="1"/>
  <c r="H27"/>
  <c r="I27" s="1"/>
  <c r="H29"/>
  <c r="I29" s="1"/>
  <c r="H31"/>
  <c r="I31" s="1"/>
  <c r="H33"/>
  <c r="I33" s="1"/>
  <c r="H35"/>
  <c r="I35" s="1"/>
  <c r="H37"/>
  <c r="I37" s="1"/>
  <c r="H39"/>
  <c r="I39" s="1"/>
  <c r="H41"/>
  <c r="I41" s="1"/>
  <c r="H43"/>
  <c r="I43" s="1"/>
  <c r="H45"/>
  <c r="I45" s="1"/>
  <c r="H48"/>
  <c r="I48" s="1"/>
  <c r="H6"/>
  <c r="I6" s="1"/>
  <c r="H8"/>
  <c r="I8" s="1"/>
  <c r="H10"/>
  <c r="I10" s="1"/>
  <c r="H12"/>
  <c r="I12" s="1"/>
  <c r="H14"/>
  <c r="I14" s="1"/>
  <c r="H16"/>
  <c r="I16" s="1"/>
  <c r="H18"/>
  <c r="I18" s="1"/>
  <c r="H20"/>
  <c r="I20" s="1"/>
  <c r="H22"/>
  <c r="I22" s="1"/>
  <c r="H24"/>
  <c r="I24" s="1"/>
  <c r="H26"/>
  <c r="I26" s="1"/>
  <c r="H28"/>
  <c r="I28" s="1"/>
  <c r="H30"/>
  <c r="I30" s="1"/>
  <c r="H32"/>
  <c r="I32" s="1"/>
  <c r="H34"/>
  <c r="I34" s="1"/>
  <c r="H36"/>
  <c r="I36" s="1"/>
  <c r="H38"/>
  <c r="I38" s="1"/>
  <c r="H40"/>
  <c r="I40" s="1"/>
  <c r="H42"/>
  <c r="I42" s="1"/>
  <c r="H44"/>
  <c r="I44" s="1"/>
  <c r="H46"/>
  <c r="I46" s="1"/>
  <c r="H50"/>
  <c r="I50" s="1"/>
  <c r="H54"/>
  <c r="I54" s="1"/>
  <c r="H58"/>
  <c r="I58" s="1"/>
  <c r="H62"/>
  <c r="I62" s="1"/>
  <c r="H66"/>
  <c r="I66" s="1"/>
  <c r="H70"/>
  <c r="I70" s="1"/>
  <c r="H74"/>
  <c r="I74" s="1"/>
  <c r="G78"/>
  <c r="G82"/>
  <c r="G86"/>
  <c r="G90"/>
  <c r="G94"/>
  <c r="G98"/>
  <c r="G102"/>
  <c r="G106"/>
  <c r="G110"/>
  <c r="G114"/>
  <c r="G118"/>
  <c r="G122"/>
  <c r="G126"/>
  <c r="G129"/>
  <c r="G133"/>
  <c r="G137"/>
  <c r="G141"/>
  <c r="G145"/>
  <c r="G149"/>
  <c r="G153"/>
  <c r="G157"/>
  <c r="G161"/>
  <c r="G165"/>
  <c r="G169"/>
  <c r="G173"/>
  <c r="G177"/>
  <c r="J188"/>
  <c r="K188"/>
  <c r="L188" s="1"/>
  <c r="J196"/>
  <c r="K196"/>
  <c r="L196" s="1"/>
  <c r="J204"/>
  <c r="K204"/>
  <c r="L204" s="1"/>
  <c r="J212"/>
  <c r="K212"/>
  <c r="L212" s="1"/>
  <c r="J220"/>
  <c r="K220"/>
  <c r="L220" s="1"/>
  <c r="J228"/>
  <c r="K228"/>
  <c r="L228" s="1"/>
  <c r="G76"/>
  <c r="H76" s="1"/>
  <c r="I76" s="1"/>
  <c r="G80"/>
  <c r="H80" s="1"/>
  <c r="I80" s="1"/>
  <c r="G84"/>
  <c r="H84" s="1"/>
  <c r="I84" s="1"/>
  <c r="G88"/>
  <c r="H88" s="1"/>
  <c r="I88" s="1"/>
  <c r="G92"/>
  <c r="H92" s="1"/>
  <c r="I92" s="1"/>
  <c r="G96"/>
  <c r="H96" s="1"/>
  <c r="I96" s="1"/>
  <c r="G100"/>
  <c r="H100" s="1"/>
  <c r="I100" s="1"/>
  <c r="G104"/>
  <c r="H104" s="1"/>
  <c r="I104" s="1"/>
  <c r="G108"/>
  <c r="H108" s="1"/>
  <c r="I108" s="1"/>
  <c r="G112"/>
  <c r="H112" s="1"/>
  <c r="I112" s="1"/>
  <c r="G116"/>
  <c r="H116" s="1"/>
  <c r="I116" s="1"/>
  <c r="G120"/>
  <c r="H120" s="1"/>
  <c r="I120" s="1"/>
  <c r="G124"/>
  <c r="H124" s="1"/>
  <c r="I124" s="1"/>
  <c r="G127"/>
  <c r="H127" s="1"/>
  <c r="I127" s="1"/>
  <c r="G131"/>
  <c r="H131" s="1"/>
  <c r="I131" s="1"/>
  <c r="G135"/>
  <c r="H135" s="1"/>
  <c r="I135" s="1"/>
  <c r="G139"/>
  <c r="H139" s="1"/>
  <c r="I139" s="1"/>
  <c r="G143"/>
  <c r="H143" s="1"/>
  <c r="I143" s="1"/>
  <c r="G147"/>
  <c r="H147" s="1"/>
  <c r="I147" s="1"/>
  <c r="G151"/>
  <c r="H151" s="1"/>
  <c r="I151" s="1"/>
  <c r="G155"/>
  <c r="H155" s="1"/>
  <c r="I155" s="1"/>
  <c r="G159"/>
  <c r="H159" s="1"/>
  <c r="I159" s="1"/>
  <c r="G163"/>
  <c r="H163" s="1"/>
  <c r="I163" s="1"/>
  <c r="G167"/>
  <c r="H167" s="1"/>
  <c r="I167" s="1"/>
  <c r="G171"/>
  <c r="H171" s="1"/>
  <c r="I171" s="1"/>
  <c r="G175"/>
  <c r="H175" s="1"/>
  <c r="I175" s="1"/>
  <c r="G179"/>
  <c r="H179" s="1"/>
  <c r="I179" s="1"/>
  <c r="J184"/>
  <c r="K184"/>
  <c r="L184" s="1"/>
  <c r="J192"/>
  <c r="K192"/>
  <c r="L192" s="1"/>
  <c r="J200"/>
  <c r="K200"/>
  <c r="L200" s="1"/>
  <c r="J208"/>
  <c r="K208"/>
  <c r="L208" s="1"/>
  <c r="J216"/>
  <c r="K216"/>
  <c r="L216" s="1"/>
  <c r="J224"/>
  <c r="K224"/>
  <c r="L224" s="1"/>
  <c r="G5"/>
  <c r="H5" s="1"/>
  <c r="I5" s="1"/>
  <c r="G4"/>
  <c r="H4" s="1"/>
  <c r="I4" s="1"/>
  <c r="G47"/>
  <c r="H47" s="1"/>
  <c r="I47" s="1"/>
  <c r="G49"/>
  <c r="H49" s="1"/>
  <c r="I49" s="1"/>
  <c r="G51"/>
  <c r="H51" s="1"/>
  <c r="I51" s="1"/>
  <c r="G53"/>
  <c r="H53" s="1"/>
  <c r="I53" s="1"/>
  <c r="G55"/>
  <c r="H55" s="1"/>
  <c r="I55" s="1"/>
  <c r="G57"/>
  <c r="H57" s="1"/>
  <c r="I57" s="1"/>
  <c r="G59"/>
  <c r="H59" s="1"/>
  <c r="I59" s="1"/>
  <c r="G61"/>
  <c r="H61" s="1"/>
  <c r="I61" s="1"/>
  <c r="G63"/>
  <c r="H63" s="1"/>
  <c r="I63" s="1"/>
  <c r="G65"/>
  <c r="H65" s="1"/>
  <c r="I65" s="1"/>
  <c r="G67"/>
  <c r="H67" s="1"/>
  <c r="I67" s="1"/>
  <c r="G69"/>
  <c r="H69" s="1"/>
  <c r="I69" s="1"/>
  <c r="G71"/>
  <c r="H71" s="1"/>
  <c r="I71" s="1"/>
  <c r="G73"/>
  <c r="H73" s="1"/>
  <c r="I73" s="1"/>
  <c r="G77"/>
  <c r="H77" s="1"/>
  <c r="I77" s="1"/>
  <c r="H78"/>
  <c r="I78" s="1"/>
  <c r="G81"/>
  <c r="H81" s="1"/>
  <c r="I81" s="1"/>
  <c r="H82"/>
  <c r="I82" s="1"/>
  <c r="G85"/>
  <c r="H85" s="1"/>
  <c r="I85" s="1"/>
  <c r="H86"/>
  <c r="I86" s="1"/>
  <c r="G89"/>
  <c r="H89" s="1"/>
  <c r="I89" s="1"/>
  <c r="H90"/>
  <c r="I90" s="1"/>
  <c r="G93"/>
  <c r="H93" s="1"/>
  <c r="I93" s="1"/>
  <c r="H94"/>
  <c r="I94" s="1"/>
  <c r="G97"/>
  <c r="H97" s="1"/>
  <c r="I97" s="1"/>
  <c r="H98"/>
  <c r="I98" s="1"/>
  <c r="G101"/>
  <c r="H101" s="1"/>
  <c r="I101" s="1"/>
  <c r="H102"/>
  <c r="I102" s="1"/>
  <c r="G105"/>
  <c r="H105" s="1"/>
  <c r="I105" s="1"/>
  <c r="H106"/>
  <c r="I106" s="1"/>
  <c r="G109"/>
  <c r="H109" s="1"/>
  <c r="I109" s="1"/>
  <c r="H110"/>
  <c r="I110" s="1"/>
  <c r="G113"/>
  <c r="H113" s="1"/>
  <c r="I113" s="1"/>
  <c r="H114"/>
  <c r="I114" s="1"/>
  <c r="G117"/>
  <c r="H117" s="1"/>
  <c r="I117" s="1"/>
  <c r="H118"/>
  <c r="I118" s="1"/>
  <c r="G121"/>
  <c r="H121" s="1"/>
  <c r="I121" s="1"/>
  <c r="H122"/>
  <c r="I122" s="1"/>
  <c r="G125"/>
  <c r="H125" s="1"/>
  <c r="I125" s="1"/>
  <c r="H126"/>
  <c r="I126" s="1"/>
  <c r="H129"/>
  <c r="I129" s="1"/>
  <c r="H133"/>
  <c r="I133" s="1"/>
  <c r="H137"/>
  <c r="I137" s="1"/>
  <c r="H141"/>
  <c r="I141" s="1"/>
  <c r="H145"/>
  <c r="I145" s="1"/>
  <c r="H149"/>
  <c r="I149" s="1"/>
  <c r="H153"/>
  <c r="I153" s="1"/>
  <c r="H157"/>
  <c r="I157" s="1"/>
  <c r="H161"/>
  <c r="I161" s="1"/>
  <c r="H165"/>
  <c r="I165" s="1"/>
  <c r="H169"/>
  <c r="I169" s="1"/>
  <c r="H173"/>
  <c r="I173" s="1"/>
  <c r="H177"/>
  <c r="I177" s="1"/>
  <c r="G181"/>
  <c r="H181" s="1"/>
  <c r="I181" s="1"/>
  <c r="G185"/>
  <c r="H185" s="1"/>
  <c r="I185" s="1"/>
  <c r="G189"/>
  <c r="H189" s="1"/>
  <c r="I189" s="1"/>
  <c r="G193"/>
  <c r="H193" s="1"/>
  <c r="I193" s="1"/>
  <c r="G197"/>
  <c r="H197" s="1"/>
  <c r="I197" s="1"/>
  <c r="G201"/>
  <c r="H201" s="1"/>
  <c r="I201" s="1"/>
  <c r="G205"/>
  <c r="H205" s="1"/>
  <c r="I205" s="1"/>
  <c r="G209"/>
  <c r="H209" s="1"/>
  <c r="I209" s="1"/>
  <c r="G213"/>
  <c r="H213" s="1"/>
  <c r="I213" s="1"/>
  <c r="G217"/>
  <c r="H217" s="1"/>
  <c r="I217" s="1"/>
  <c r="G221"/>
  <c r="H221" s="1"/>
  <c r="I221" s="1"/>
  <c r="G225"/>
  <c r="H225" s="1"/>
  <c r="I225" s="1"/>
  <c r="G229"/>
  <c r="H229" s="1"/>
  <c r="I229" s="1"/>
  <c r="G234"/>
  <c r="G238"/>
  <c r="G128"/>
  <c r="H128" s="1"/>
  <c r="I128" s="1"/>
  <c r="G130"/>
  <c r="H130" s="1"/>
  <c r="I130" s="1"/>
  <c r="G132"/>
  <c r="H132" s="1"/>
  <c r="I132" s="1"/>
  <c r="G134"/>
  <c r="H134" s="1"/>
  <c r="I134" s="1"/>
  <c r="G136"/>
  <c r="H136" s="1"/>
  <c r="I136" s="1"/>
  <c r="G138"/>
  <c r="H138" s="1"/>
  <c r="I138" s="1"/>
  <c r="G140"/>
  <c r="H140" s="1"/>
  <c r="I140" s="1"/>
  <c r="G142"/>
  <c r="H142" s="1"/>
  <c r="I142" s="1"/>
  <c r="G144"/>
  <c r="H144" s="1"/>
  <c r="I144" s="1"/>
  <c r="G146"/>
  <c r="H146" s="1"/>
  <c r="I146" s="1"/>
  <c r="G148"/>
  <c r="H148" s="1"/>
  <c r="I148" s="1"/>
  <c r="G150"/>
  <c r="H150" s="1"/>
  <c r="I150" s="1"/>
  <c r="G152"/>
  <c r="H152" s="1"/>
  <c r="I152" s="1"/>
  <c r="G154"/>
  <c r="H154" s="1"/>
  <c r="I154" s="1"/>
  <c r="G156"/>
  <c r="H156" s="1"/>
  <c r="I156" s="1"/>
  <c r="G158"/>
  <c r="H158" s="1"/>
  <c r="I158" s="1"/>
  <c r="G160"/>
  <c r="H160" s="1"/>
  <c r="I160" s="1"/>
  <c r="G162"/>
  <c r="H162" s="1"/>
  <c r="I162" s="1"/>
  <c r="G164"/>
  <c r="H164" s="1"/>
  <c r="I164" s="1"/>
  <c r="G166"/>
  <c r="H166" s="1"/>
  <c r="I166" s="1"/>
  <c r="G168"/>
  <c r="H168" s="1"/>
  <c r="I168" s="1"/>
  <c r="G170"/>
  <c r="H170" s="1"/>
  <c r="I170" s="1"/>
  <c r="G172"/>
  <c r="H172" s="1"/>
  <c r="I172" s="1"/>
  <c r="G174"/>
  <c r="H174" s="1"/>
  <c r="I174" s="1"/>
  <c r="G176"/>
  <c r="H176" s="1"/>
  <c r="I176" s="1"/>
  <c r="G178"/>
  <c r="H178" s="1"/>
  <c r="I178" s="1"/>
  <c r="G182"/>
  <c r="H182" s="1"/>
  <c r="I182" s="1"/>
  <c r="G186"/>
  <c r="H186" s="1"/>
  <c r="I186" s="1"/>
  <c r="G190"/>
  <c r="H190" s="1"/>
  <c r="I190" s="1"/>
  <c r="G194"/>
  <c r="H194" s="1"/>
  <c r="I194" s="1"/>
  <c r="G198"/>
  <c r="H198" s="1"/>
  <c r="I198" s="1"/>
  <c r="G202"/>
  <c r="H202" s="1"/>
  <c r="I202" s="1"/>
  <c r="G206"/>
  <c r="H206" s="1"/>
  <c r="I206" s="1"/>
  <c r="G210"/>
  <c r="H210" s="1"/>
  <c r="I210" s="1"/>
  <c r="G214"/>
  <c r="H214" s="1"/>
  <c r="I214" s="1"/>
  <c r="G218"/>
  <c r="H218" s="1"/>
  <c r="I218" s="1"/>
  <c r="G222"/>
  <c r="H222" s="1"/>
  <c r="I222" s="1"/>
  <c r="G226"/>
  <c r="H226" s="1"/>
  <c r="I226" s="1"/>
  <c r="H230"/>
  <c r="G183"/>
  <c r="H183" s="1"/>
  <c r="I183" s="1"/>
  <c r="G187"/>
  <c r="H187" s="1"/>
  <c r="I187" s="1"/>
  <c r="G191"/>
  <c r="H191" s="1"/>
  <c r="I191" s="1"/>
  <c r="G195"/>
  <c r="H195" s="1"/>
  <c r="I195" s="1"/>
  <c r="G199"/>
  <c r="H199" s="1"/>
  <c r="I199" s="1"/>
  <c r="G203"/>
  <c r="H203" s="1"/>
  <c r="I203" s="1"/>
  <c r="G207"/>
  <c r="H207" s="1"/>
  <c r="I207" s="1"/>
  <c r="G211"/>
  <c r="H211" s="1"/>
  <c r="I211" s="1"/>
  <c r="G215"/>
  <c r="H215" s="1"/>
  <c r="I215" s="1"/>
  <c r="G219"/>
  <c r="H219" s="1"/>
  <c r="I219" s="1"/>
  <c r="G223"/>
  <c r="H223" s="1"/>
  <c r="I223" s="1"/>
  <c r="G227"/>
  <c r="H227" s="1"/>
  <c r="I227" s="1"/>
  <c r="K230"/>
  <c r="L230" s="1"/>
  <c r="I230"/>
  <c r="J230" s="1"/>
  <c r="G232"/>
  <c r="H232" s="1"/>
  <c r="I232" s="1"/>
  <c r="G236"/>
  <c r="H236" s="1"/>
  <c r="I236" s="1"/>
  <c r="H180"/>
  <c r="I180" s="1"/>
  <c r="G180"/>
  <c r="H234"/>
  <c r="I234" s="1"/>
  <c r="H239"/>
  <c r="H243"/>
  <c r="H247"/>
  <c r="H251"/>
  <c r="G231"/>
  <c r="H231" s="1"/>
  <c r="I231" s="1"/>
  <c r="G233"/>
  <c r="H233" s="1"/>
  <c r="I233" s="1"/>
  <c r="G235"/>
  <c r="H235" s="1"/>
  <c r="I235" s="1"/>
  <c r="G237"/>
  <c r="H237" s="1"/>
  <c r="I237" s="1"/>
  <c r="H238"/>
  <c r="I238" s="1"/>
  <c r="G239"/>
  <c r="I239"/>
  <c r="J239" s="1"/>
  <c r="G241"/>
  <c r="H241" s="1"/>
  <c r="I241" s="1"/>
  <c r="H242"/>
  <c r="I242" s="1"/>
  <c r="G243"/>
  <c r="I243"/>
  <c r="J243" s="1"/>
  <c r="G245"/>
  <c r="H245" s="1"/>
  <c r="I245" s="1"/>
  <c r="H246"/>
  <c r="I246" s="1"/>
  <c r="G247"/>
  <c r="I247"/>
  <c r="J247" s="1"/>
  <c r="G249"/>
  <c r="H249" s="1"/>
  <c r="I249" s="1"/>
  <c r="H250"/>
  <c r="I250" s="1"/>
  <c r="G251"/>
  <c r="I251"/>
  <c r="J251" s="1"/>
  <c r="H252"/>
  <c r="I252" s="1"/>
  <c r="G240"/>
  <c r="H240" s="1"/>
  <c r="I240" s="1"/>
  <c r="G242"/>
  <c r="G244"/>
  <c r="H244" s="1"/>
  <c r="I244" s="1"/>
  <c r="G246"/>
  <c r="G248"/>
  <c r="H248" s="1"/>
  <c r="I248" s="1"/>
  <c r="G250"/>
  <c r="G252"/>
  <c r="C5" i="24"/>
  <c r="J244" i="52" l="1"/>
  <c r="K244"/>
  <c r="L244" s="1"/>
  <c r="J250"/>
  <c r="K250"/>
  <c r="L250" s="1"/>
  <c r="J242"/>
  <c r="K242"/>
  <c r="L242" s="1"/>
  <c r="J235"/>
  <c r="K235"/>
  <c r="L235" s="1"/>
  <c r="J252"/>
  <c r="K252"/>
  <c r="L252" s="1"/>
  <c r="J249"/>
  <c r="K249"/>
  <c r="L249" s="1"/>
  <c r="J245"/>
  <c r="K245"/>
  <c r="L245" s="1"/>
  <c r="J241"/>
  <c r="K241"/>
  <c r="L241" s="1"/>
  <c r="J237"/>
  <c r="K237"/>
  <c r="L237" s="1"/>
  <c r="J233"/>
  <c r="K233"/>
  <c r="L233" s="1"/>
  <c r="J234"/>
  <c r="K234"/>
  <c r="L234" s="1"/>
  <c r="J180"/>
  <c r="K180"/>
  <c r="L180" s="1"/>
  <c r="J232"/>
  <c r="K232"/>
  <c r="L232" s="1"/>
  <c r="J223"/>
  <c r="K223"/>
  <c r="L223" s="1"/>
  <c r="J215"/>
  <c r="K215"/>
  <c r="L215" s="1"/>
  <c r="J207"/>
  <c r="K207"/>
  <c r="L207" s="1"/>
  <c r="J199"/>
  <c r="K199"/>
  <c r="L199" s="1"/>
  <c r="J191"/>
  <c r="K191"/>
  <c r="L191" s="1"/>
  <c r="J183"/>
  <c r="K183"/>
  <c r="L183" s="1"/>
  <c r="J226"/>
  <c r="K226"/>
  <c r="L226" s="1"/>
  <c r="J218"/>
  <c r="K218"/>
  <c r="L218" s="1"/>
  <c r="J210"/>
  <c r="K210"/>
  <c r="L210" s="1"/>
  <c r="J202"/>
  <c r="K202"/>
  <c r="L202" s="1"/>
  <c r="J194"/>
  <c r="K194"/>
  <c r="L194" s="1"/>
  <c r="J186"/>
  <c r="K186"/>
  <c r="L186" s="1"/>
  <c r="J178"/>
  <c r="K178"/>
  <c r="L178" s="1"/>
  <c r="J174"/>
  <c r="K174"/>
  <c r="L174" s="1"/>
  <c r="J170"/>
  <c r="K170"/>
  <c r="L170" s="1"/>
  <c r="J166"/>
  <c r="K166"/>
  <c r="L166" s="1"/>
  <c r="J162"/>
  <c r="K162"/>
  <c r="L162" s="1"/>
  <c r="J158"/>
  <c r="K158"/>
  <c r="L158" s="1"/>
  <c r="J154"/>
  <c r="K154"/>
  <c r="L154" s="1"/>
  <c r="J150"/>
  <c r="K150"/>
  <c r="L150" s="1"/>
  <c r="J146"/>
  <c r="K146"/>
  <c r="L146" s="1"/>
  <c r="J142"/>
  <c r="K142"/>
  <c r="L142" s="1"/>
  <c r="J138"/>
  <c r="K138"/>
  <c r="L138" s="1"/>
  <c r="J134"/>
  <c r="K134"/>
  <c r="L134" s="1"/>
  <c r="J130"/>
  <c r="K130"/>
  <c r="L130" s="1"/>
  <c r="J229"/>
  <c r="K229"/>
  <c r="L229" s="1"/>
  <c r="J221"/>
  <c r="K221"/>
  <c r="L221" s="1"/>
  <c r="J213"/>
  <c r="K213"/>
  <c r="L213" s="1"/>
  <c r="J205"/>
  <c r="K205"/>
  <c r="L205" s="1"/>
  <c r="J197"/>
  <c r="K197"/>
  <c r="L197" s="1"/>
  <c r="J189"/>
  <c r="K189"/>
  <c r="L189" s="1"/>
  <c r="J181"/>
  <c r="K181"/>
  <c r="L181" s="1"/>
  <c r="J173"/>
  <c r="K173"/>
  <c r="L173" s="1"/>
  <c r="J165"/>
  <c r="K165"/>
  <c r="L165" s="1"/>
  <c r="J157"/>
  <c r="K157"/>
  <c r="L157" s="1"/>
  <c r="J149"/>
  <c r="K149"/>
  <c r="L149" s="1"/>
  <c r="J141"/>
  <c r="K141"/>
  <c r="L141" s="1"/>
  <c r="J133"/>
  <c r="K133"/>
  <c r="L133" s="1"/>
  <c r="J126"/>
  <c r="K126"/>
  <c r="L126" s="1"/>
  <c r="J122"/>
  <c r="K122"/>
  <c r="L122" s="1"/>
  <c r="J118"/>
  <c r="K118"/>
  <c r="L118" s="1"/>
  <c r="J114"/>
  <c r="K114"/>
  <c r="L114" s="1"/>
  <c r="J110"/>
  <c r="K110"/>
  <c r="L110" s="1"/>
  <c r="J106"/>
  <c r="K106"/>
  <c r="L106" s="1"/>
  <c r="J102"/>
  <c r="K102"/>
  <c r="L102" s="1"/>
  <c r="J98"/>
  <c r="K98"/>
  <c r="L98" s="1"/>
  <c r="J94"/>
  <c r="K94"/>
  <c r="L94" s="1"/>
  <c r="J90"/>
  <c r="K90"/>
  <c r="L90" s="1"/>
  <c r="J86"/>
  <c r="K86"/>
  <c r="L86" s="1"/>
  <c r="J82"/>
  <c r="K82"/>
  <c r="L82" s="1"/>
  <c r="J78"/>
  <c r="K78"/>
  <c r="L78" s="1"/>
  <c r="J73"/>
  <c r="K73"/>
  <c r="L73" s="1"/>
  <c r="J69"/>
  <c r="K69"/>
  <c r="L69" s="1"/>
  <c r="J65"/>
  <c r="K65"/>
  <c r="L65" s="1"/>
  <c r="J61"/>
  <c r="K61"/>
  <c r="L61" s="1"/>
  <c r="J57"/>
  <c r="K57"/>
  <c r="L57" s="1"/>
  <c r="J53"/>
  <c r="K53"/>
  <c r="L53" s="1"/>
  <c r="J49"/>
  <c r="K49"/>
  <c r="L49" s="1"/>
  <c r="J4"/>
  <c r="K4"/>
  <c r="L4" s="1"/>
  <c r="J179"/>
  <c r="K179"/>
  <c r="L179" s="1"/>
  <c r="J171"/>
  <c r="K171"/>
  <c r="L171" s="1"/>
  <c r="J163"/>
  <c r="K163"/>
  <c r="L163" s="1"/>
  <c r="J155"/>
  <c r="K155"/>
  <c r="L155" s="1"/>
  <c r="J147"/>
  <c r="K147"/>
  <c r="L147" s="1"/>
  <c r="J139"/>
  <c r="K139"/>
  <c r="L139" s="1"/>
  <c r="J131"/>
  <c r="K131"/>
  <c r="L131" s="1"/>
  <c r="J124"/>
  <c r="K124"/>
  <c r="L124" s="1"/>
  <c r="J116"/>
  <c r="K116"/>
  <c r="L116" s="1"/>
  <c r="J108"/>
  <c r="K108"/>
  <c r="L108" s="1"/>
  <c r="J100"/>
  <c r="K100"/>
  <c r="L100" s="1"/>
  <c r="J92"/>
  <c r="K92"/>
  <c r="L92" s="1"/>
  <c r="J84"/>
  <c r="K84"/>
  <c r="L84" s="1"/>
  <c r="J76"/>
  <c r="K76"/>
  <c r="L76" s="1"/>
  <c r="J70"/>
  <c r="K70"/>
  <c r="L70" s="1"/>
  <c r="J62"/>
  <c r="K62"/>
  <c r="L62" s="1"/>
  <c r="J54"/>
  <c r="K54"/>
  <c r="L54" s="1"/>
  <c r="J46"/>
  <c r="K46"/>
  <c r="L46" s="1"/>
  <c r="J42"/>
  <c r="K42"/>
  <c r="L42" s="1"/>
  <c r="J38"/>
  <c r="K38"/>
  <c r="L38" s="1"/>
  <c r="J34"/>
  <c r="K34"/>
  <c r="L34" s="1"/>
  <c r="J30"/>
  <c r="K30"/>
  <c r="L30" s="1"/>
  <c r="J26"/>
  <c r="K26"/>
  <c r="L26" s="1"/>
  <c r="J22"/>
  <c r="K22"/>
  <c r="L22" s="1"/>
  <c r="J18"/>
  <c r="K18"/>
  <c r="L18" s="1"/>
  <c r="J14"/>
  <c r="K14"/>
  <c r="L14" s="1"/>
  <c r="J10"/>
  <c r="K10"/>
  <c r="L10" s="1"/>
  <c r="J6"/>
  <c r="K6"/>
  <c r="L6" s="1"/>
  <c r="J45"/>
  <c r="K45"/>
  <c r="L45" s="1"/>
  <c r="J41"/>
  <c r="K41"/>
  <c r="L41" s="1"/>
  <c r="J37"/>
  <c r="K37"/>
  <c r="L37" s="1"/>
  <c r="J33"/>
  <c r="K33"/>
  <c r="L33" s="1"/>
  <c r="J29"/>
  <c r="K29"/>
  <c r="L29" s="1"/>
  <c r="J25"/>
  <c r="K25"/>
  <c r="L25" s="1"/>
  <c r="J21"/>
  <c r="K21"/>
  <c r="L21" s="1"/>
  <c r="J17"/>
  <c r="K17"/>
  <c r="L17" s="1"/>
  <c r="J13"/>
  <c r="K13"/>
  <c r="L13" s="1"/>
  <c r="J9"/>
  <c r="K9"/>
  <c r="L9" s="1"/>
  <c r="J72"/>
  <c r="K72"/>
  <c r="L72" s="1"/>
  <c r="J64"/>
  <c r="K64"/>
  <c r="L64" s="1"/>
  <c r="J56"/>
  <c r="K56"/>
  <c r="L56" s="1"/>
  <c r="J248"/>
  <c r="K248"/>
  <c r="L248" s="1"/>
  <c r="J240"/>
  <c r="K240"/>
  <c r="L240" s="1"/>
  <c r="J246"/>
  <c r="K246"/>
  <c r="L246" s="1"/>
  <c r="J238"/>
  <c r="K238"/>
  <c r="L238" s="1"/>
  <c r="J231"/>
  <c r="K231"/>
  <c r="L231" s="1"/>
  <c r="J236"/>
  <c r="K236"/>
  <c r="L236" s="1"/>
  <c r="J227"/>
  <c r="K227"/>
  <c r="L227" s="1"/>
  <c r="J219"/>
  <c r="K219"/>
  <c r="L219" s="1"/>
  <c r="J211"/>
  <c r="K211"/>
  <c r="L211" s="1"/>
  <c r="J203"/>
  <c r="K203"/>
  <c r="L203" s="1"/>
  <c r="J195"/>
  <c r="K195"/>
  <c r="L195" s="1"/>
  <c r="J187"/>
  <c r="K187"/>
  <c r="L187" s="1"/>
  <c r="J222"/>
  <c r="K222"/>
  <c r="L222" s="1"/>
  <c r="J214"/>
  <c r="K214"/>
  <c r="L214" s="1"/>
  <c r="J206"/>
  <c r="K206"/>
  <c r="L206" s="1"/>
  <c r="J198"/>
  <c r="K198"/>
  <c r="L198" s="1"/>
  <c r="J190"/>
  <c r="K190"/>
  <c r="L190" s="1"/>
  <c r="J182"/>
  <c r="K182"/>
  <c r="L182" s="1"/>
  <c r="J176"/>
  <c r="K176"/>
  <c r="L176" s="1"/>
  <c r="J172"/>
  <c r="K172"/>
  <c r="L172" s="1"/>
  <c r="J168"/>
  <c r="K168"/>
  <c r="L168" s="1"/>
  <c r="J164"/>
  <c r="K164"/>
  <c r="L164" s="1"/>
  <c r="J160"/>
  <c r="K160"/>
  <c r="L160" s="1"/>
  <c r="J156"/>
  <c r="K156"/>
  <c r="L156" s="1"/>
  <c r="J152"/>
  <c r="K152"/>
  <c r="L152" s="1"/>
  <c r="J148"/>
  <c r="K148"/>
  <c r="L148" s="1"/>
  <c r="J144"/>
  <c r="K144"/>
  <c r="L144" s="1"/>
  <c r="J140"/>
  <c r="K140"/>
  <c r="L140" s="1"/>
  <c r="J136"/>
  <c r="K136"/>
  <c r="L136" s="1"/>
  <c r="J132"/>
  <c r="K132"/>
  <c r="L132" s="1"/>
  <c r="J128"/>
  <c r="K128"/>
  <c r="L128" s="1"/>
  <c r="J225"/>
  <c r="K225"/>
  <c r="L225" s="1"/>
  <c r="J217"/>
  <c r="K217"/>
  <c r="L217" s="1"/>
  <c r="J209"/>
  <c r="K209"/>
  <c r="L209" s="1"/>
  <c r="J201"/>
  <c r="K201"/>
  <c r="L201" s="1"/>
  <c r="J193"/>
  <c r="K193"/>
  <c r="L193" s="1"/>
  <c r="J185"/>
  <c r="K185"/>
  <c r="L185" s="1"/>
  <c r="J177"/>
  <c r="K177"/>
  <c r="L177" s="1"/>
  <c r="J169"/>
  <c r="K169"/>
  <c r="L169" s="1"/>
  <c r="J161"/>
  <c r="K161"/>
  <c r="L161" s="1"/>
  <c r="J153"/>
  <c r="K153"/>
  <c r="L153" s="1"/>
  <c r="J145"/>
  <c r="K145"/>
  <c r="L145" s="1"/>
  <c r="J137"/>
  <c r="K137"/>
  <c r="L137" s="1"/>
  <c r="J129"/>
  <c r="K129"/>
  <c r="L129" s="1"/>
  <c r="J125"/>
  <c r="K125"/>
  <c r="L125" s="1"/>
  <c r="J121"/>
  <c r="K121"/>
  <c r="L121" s="1"/>
  <c r="J117"/>
  <c r="K117"/>
  <c r="L117" s="1"/>
  <c r="J113"/>
  <c r="K113"/>
  <c r="L113" s="1"/>
  <c r="J109"/>
  <c r="K109"/>
  <c r="L109" s="1"/>
  <c r="J105"/>
  <c r="K105"/>
  <c r="L105" s="1"/>
  <c r="J101"/>
  <c r="K101"/>
  <c r="L101" s="1"/>
  <c r="J97"/>
  <c r="K97"/>
  <c r="L97" s="1"/>
  <c r="J93"/>
  <c r="K93"/>
  <c r="L93" s="1"/>
  <c r="J89"/>
  <c r="K89"/>
  <c r="L89" s="1"/>
  <c r="J85"/>
  <c r="K85"/>
  <c r="L85" s="1"/>
  <c r="J81"/>
  <c r="K81"/>
  <c r="L81" s="1"/>
  <c r="J77"/>
  <c r="K77"/>
  <c r="L77" s="1"/>
  <c r="J71"/>
  <c r="K71"/>
  <c r="L71" s="1"/>
  <c r="J67"/>
  <c r="K67"/>
  <c r="L67" s="1"/>
  <c r="J63"/>
  <c r="K63"/>
  <c r="L63" s="1"/>
  <c r="J59"/>
  <c r="K59"/>
  <c r="L59" s="1"/>
  <c r="J55"/>
  <c r="K55"/>
  <c r="L55" s="1"/>
  <c r="J51"/>
  <c r="K51"/>
  <c r="L51" s="1"/>
  <c r="J47"/>
  <c r="K47"/>
  <c r="L47" s="1"/>
  <c r="J5"/>
  <c r="K5"/>
  <c r="L5" s="1"/>
  <c r="J175"/>
  <c r="K175"/>
  <c r="L175" s="1"/>
  <c r="J167"/>
  <c r="K167"/>
  <c r="L167" s="1"/>
  <c r="J159"/>
  <c r="K159"/>
  <c r="L159" s="1"/>
  <c r="J151"/>
  <c r="K151"/>
  <c r="L151" s="1"/>
  <c r="J143"/>
  <c r="K143"/>
  <c r="L143" s="1"/>
  <c r="J135"/>
  <c r="K135"/>
  <c r="L135" s="1"/>
  <c r="J127"/>
  <c r="K127"/>
  <c r="L127" s="1"/>
  <c r="J120"/>
  <c r="K120"/>
  <c r="L120" s="1"/>
  <c r="J112"/>
  <c r="K112"/>
  <c r="L112" s="1"/>
  <c r="J104"/>
  <c r="K104"/>
  <c r="L104" s="1"/>
  <c r="J96"/>
  <c r="K96"/>
  <c r="L96" s="1"/>
  <c r="J88"/>
  <c r="K88"/>
  <c r="L88" s="1"/>
  <c r="J80"/>
  <c r="K80"/>
  <c r="L80" s="1"/>
  <c r="J74"/>
  <c r="K74"/>
  <c r="L74" s="1"/>
  <c r="J66"/>
  <c r="K66"/>
  <c r="L66" s="1"/>
  <c r="J58"/>
  <c r="K58"/>
  <c r="L58" s="1"/>
  <c r="J50"/>
  <c r="K50"/>
  <c r="L50" s="1"/>
  <c r="J44"/>
  <c r="K44"/>
  <c r="L44" s="1"/>
  <c r="J40"/>
  <c r="K40"/>
  <c r="L40" s="1"/>
  <c r="J36"/>
  <c r="K36"/>
  <c r="L36" s="1"/>
  <c r="J32"/>
  <c r="K32"/>
  <c r="L32" s="1"/>
  <c r="J28"/>
  <c r="K28"/>
  <c r="L28" s="1"/>
  <c r="J24"/>
  <c r="K24"/>
  <c r="L24" s="1"/>
  <c r="J20"/>
  <c r="K20"/>
  <c r="L20" s="1"/>
  <c r="J16"/>
  <c r="K16"/>
  <c r="L16" s="1"/>
  <c r="J12"/>
  <c r="K12"/>
  <c r="L12" s="1"/>
  <c r="J8"/>
  <c r="K8"/>
  <c r="L8" s="1"/>
  <c r="J48"/>
  <c r="K48"/>
  <c r="L48" s="1"/>
  <c r="J43"/>
  <c r="K43"/>
  <c r="L43" s="1"/>
  <c r="J39"/>
  <c r="K39"/>
  <c r="L39" s="1"/>
  <c r="J35"/>
  <c r="K35"/>
  <c r="L35" s="1"/>
  <c r="J31"/>
  <c r="K31"/>
  <c r="L31" s="1"/>
  <c r="J27"/>
  <c r="K27"/>
  <c r="L27" s="1"/>
  <c r="J23"/>
  <c r="K23"/>
  <c r="L23" s="1"/>
  <c r="J19"/>
  <c r="K19"/>
  <c r="L19" s="1"/>
  <c r="J15"/>
  <c r="K15"/>
  <c r="L15" s="1"/>
  <c r="J11"/>
  <c r="K11"/>
  <c r="L11" s="1"/>
  <c r="J7"/>
  <c r="K7"/>
  <c r="L7" s="1"/>
  <c r="J68"/>
  <c r="K68"/>
  <c r="L68" s="1"/>
  <c r="J60"/>
  <c r="K60"/>
  <c r="L60" s="1"/>
  <c r="J52"/>
  <c r="K52"/>
  <c r="L52" s="1"/>
  <c r="K251"/>
  <c r="L251" s="1"/>
  <c r="K247"/>
  <c r="L247" s="1"/>
  <c r="K243"/>
  <c r="L243" s="1"/>
  <c r="K239"/>
  <c r="L239" s="1"/>
  <c r="A47" i="27" l="1"/>
  <c r="B47"/>
  <c r="C47"/>
  <c r="D47"/>
  <c r="E47"/>
  <c r="F47"/>
  <c r="G47"/>
  <c r="H47"/>
  <c r="I47"/>
  <c r="J47"/>
  <c r="K47"/>
  <c r="O47"/>
  <c r="P47"/>
  <c r="A48"/>
  <c r="B48"/>
  <c r="C48"/>
  <c r="D48"/>
  <c r="E48"/>
  <c r="F48"/>
  <c r="G48"/>
  <c r="H48"/>
  <c r="I48"/>
  <c r="J48"/>
  <c r="K48"/>
  <c r="O48"/>
  <c r="P48"/>
  <c r="A49"/>
  <c r="B49"/>
  <c r="C49"/>
  <c r="D49"/>
  <c r="E49"/>
  <c r="F49"/>
  <c r="G49"/>
  <c r="H49"/>
  <c r="I49"/>
  <c r="J49"/>
  <c r="K49"/>
  <c r="O49"/>
  <c r="P49"/>
  <c r="A50"/>
  <c r="B50"/>
  <c r="C50"/>
  <c r="D50"/>
  <c r="E50"/>
  <c r="F50"/>
  <c r="G50"/>
  <c r="H50"/>
  <c r="I50"/>
  <c r="J50"/>
  <c r="K50"/>
  <c r="O50"/>
  <c r="P50"/>
  <c r="A51"/>
  <c r="B51"/>
  <c r="C51"/>
  <c r="D51"/>
  <c r="E51"/>
  <c r="F51"/>
  <c r="G51"/>
  <c r="H51"/>
  <c r="I51"/>
  <c r="J51"/>
  <c r="K51"/>
  <c r="O51"/>
  <c r="P51"/>
  <c r="A52"/>
  <c r="B52"/>
  <c r="C52"/>
  <c r="D52"/>
  <c r="E52"/>
  <c r="F52"/>
  <c r="G52"/>
  <c r="H52"/>
  <c r="I52"/>
  <c r="J52"/>
  <c r="K52"/>
  <c r="O52"/>
  <c r="P52"/>
  <c r="A53"/>
  <c r="B53"/>
  <c r="C53"/>
  <c r="D53"/>
  <c r="E53"/>
  <c r="F53"/>
  <c r="G53"/>
  <c r="H53"/>
  <c r="I53"/>
  <c r="J53"/>
  <c r="K53"/>
  <c r="O53"/>
  <c r="P53"/>
  <c r="A54"/>
  <c r="B54"/>
  <c r="C54"/>
  <c r="D54"/>
  <c r="E54"/>
  <c r="F54"/>
  <c r="G54"/>
  <c r="H54"/>
  <c r="I54"/>
  <c r="J54"/>
  <c r="K54"/>
  <c r="O54"/>
  <c r="P54"/>
  <c r="A55"/>
  <c r="B55"/>
  <c r="C55"/>
  <c r="D55"/>
  <c r="E55"/>
  <c r="F55"/>
  <c r="G55"/>
  <c r="H55"/>
  <c r="I55"/>
  <c r="J55"/>
  <c r="K55"/>
  <c r="O55"/>
  <c r="P55"/>
  <c r="A56"/>
  <c r="B56"/>
  <c r="C56"/>
  <c r="D56"/>
  <c r="E56"/>
  <c r="F56"/>
  <c r="G56"/>
  <c r="H56"/>
  <c r="I56"/>
  <c r="J56"/>
  <c r="K56"/>
  <c r="O56"/>
  <c r="P56"/>
  <c r="A57"/>
  <c r="B57"/>
  <c r="C57"/>
  <c r="D57"/>
  <c r="E57"/>
  <c r="F57"/>
  <c r="G57"/>
  <c r="H57"/>
  <c r="I57"/>
  <c r="J57"/>
  <c r="K57"/>
  <c r="O57"/>
  <c r="P57"/>
  <c r="A58"/>
  <c r="B58"/>
  <c r="C58"/>
  <c r="D58"/>
  <c r="E58"/>
  <c r="F58"/>
  <c r="G58"/>
  <c r="H58"/>
  <c r="I58"/>
  <c r="J58"/>
  <c r="K58"/>
  <c r="O58"/>
  <c r="P58"/>
  <c r="A59"/>
  <c r="B59"/>
  <c r="C59"/>
  <c r="D59"/>
  <c r="E59"/>
  <c r="F59"/>
  <c r="G59"/>
  <c r="H59"/>
  <c r="I59"/>
  <c r="J59"/>
  <c r="K59"/>
  <c r="O59"/>
  <c r="P59"/>
  <c r="B17" i="37"/>
  <c r="C17"/>
  <c r="D17"/>
  <c r="E17"/>
  <c r="F17"/>
  <c r="G17"/>
  <c r="H17"/>
  <c r="I17"/>
  <c r="J17"/>
  <c r="M17"/>
  <c r="O17"/>
  <c r="B18"/>
  <c r="C18"/>
  <c r="D18"/>
  <c r="E18"/>
  <c r="F18"/>
  <c r="G18"/>
  <c r="H18"/>
  <c r="I18"/>
  <c r="J18"/>
  <c r="M18"/>
  <c r="O18"/>
  <c r="B19"/>
  <c r="C19"/>
  <c r="D19"/>
  <c r="E19"/>
  <c r="F19"/>
  <c r="G19"/>
  <c r="H19"/>
  <c r="I19"/>
  <c r="J19"/>
  <c r="M19"/>
  <c r="O19"/>
  <c r="B20"/>
  <c r="C20"/>
  <c r="D20"/>
  <c r="E20"/>
  <c r="F20"/>
  <c r="G20"/>
  <c r="H20"/>
  <c r="I20"/>
  <c r="J20"/>
  <c r="M20"/>
  <c r="O20"/>
  <c r="B21"/>
  <c r="C21"/>
  <c r="D21"/>
  <c r="E21"/>
  <c r="F21"/>
  <c r="G21"/>
  <c r="H21"/>
  <c r="I21"/>
  <c r="J21"/>
  <c r="M21"/>
  <c r="O21"/>
  <c r="B22"/>
  <c r="C22"/>
  <c r="D22"/>
  <c r="E22"/>
  <c r="F22"/>
  <c r="G22"/>
  <c r="H22"/>
  <c r="I22"/>
  <c r="J22"/>
  <c r="M22"/>
  <c r="O22"/>
  <c r="B23"/>
  <c r="C23"/>
  <c r="D23"/>
  <c r="E23"/>
  <c r="F23"/>
  <c r="G23"/>
  <c r="H23"/>
  <c r="I23"/>
  <c r="J23"/>
  <c r="M23"/>
  <c r="O23"/>
  <c r="B24"/>
  <c r="C24"/>
  <c r="D24"/>
  <c r="E24"/>
  <c r="F24"/>
  <c r="G24"/>
  <c r="H24"/>
  <c r="I24"/>
  <c r="J24"/>
  <c r="M24"/>
  <c r="O24"/>
  <c r="B25"/>
  <c r="C25"/>
  <c r="D25"/>
  <c r="E25"/>
  <c r="F25"/>
  <c r="G25"/>
  <c r="H25"/>
  <c r="I25"/>
  <c r="J25"/>
  <c r="M25"/>
  <c r="O25"/>
  <c r="B26"/>
  <c r="C26"/>
  <c r="D26"/>
  <c r="E26"/>
  <c r="F26"/>
  <c r="G26"/>
  <c r="H26"/>
  <c r="I26"/>
  <c r="J26"/>
  <c r="M26"/>
  <c r="O26"/>
  <c r="B27"/>
  <c r="C27"/>
  <c r="D27"/>
  <c r="E27"/>
  <c r="F27"/>
  <c r="G27"/>
  <c r="H27"/>
  <c r="I27"/>
  <c r="J27"/>
  <c r="M27"/>
  <c r="O27"/>
  <c r="B31" i="36"/>
  <c r="C31"/>
  <c r="T31"/>
  <c r="B32"/>
  <c r="C32"/>
  <c r="T32"/>
  <c r="B33"/>
  <c r="C33"/>
  <c r="T33"/>
  <c r="B34"/>
  <c r="C34"/>
  <c r="T34"/>
  <c r="B35"/>
  <c r="C35"/>
  <c r="T35"/>
  <c r="B36"/>
  <c r="C36"/>
  <c r="T36"/>
  <c r="B37"/>
  <c r="C37"/>
  <c r="T37"/>
  <c r="B38"/>
  <c r="C38"/>
  <c r="T38"/>
  <c r="B39"/>
  <c r="C39"/>
  <c r="T39"/>
  <c r="B40"/>
  <c r="C40"/>
  <c r="T40"/>
  <c r="B41"/>
  <c r="C41"/>
  <c r="T41"/>
  <c r="B42"/>
  <c r="C42"/>
  <c r="T42"/>
  <c r="B43"/>
  <c r="C43"/>
  <c r="T43"/>
  <c r="C7" i="25"/>
  <c r="C8"/>
  <c r="C9"/>
  <c r="C10"/>
  <c r="C11"/>
  <c r="C12"/>
  <c r="C13"/>
  <c r="C14"/>
  <c r="C15"/>
  <c r="C16"/>
  <c r="C17"/>
  <c r="C18"/>
  <c r="C19"/>
  <c r="C20"/>
  <c r="C21"/>
  <c r="C22"/>
  <c r="C23"/>
  <c r="C24"/>
  <c r="C25"/>
  <c r="C26"/>
  <c r="C27"/>
  <c r="C6"/>
  <c r="B6"/>
  <c r="B17"/>
  <c r="G17"/>
  <c r="M17"/>
  <c r="O17"/>
  <c r="Q17"/>
  <c r="B18"/>
  <c r="Q18"/>
  <c r="G18"/>
  <c r="H18"/>
  <c r="M18"/>
  <c r="N18"/>
  <c r="O18"/>
  <c r="P18"/>
  <c r="R18"/>
  <c r="B19"/>
  <c r="G19" s="1"/>
  <c r="O19"/>
  <c r="B20"/>
  <c r="Q20" s="1"/>
  <c r="S20" s="1"/>
  <c r="G20"/>
  <c r="M20"/>
  <c r="O20"/>
  <c r="R20"/>
  <c r="B21"/>
  <c r="G21" s="1"/>
  <c r="M21"/>
  <c r="O21"/>
  <c r="Q21"/>
  <c r="B22"/>
  <c r="Q22"/>
  <c r="S22" s="1"/>
  <c r="G22"/>
  <c r="H22"/>
  <c r="M22"/>
  <c r="N22"/>
  <c r="O22"/>
  <c r="P22"/>
  <c r="R22"/>
  <c r="B23"/>
  <c r="G23" s="1"/>
  <c r="O23"/>
  <c r="B24"/>
  <c r="Q24" s="1"/>
  <c r="S24" s="1"/>
  <c r="G24"/>
  <c r="M24"/>
  <c r="O24"/>
  <c r="R24"/>
  <c r="B25"/>
  <c r="G25" s="1"/>
  <c r="M25"/>
  <c r="O25"/>
  <c r="Q25"/>
  <c r="B26"/>
  <c r="Q26"/>
  <c r="S26" s="1"/>
  <c r="G26"/>
  <c r="H26"/>
  <c r="M26"/>
  <c r="N26"/>
  <c r="O26"/>
  <c r="P26"/>
  <c r="R26"/>
  <c r="B27"/>
  <c r="G27" s="1"/>
  <c r="O27"/>
  <c r="R2" i="46"/>
  <c r="AA3"/>
  <c r="Z3"/>
  <c r="Y3"/>
  <c r="X3"/>
  <c r="W3"/>
  <c r="V3"/>
  <c r="U3"/>
  <c r="T3"/>
  <c r="S3"/>
  <c r="R3"/>
  <c r="Q3"/>
  <c r="P3"/>
  <c r="O3"/>
  <c r="F3"/>
  <c r="G3"/>
  <c r="H3"/>
  <c r="I3"/>
  <c r="J3"/>
  <c r="K3"/>
  <c r="L3"/>
  <c r="M3"/>
  <c r="N3"/>
  <c r="AA15" i="14"/>
  <c r="AA16"/>
  <c r="Z15"/>
  <c r="Z16"/>
  <c r="Y15"/>
  <c r="Y16"/>
  <c r="X15"/>
  <c r="X16"/>
  <c r="W15"/>
  <c r="W16"/>
  <c r="C28"/>
  <c r="D28" s="1"/>
  <c r="Q27" i="25" l="1"/>
  <c r="M27"/>
  <c r="P24"/>
  <c r="N24"/>
  <c r="H24"/>
  <c r="Q23"/>
  <c r="M23"/>
  <c r="P20"/>
  <c r="N20"/>
  <c r="H20"/>
  <c r="Q19"/>
  <c r="M19"/>
  <c r="T24"/>
  <c r="T22"/>
  <c r="T20"/>
  <c r="S18"/>
  <c r="T18" s="1"/>
  <c r="T26"/>
  <c r="R27"/>
  <c r="S27" s="1"/>
  <c r="P27"/>
  <c r="N27"/>
  <c r="T27" s="1"/>
  <c r="H27"/>
  <c r="R25"/>
  <c r="S25" s="1"/>
  <c r="P25"/>
  <c r="N25"/>
  <c r="H25"/>
  <c r="R23"/>
  <c r="S23" s="1"/>
  <c r="P23"/>
  <c r="N23"/>
  <c r="T23" s="1"/>
  <c r="H23"/>
  <c r="R21"/>
  <c r="S21" s="1"/>
  <c r="P21"/>
  <c r="N21"/>
  <c r="H21"/>
  <c r="R19"/>
  <c r="S19" s="1"/>
  <c r="P19"/>
  <c r="N19"/>
  <c r="T19" s="1"/>
  <c r="H19"/>
  <c r="R17"/>
  <c r="S17" s="1"/>
  <c r="P17"/>
  <c r="N17"/>
  <c r="T17" s="1"/>
  <c r="H17"/>
  <c r="B52" i="13"/>
  <c r="G52"/>
  <c r="H52"/>
  <c r="I52"/>
  <c r="J52"/>
  <c r="K52"/>
  <c r="L52"/>
  <c r="M52"/>
  <c r="N52"/>
  <c r="O52"/>
  <c r="P52"/>
  <c r="B53"/>
  <c r="G53"/>
  <c r="H53"/>
  <c r="I53"/>
  <c r="J53"/>
  <c r="K53"/>
  <c r="L53"/>
  <c r="M53"/>
  <c r="N53"/>
  <c r="O53"/>
  <c r="P53"/>
  <c r="B54"/>
  <c r="G54"/>
  <c r="H54"/>
  <c r="I54"/>
  <c r="J54"/>
  <c r="K54"/>
  <c r="L54"/>
  <c r="M54"/>
  <c r="N54"/>
  <c r="O54"/>
  <c r="P54"/>
  <c r="B55"/>
  <c r="G55"/>
  <c r="H55"/>
  <c r="I55"/>
  <c r="J55"/>
  <c r="K55"/>
  <c r="L55"/>
  <c r="M55"/>
  <c r="N55"/>
  <c r="O55"/>
  <c r="P55"/>
  <c r="B56"/>
  <c r="G56"/>
  <c r="H56"/>
  <c r="I56"/>
  <c r="J56"/>
  <c r="K56"/>
  <c r="L56"/>
  <c r="M56"/>
  <c r="N56"/>
  <c r="O56"/>
  <c r="P56"/>
  <c r="B57"/>
  <c r="G57"/>
  <c r="H57"/>
  <c r="I57"/>
  <c r="J57"/>
  <c r="K57"/>
  <c r="L57"/>
  <c r="M57"/>
  <c r="N57"/>
  <c r="O57"/>
  <c r="P57"/>
  <c r="B58"/>
  <c r="G58"/>
  <c r="H58"/>
  <c r="I58"/>
  <c r="J58"/>
  <c r="K58"/>
  <c r="L58"/>
  <c r="M58"/>
  <c r="N58"/>
  <c r="O58"/>
  <c r="P58"/>
  <c r="B59"/>
  <c r="G59"/>
  <c r="H59"/>
  <c r="I59"/>
  <c r="J59"/>
  <c r="K59"/>
  <c r="L59"/>
  <c r="M59"/>
  <c r="N59"/>
  <c r="O59"/>
  <c r="P59"/>
  <c r="B60"/>
  <c r="G60"/>
  <c r="H60"/>
  <c r="I60"/>
  <c r="J60"/>
  <c r="K60"/>
  <c r="L60"/>
  <c r="M60"/>
  <c r="N60"/>
  <c r="O60"/>
  <c r="P60"/>
  <c r="B61"/>
  <c r="G61"/>
  <c r="H61"/>
  <c r="I61"/>
  <c r="J61"/>
  <c r="K61"/>
  <c r="L61"/>
  <c r="M61"/>
  <c r="N61"/>
  <c r="O61"/>
  <c r="P61"/>
  <c r="B62"/>
  <c r="G62"/>
  <c r="H62"/>
  <c r="I62"/>
  <c r="J62"/>
  <c r="K62"/>
  <c r="L62"/>
  <c r="M62"/>
  <c r="N62"/>
  <c r="O62"/>
  <c r="P62"/>
  <c r="G21" i="28"/>
  <c r="G22"/>
  <c r="G23"/>
  <c r="G24"/>
  <c r="G25"/>
  <c r="G26"/>
  <c r="G27"/>
  <c r="G28"/>
  <c r="G29"/>
  <c r="B19"/>
  <c r="B20"/>
  <c r="B21"/>
  <c r="B22"/>
  <c r="B23"/>
  <c r="B24"/>
  <c r="B25"/>
  <c r="B26"/>
  <c r="B27"/>
  <c r="B28"/>
  <c r="B29"/>
  <c r="B16" i="7"/>
  <c r="C16"/>
  <c r="B17"/>
  <c r="C17"/>
  <c r="B18"/>
  <c r="C18"/>
  <c r="B19"/>
  <c r="C19"/>
  <c r="B20"/>
  <c r="C20"/>
  <c r="B21"/>
  <c r="C21"/>
  <c r="B22"/>
  <c r="C22"/>
  <c r="B23"/>
  <c r="C23"/>
  <c r="B24"/>
  <c r="C24"/>
  <c r="B25"/>
  <c r="C25"/>
  <c r="B26"/>
  <c r="C26"/>
  <c r="H53" i="23"/>
  <c r="I53"/>
  <c r="J53"/>
  <c r="K53"/>
  <c r="L53"/>
  <c r="M53"/>
  <c r="N53"/>
  <c r="O53"/>
  <c r="P53"/>
  <c r="D42"/>
  <c r="E42"/>
  <c r="F42"/>
  <c r="G42"/>
  <c r="H42"/>
  <c r="I42"/>
  <c r="J42"/>
  <c r="K42"/>
  <c r="L42"/>
  <c r="M42"/>
  <c r="N42"/>
  <c r="O42"/>
  <c r="P42"/>
  <c r="D43"/>
  <c r="E43"/>
  <c r="F43"/>
  <c r="G43"/>
  <c r="H43"/>
  <c r="I43"/>
  <c r="J43"/>
  <c r="K43"/>
  <c r="L43"/>
  <c r="M43"/>
  <c r="N43"/>
  <c r="O43"/>
  <c r="P43"/>
  <c r="D44"/>
  <c r="E44"/>
  <c r="F44"/>
  <c r="G44"/>
  <c r="H44"/>
  <c r="I44"/>
  <c r="J44"/>
  <c r="K44"/>
  <c r="L44"/>
  <c r="M44"/>
  <c r="N44"/>
  <c r="O44"/>
  <c r="P44"/>
  <c r="D45"/>
  <c r="E45"/>
  <c r="F45"/>
  <c r="G45"/>
  <c r="H45"/>
  <c r="I45"/>
  <c r="J45"/>
  <c r="K45"/>
  <c r="L45"/>
  <c r="M45"/>
  <c r="N45"/>
  <c r="O45"/>
  <c r="P45"/>
  <c r="D46"/>
  <c r="E46"/>
  <c r="F46"/>
  <c r="G46"/>
  <c r="H46"/>
  <c r="I46"/>
  <c r="J46"/>
  <c r="K46"/>
  <c r="L46"/>
  <c r="M46"/>
  <c r="N46"/>
  <c r="O46"/>
  <c r="P46"/>
  <c r="D47"/>
  <c r="E47"/>
  <c r="F47"/>
  <c r="G47"/>
  <c r="H47"/>
  <c r="I47"/>
  <c r="J47"/>
  <c r="K47"/>
  <c r="L47"/>
  <c r="M47"/>
  <c r="N47"/>
  <c r="O47"/>
  <c r="P47"/>
  <c r="D48"/>
  <c r="E48"/>
  <c r="F48"/>
  <c r="G48"/>
  <c r="H48"/>
  <c r="I48"/>
  <c r="J48"/>
  <c r="K48"/>
  <c r="L48"/>
  <c r="M48"/>
  <c r="N48"/>
  <c r="O48"/>
  <c r="P48"/>
  <c r="D49"/>
  <c r="E49"/>
  <c r="F49"/>
  <c r="G49"/>
  <c r="H49"/>
  <c r="I49"/>
  <c r="J49"/>
  <c r="K49"/>
  <c r="L49"/>
  <c r="M49"/>
  <c r="N49"/>
  <c r="O49"/>
  <c r="P49"/>
  <c r="D50"/>
  <c r="E50"/>
  <c r="F50"/>
  <c r="G50"/>
  <c r="H50"/>
  <c r="I50"/>
  <c r="J50"/>
  <c r="K50"/>
  <c r="L50"/>
  <c r="M50"/>
  <c r="N50"/>
  <c r="O50"/>
  <c r="P50"/>
  <c r="D51"/>
  <c r="E51"/>
  <c r="F51"/>
  <c r="G51"/>
  <c r="H51"/>
  <c r="I51"/>
  <c r="J51"/>
  <c r="K51"/>
  <c r="L51"/>
  <c r="M51"/>
  <c r="N51"/>
  <c r="O51"/>
  <c r="P51"/>
  <c r="D52"/>
  <c r="E52"/>
  <c r="F52"/>
  <c r="G52"/>
  <c r="H52"/>
  <c r="I52"/>
  <c r="J52"/>
  <c r="K52"/>
  <c r="L52"/>
  <c r="M52"/>
  <c r="N52"/>
  <c r="O52"/>
  <c r="P52"/>
  <c r="C42"/>
  <c r="C43"/>
  <c r="C44"/>
  <c r="C45"/>
  <c r="C46"/>
  <c r="C47"/>
  <c r="C48"/>
  <c r="C49"/>
  <c r="C50"/>
  <c r="C51"/>
  <c r="C52"/>
  <c r="B42"/>
  <c r="B43"/>
  <c r="B44"/>
  <c r="B45"/>
  <c r="B46"/>
  <c r="B47"/>
  <c r="B48"/>
  <c r="B49"/>
  <c r="B50"/>
  <c r="B51"/>
  <c r="B52"/>
  <c r="B16"/>
  <c r="B17"/>
  <c r="B18"/>
  <c r="B19"/>
  <c r="B20"/>
  <c r="B21"/>
  <c r="B22"/>
  <c r="B23"/>
  <c r="B24"/>
  <c r="B25"/>
  <c r="B26"/>
  <c r="D45" i="51"/>
  <c r="B45"/>
  <c r="T21" i="25" l="1"/>
  <c r="O88" i="29"/>
  <c r="O43"/>
  <c r="M88"/>
  <c r="M43"/>
  <c r="K88"/>
  <c r="K43"/>
  <c r="I88"/>
  <c r="I43"/>
  <c r="G88"/>
  <c r="G43"/>
  <c r="O87"/>
  <c r="O42"/>
  <c r="M87"/>
  <c r="M42"/>
  <c r="K87"/>
  <c r="K42"/>
  <c r="I87"/>
  <c r="I42"/>
  <c r="G87"/>
  <c r="G42"/>
  <c r="O86"/>
  <c r="O41"/>
  <c r="M86"/>
  <c r="M41"/>
  <c r="K86"/>
  <c r="K41"/>
  <c r="I86"/>
  <c r="I41"/>
  <c r="G86"/>
  <c r="G41"/>
  <c r="O85"/>
  <c r="O40"/>
  <c r="M85"/>
  <c r="M40"/>
  <c r="K85"/>
  <c r="K40"/>
  <c r="I85"/>
  <c r="I40"/>
  <c r="G85"/>
  <c r="G40"/>
  <c r="O84"/>
  <c r="O39"/>
  <c r="M84"/>
  <c r="M39"/>
  <c r="K84"/>
  <c r="K39"/>
  <c r="I84"/>
  <c r="I39"/>
  <c r="G84"/>
  <c r="G39"/>
  <c r="O83"/>
  <c r="O38"/>
  <c r="M83"/>
  <c r="M38"/>
  <c r="K83"/>
  <c r="K38"/>
  <c r="I83"/>
  <c r="I38"/>
  <c r="G83"/>
  <c r="G38"/>
  <c r="O82"/>
  <c r="O37"/>
  <c r="M82"/>
  <c r="M37"/>
  <c r="K82"/>
  <c r="K37"/>
  <c r="I82"/>
  <c r="I37"/>
  <c r="G82"/>
  <c r="G37"/>
  <c r="O81"/>
  <c r="O36"/>
  <c r="M81"/>
  <c r="M36"/>
  <c r="K81"/>
  <c r="K36"/>
  <c r="I81"/>
  <c r="I36"/>
  <c r="G81"/>
  <c r="G36"/>
  <c r="O80"/>
  <c r="O35"/>
  <c r="M80"/>
  <c r="M35"/>
  <c r="K80"/>
  <c r="K35"/>
  <c r="I80"/>
  <c r="I35"/>
  <c r="G80"/>
  <c r="G35"/>
  <c r="O79"/>
  <c r="O34"/>
  <c r="M79"/>
  <c r="M34"/>
  <c r="K79"/>
  <c r="K34"/>
  <c r="I79"/>
  <c r="I34"/>
  <c r="G79"/>
  <c r="G34"/>
  <c r="O78"/>
  <c r="O33"/>
  <c r="M78"/>
  <c r="M33"/>
  <c r="K78"/>
  <c r="K33"/>
  <c r="I78"/>
  <c r="I33"/>
  <c r="G78"/>
  <c r="G33"/>
  <c r="S29" i="28"/>
  <c r="P88" i="29"/>
  <c r="P43"/>
  <c r="N88"/>
  <c r="N43"/>
  <c r="L88"/>
  <c r="L43"/>
  <c r="J88"/>
  <c r="J43"/>
  <c r="H88"/>
  <c r="H43"/>
  <c r="S28" i="28"/>
  <c r="P87" i="29"/>
  <c r="P42"/>
  <c r="N87"/>
  <c r="N42"/>
  <c r="L87"/>
  <c r="L42"/>
  <c r="J87"/>
  <c r="J42"/>
  <c r="H87"/>
  <c r="H42"/>
  <c r="S27" i="28"/>
  <c r="P86" i="29"/>
  <c r="P41"/>
  <c r="N86"/>
  <c r="N41"/>
  <c r="L86"/>
  <c r="L41"/>
  <c r="J86"/>
  <c r="J41"/>
  <c r="H86"/>
  <c r="H41"/>
  <c r="S26" i="28"/>
  <c r="P85" i="29"/>
  <c r="P40"/>
  <c r="N85"/>
  <c r="N40"/>
  <c r="L85"/>
  <c r="L40"/>
  <c r="J85"/>
  <c r="J40"/>
  <c r="H85"/>
  <c r="H40"/>
  <c r="S25" i="28"/>
  <c r="P84" i="29"/>
  <c r="P39"/>
  <c r="N84"/>
  <c r="N39"/>
  <c r="L84"/>
  <c r="L39"/>
  <c r="J84"/>
  <c r="J39"/>
  <c r="H84"/>
  <c r="H39"/>
  <c r="S24" i="28"/>
  <c r="P83" i="29"/>
  <c r="P38"/>
  <c r="N83"/>
  <c r="N38"/>
  <c r="L83"/>
  <c r="L38"/>
  <c r="J83"/>
  <c r="J38"/>
  <c r="H83"/>
  <c r="H38"/>
  <c r="S23" i="28"/>
  <c r="P82" i="29"/>
  <c r="P37"/>
  <c r="N82"/>
  <c r="N37"/>
  <c r="L82"/>
  <c r="L37"/>
  <c r="J82"/>
  <c r="J37"/>
  <c r="H82"/>
  <c r="H37"/>
  <c r="S22" i="28"/>
  <c r="P81" i="29"/>
  <c r="P36"/>
  <c r="N81"/>
  <c r="N36"/>
  <c r="L81"/>
  <c r="L36"/>
  <c r="J81"/>
  <c r="J36"/>
  <c r="H81"/>
  <c r="H36"/>
  <c r="S21" i="28"/>
  <c r="P80" i="29"/>
  <c r="P35"/>
  <c r="N80"/>
  <c r="N35"/>
  <c r="L80"/>
  <c r="L35"/>
  <c r="J80"/>
  <c r="J35"/>
  <c r="H80"/>
  <c r="H35"/>
  <c r="S20" i="28"/>
  <c r="P79" i="29"/>
  <c r="P34"/>
  <c r="N79"/>
  <c r="N34"/>
  <c r="L79"/>
  <c r="L34"/>
  <c r="J79"/>
  <c r="J34"/>
  <c r="H79"/>
  <c r="H34"/>
  <c r="S19" i="28"/>
  <c r="P78" i="29"/>
  <c r="P33"/>
  <c r="N78"/>
  <c r="N33"/>
  <c r="L78"/>
  <c r="L33"/>
  <c r="J78"/>
  <c r="J33"/>
  <c r="H78"/>
  <c r="H33"/>
  <c r="T25" i="25"/>
  <c r="P29" i="28"/>
  <c r="N43" i="36"/>
  <c r="N29" i="28"/>
  <c r="L43" i="36"/>
  <c r="L29" i="28"/>
  <c r="J43" i="36"/>
  <c r="J29" i="28"/>
  <c r="H43" i="36"/>
  <c r="Q28" i="28"/>
  <c r="O42" i="36"/>
  <c r="O28" i="28"/>
  <c r="M42" i="36"/>
  <c r="M28" i="28"/>
  <c r="K42" i="36"/>
  <c r="K28" i="28"/>
  <c r="I42" i="36"/>
  <c r="R27" i="28"/>
  <c r="P41" i="36"/>
  <c r="P27" i="28"/>
  <c r="N41" i="36"/>
  <c r="N27" i="28"/>
  <c r="L41" i="36"/>
  <c r="L27" i="28"/>
  <c r="J41" i="36"/>
  <c r="J27" i="28"/>
  <c r="H41" i="36"/>
  <c r="Q26" i="28"/>
  <c r="O40" i="36"/>
  <c r="O26" i="28"/>
  <c r="M40" i="36"/>
  <c r="M26" i="28"/>
  <c r="K40" i="36"/>
  <c r="K26" i="28"/>
  <c r="I40" i="36"/>
  <c r="R25" i="28"/>
  <c r="P39" i="36"/>
  <c r="P25" i="28"/>
  <c r="N39" i="36"/>
  <c r="N25" i="28"/>
  <c r="L39" i="36"/>
  <c r="L25" i="28"/>
  <c r="J39" i="36"/>
  <c r="J25" i="28"/>
  <c r="H39" i="36"/>
  <c r="Q24" i="28"/>
  <c r="O38" i="36"/>
  <c r="O24" i="28"/>
  <c r="M38" i="36"/>
  <c r="M24" i="28"/>
  <c r="K38" i="36"/>
  <c r="K24" i="28"/>
  <c r="I38" i="36"/>
  <c r="R23" i="28"/>
  <c r="P37" i="36"/>
  <c r="P23" i="28"/>
  <c r="N37" i="36"/>
  <c r="N23" i="28"/>
  <c r="L37" i="36"/>
  <c r="L23" i="28"/>
  <c r="J37" i="36"/>
  <c r="J23" i="28"/>
  <c r="H37" i="36"/>
  <c r="Q22" i="28"/>
  <c r="O36" i="36"/>
  <c r="O22" i="28"/>
  <c r="M36" i="36"/>
  <c r="M22" i="28"/>
  <c r="K36" i="36"/>
  <c r="K22" i="28"/>
  <c r="I36" i="36"/>
  <c r="R21" i="28"/>
  <c r="P35" i="36"/>
  <c r="P21" i="28"/>
  <c r="N35" i="36"/>
  <c r="N21" i="28"/>
  <c r="L35" i="36"/>
  <c r="L21" i="28"/>
  <c r="J35" i="36"/>
  <c r="J21" i="28"/>
  <c r="H35" i="36"/>
  <c r="Q20" i="28"/>
  <c r="O34" i="36"/>
  <c r="O20" i="28"/>
  <c r="M34" i="36"/>
  <c r="M20" i="28"/>
  <c r="K34" i="36"/>
  <c r="K20" i="28"/>
  <c r="I34" i="36"/>
  <c r="R19" i="28"/>
  <c r="P33" i="36"/>
  <c r="P19" i="28"/>
  <c r="N33" i="36"/>
  <c r="N19" i="28"/>
  <c r="L33" i="36"/>
  <c r="L19" i="28"/>
  <c r="J33" i="36"/>
  <c r="J19" i="28"/>
  <c r="H33" i="36"/>
  <c r="R29" i="28"/>
  <c r="P43" i="36"/>
  <c r="Q29" i="28"/>
  <c r="O43" i="36"/>
  <c r="O29" i="28"/>
  <c r="M43" i="36"/>
  <c r="M29" i="28"/>
  <c r="K43" i="36"/>
  <c r="K29" i="28"/>
  <c r="I43" i="36"/>
  <c r="R28" i="28"/>
  <c r="P42" i="36"/>
  <c r="P28" i="28"/>
  <c r="N42" i="36"/>
  <c r="N28" i="28"/>
  <c r="L42" i="36"/>
  <c r="L28" i="28"/>
  <c r="J42" i="36"/>
  <c r="J28" i="28"/>
  <c r="H42" i="36"/>
  <c r="Q27" i="28"/>
  <c r="O41" i="36"/>
  <c r="O27" i="28"/>
  <c r="M41" i="36"/>
  <c r="M27" i="28"/>
  <c r="K41" i="36"/>
  <c r="K27" i="28"/>
  <c r="I41" i="36"/>
  <c r="R26" i="28"/>
  <c r="P40" i="36"/>
  <c r="P26" i="28"/>
  <c r="N40" i="36"/>
  <c r="N26" i="28"/>
  <c r="L40" i="36"/>
  <c r="L26" i="28"/>
  <c r="J40" i="36"/>
  <c r="J26" i="28"/>
  <c r="H40" i="36"/>
  <c r="Q25" i="28"/>
  <c r="O39" i="36"/>
  <c r="O25" i="28"/>
  <c r="M39" i="36"/>
  <c r="M25" i="28"/>
  <c r="K39" i="36"/>
  <c r="K25" i="28"/>
  <c r="I39" i="36"/>
  <c r="R24" i="28"/>
  <c r="P38" i="36"/>
  <c r="P24" i="28"/>
  <c r="N38" i="36"/>
  <c r="N24" i="28"/>
  <c r="L38" i="36"/>
  <c r="L24" i="28"/>
  <c r="J38" i="36"/>
  <c r="J24" i="28"/>
  <c r="H38" i="36"/>
  <c r="Q23" i="28"/>
  <c r="O37" i="36"/>
  <c r="O23" i="28"/>
  <c r="M37" i="36"/>
  <c r="M23" i="28"/>
  <c r="K37" i="36"/>
  <c r="K23" i="28"/>
  <c r="I37" i="36"/>
  <c r="R22" i="28"/>
  <c r="P36" i="36"/>
  <c r="P22" i="28"/>
  <c r="N36" i="36"/>
  <c r="N22" i="28"/>
  <c r="L36" i="36"/>
  <c r="L22" i="28"/>
  <c r="J36" i="36"/>
  <c r="J22" i="28"/>
  <c r="H36" i="36"/>
  <c r="Q21" i="28"/>
  <c r="O35" i="36"/>
  <c r="O21" i="28"/>
  <c r="M35" i="36"/>
  <c r="M21" i="28"/>
  <c r="K35" i="36"/>
  <c r="K21" i="28"/>
  <c r="I35" i="36"/>
  <c r="R20" i="28"/>
  <c r="P34" i="36"/>
  <c r="P20" i="28"/>
  <c r="N34" i="36"/>
  <c r="N20" i="28"/>
  <c r="L34" i="36"/>
  <c r="L20" i="28"/>
  <c r="J34" i="36"/>
  <c r="J20" i="28"/>
  <c r="H34" i="36"/>
  <c r="Q19" i="28"/>
  <c r="O33" i="36"/>
  <c r="O19" i="28"/>
  <c r="M33" i="36"/>
  <c r="M19" i="28"/>
  <c r="K33" i="36"/>
  <c r="K19" i="28"/>
  <c r="I33" i="36"/>
  <c r="D44" i="51"/>
  <c r="C44"/>
  <c r="B44"/>
  <c r="D43" l="1"/>
  <c r="C43"/>
  <c r="B43"/>
  <c r="D42" l="1"/>
  <c r="C42"/>
  <c r="B42"/>
  <c r="D41" l="1"/>
  <c r="B41"/>
  <c r="D40" l="1"/>
  <c r="C40"/>
  <c r="B40"/>
  <c r="D39" l="1"/>
  <c r="B39"/>
  <c r="D38" l="1"/>
  <c r="C38"/>
  <c r="B38"/>
  <c r="D37" l="1"/>
  <c r="C37"/>
  <c r="B37"/>
  <c r="D36" l="1"/>
  <c r="B36"/>
  <c r="D35" l="1"/>
  <c r="B35"/>
  <c r="D34" l="1"/>
  <c r="C34"/>
  <c r="B34"/>
  <c r="A34" s="1"/>
  <c r="A35" s="1"/>
  <c r="A36" s="1"/>
  <c r="A37" s="1"/>
  <c r="A38" s="1"/>
  <c r="A39" s="1"/>
  <c r="A40" s="1"/>
  <c r="A41" s="1"/>
  <c r="A42" s="1"/>
  <c r="A43" s="1"/>
  <c r="A44" s="1"/>
  <c r="A45" s="1"/>
  <c r="E28" l="1"/>
  <c r="A28"/>
  <c r="E27"/>
  <c r="D27"/>
  <c r="C27"/>
  <c r="F26"/>
  <c r="D26"/>
  <c r="D20"/>
  <c r="B20"/>
  <c r="D19"/>
  <c r="C19"/>
  <c r="B19"/>
  <c r="D18" l="1"/>
  <c r="C18"/>
  <c r="B18"/>
  <c r="D17" l="1"/>
  <c r="C17"/>
  <c r="B17"/>
  <c r="D16" l="1"/>
  <c r="B16"/>
  <c r="D15" l="1"/>
  <c r="C15"/>
  <c r="B15"/>
  <c r="D14" l="1"/>
  <c r="B14"/>
  <c r="D13" l="1"/>
  <c r="C13"/>
  <c r="B13"/>
  <c r="D12" l="1"/>
  <c r="C12"/>
  <c r="B12"/>
  <c r="D11" l="1"/>
  <c r="B11"/>
  <c r="D10" l="1"/>
  <c r="B10"/>
  <c r="D9" l="1"/>
  <c r="C9"/>
  <c r="B9"/>
  <c r="A9" s="1"/>
  <c r="A10" s="1"/>
  <c r="A11" s="1"/>
  <c r="A12" s="1"/>
  <c r="A13" s="1"/>
  <c r="A14" s="1"/>
  <c r="A15" s="1"/>
  <c r="A16" s="1"/>
  <c r="A17" s="1"/>
  <c r="A18" s="1"/>
  <c r="A19" s="1"/>
  <c r="A20" s="1"/>
  <c r="E3" l="1"/>
  <c r="A3"/>
  <c r="E2"/>
  <c r="D2"/>
  <c r="C2"/>
  <c r="F1"/>
  <c r="D1"/>
  <c r="D45" i="50"/>
  <c r="B45"/>
  <c r="D44" l="1"/>
  <c r="C44"/>
  <c r="B44"/>
  <c r="D43" l="1"/>
  <c r="C43"/>
  <c r="B43"/>
  <c r="D42" l="1"/>
  <c r="C42"/>
  <c r="B42"/>
  <c r="D41" l="1"/>
  <c r="B41"/>
  <c r="D40" l="1"/>
  <c r="C40"/>
  <c r="B40"/>
  <c r="D39" l="1"/>
  <c r="B39"/>
  <c r="D38" l="1"/>
  <c r="C38"/>
  <c r="B38"/>
  <c r="D37" l="1"/>
  <c r="C37"/>
  <c r="B37"/>
  <c r="D36" l="1"/>
  <c r="B36"/>
  <c r="D35" l="1"/>
  <c r="B35"/>
  <c r="D34" l="1"/>
  <c r="C34"/>
  <c r="B34"/>
  <c r="A34" s="1"/>
  <c r="A35" s="1"/>
  <c r="A36" s="1"/>
  <c r="A37" s="1"/>
  <c r="A38" s="1"/>
  <c r="A39" s="1"/>
  <c r="A40" s="1"/>
  <c r="A41" s="1"/>
  <c r="A42" s="1"/>
  <c r="A43" s="1"/>
  <c r="A44" s="1"/>
  <c r="A45" s="1"/>
  <c r="E28" l="1"/>
  <c r="A28"/>
  <c r="E27"/>
  <c r="D27"/>
  <c r="C27"/>
  <c r="F26"/>
  <c r="D26"/>
  <c r="D20"/>
  <c r="B20"/>
  <c r="D19" l="1"/>
  <c r="C19"/>
  <c r="B19"/>
  <c r="D18" l="1"/>
  <c r="C18"/>
  <c r="B18"/>
  <c r="D17" l="1"/>
  <c r="C17"/>
  <c r="B17"/>
  <c r="D16" l="1"/>
  <c r="B16"/>
  <c r="D15" l="1"/>
  <c r="C15"/>
  <c r="B15"/>
  <c r="D14" l="1"/>
  <c r="B14"/>
  <c r="D13" l="1"/>
  <c r="C13"/>
  <c r="B13"/>
  <c r="D12" l="1"/>
  <c r="C12"/>
  <c r="B12"/>
  <c r="D11" l="1"/>
  <c r="B11"/>
  <c r="D10" l="1"/>
  <c r="B10"/>
  <c r="D9" l="1"/>
  <c r="C9"/>
  <c r="B9"/>
  <c r="A9" s="1"/>
  <c r="A10" s="1"/>
  <c r="A11" s="1"/>
  <c r="A12" s="1"/>
  <c r="A13" s="1"/>
  <c r="A14" s="1"/>
  <c r="A15" s="1"/>
  <c r="A16" s="1"/>
  <c r="A17" s="1"/>
  <c r="A18" s="1"/>
  <c r="A19" s="1"/>
  <c r="A20" s="1"/>
  <c r="E3" l="1"/>
  <c r="A3"/>
  <c r="E2"/>
  <c r="D2"/>
  <c r="C2"/>
  <c r="F1"/>
  <c r="D1"/>
  <c r="D45" i="49"/>
  <c r="B45"/>
  <c r="D44" l="1"/>
  <c r="C44"/>
  <c r="B44"/>
  <c r="D43" l="1"/>
  <c r="C43"/>
  <c r="B43"/>
  <c r="D42" l="1"/>
  <c r="C42"/>
  <c r="B42"/>
  <c r="D41" l="1"/>
  <c r="B41"/>
  <c r="D40" l="1"/>
  <c r="C40"/>
  <c r="B40"/>
  <c r="D39" l="1"/>
  <c r="B39"/>
  <c r="D38" l="1"/>
  <c r="C38"/>
  <c r="B38"/>
  <c r="D37" l="1"/>
  <c r="C37"/>
  <c r="B37"/>
  <c r="D36" l="1"/>
  <c r="B36"/>
  <c r="D35" l="1"/>
  <c r="B35"/>
  <c r="D34" l="1"/>
  <c r="C34"/>
  <c r="B34"/>
  <c r="A34" s="1"/>
  <c r="A35" s="1"/>
  <c r="A36" s="1"/>
  <c r="A37" s="1"/>
  <c r="A38" s="1"/>
  <c r="A39" s="1"/>
  <c r="A40" s="1"/>
  <c r="A41" s="1"/>
  <c r="A42" s="1"/>
  <c r="A43" s="1"/>
  <c r="A44" s="1"/>
  <c r="A45" s="1"/>
  <c r="E28" l="1"/>
  <c r="A28"/>
  <c r="E27"/>
  <c r="D27"/>
  <c r="C27"/>
  <c r="F26"/>
  <c r="D26"/>
  <c r="D20"/>
  <c r="B20"/>
  <c r="D19" l="1"/>
  <c r="C19"/>
  <c r="B19"/>
  <c r="D18" l="1"/>
  <c r="C18"/>
  <c r="B18"/>
  <c r="D17" l="1"/>
  <c r="C17"/>
  <c r="B17"/>
  <c r="D16" l="1"/>
  <c r="B16"/>
  <c r="D15" l="1"/>
  <c r="C15"/>
  <c r="B15"/>
  <c r="D14" l="1"/>
  <c r="B14"/>
  <c r="D13" l="1"/>
  <c r="C13"/>
  <c r="B13"/>
  <c r="D12" l="1"/>
  <c r="C12"/>
  <c r="B12"/>
  <c r="D11" l="1"/>
  <c r="B11"/>
  <c r="D10" l="1"/>
  <c r="B10"/>
  <c r="D9" l="1"/>
  <c r="C9"/>
  <c r="B9"/>
  <c r="A9" s="1"/>
  <c r="A10" s="1"/>
  <c r="A11" s="1"/>
  <c r="A12" s="1"/>
  <c r="A13" s="1"/>
  <c r="A14" s="1"/>
  <c r="A15" s="1"/>
  <c r="A16" s="1"/>
  <c r="A17" s="1"/>
  <c r="A18" s="1"/>
  <c r="A19" s="1"/>
  <c r="A20" s="1"/>
  <c r="E3" l="1"/>
  <c r="A3"/>
  <c r="E2"/>
  <c r="D2"/>
  <c r="C2"/>
  <c r="F1"/>
  <c r="D1"/>
  <c r="D45" i="48"/>
  <c r="B45"/>
  <c r="D44" l="1"/>
  <c r="C44"/>
  <c r="B44"/>
  <c r="D43" l="1"/>
  <c r="C43"/>
  <c r="B43"/>
  <c r="D42" l="1"/>
  <c r="C42"/>
  <c r="B42"/>
  <c r="D41" l="1"/>
  <c r="B41"/>
  <c r="D40" l="1"/>
  <c r="C40"/>
  <c r="B40"/>
  <c r="D39" l="1"/>
  <c r="B39"/>
  <c r="D38" l="1"/>
  <c r="C38"/>
  <c r="B38"/>
  <c r="D37" l="1"/>
  <c r="C37"/>
  <c r="B37"/>
  <c r="D36" l="1"/>
  <c r="B36"/>
  <c r="D35" l="1"/>
  <c r="B35"/>
  <c r="D34" l="1"/>
  <c r="C34"/>
  <c r="B34"/>
  <c r="A34"/>
  <c r="A35" s="1"/>
  <c r="A36" s="1"/>
  <c r="A37" s="1"/>
  <c r="A38" s="1"/>
  <c r="A39" s="1"/>
  <c r="A40" s="1"/>
  <c r="A41" s="1"/>
  <c r="A42" s="1"/>
  <c r="A43" s="1"/>
  <c r="A44" s="1"/>
  <c r="A45" s="1"/>
  <c r="E28" l="1"/>
  <c r="A28"/>
  <c r="E27"/>
  <c r="D27"/>
  <c r="C27"/>
  <c r="F26"/>
  <c r="D26"/>
  <c r="D20"/>
  <c r="B20"/>
  <c r="D19"/>
  <c r="C19"/>
  <c r="B19"/>
  <c r="D18" l="1"/>
  <c r="C18"/>
  <c r="B18"/>
  <c r="D17" l="1"/>
  <c r="C17"/>
  <c r="B17"/>
  <c r="D16" l="1"/>
  <c r="B16"/>
  <c r="D15" l="1"/>
  <c r="C15"/>
  <c r="B15"/>
  <c r="D14" l="1"/>
  <c r="B14"/>
  <c r="D13" l="1"/>
  <c r="C13"/>
  <c r="B13"/>
  <c r="D12" l="1"/>
  <c r="C12"/>
  <c r="B12"/>
  <c r="D11" l="1"/>
  <c r="B11"/>
  <c r="D10" l="1"/>
  <c r="B10"/>
  <c r="D9" l="1"/>
  <c r="C9"/>
  <c r="B9"/>
  <c r="A9" s="1"/>
  <c r="A10" s="1"/>
  <c r="A11" s="1"/>
  <c r="A12" s="1"/>
  <c r="A13" s="1"/>
  <c r="A14" s="1"/>
  <c r="A15" s="1"/>
  <c r="A16" s="1"/>
  <c r="A17" s="1"/>
  <c r="A18" s="1"/>
  <c r="A19" s="1"/>
  <c r="A20" s="1"/>
  <c r="E3" l="1"/>
  <c r="A3"/>
  <c r="E2"/>
  <c r="D2"/>
  <c r="C2"/>
  <c r="F1"/>
  <c r="D1"/>
  <c r="D45" i="47"/>
  <c r="B45"/>
  <c r="D44" l="1"/>
  <c r="C44"/>
  <c r="B44"/>
  <c r="D43" l="1"/>
  <c r="C43"/>
  <c r="B43"/>
  <c r="D42" l="1"/>
  <c r="C42"/>
  <c r="B42"/>
  <c r="D41" l="1"/>
  <c r="B41"/>
  <c r="D40" l="1"/>
  <c r="C40"/>
  <c r="B40"/>
  <c r="D39" l="1"/>
  <c r="B39"/>
  <c r="D38" l="1"/>
  <c r="C38"/>
  <c r="B38"/>
  <c r="D37" l="1"/>
  <c r="C37"/>
  <c r="B37"/>
  <c r="D36" l="1"/>
  <c r="B36"/>
  <c r="D35" l="1"/>
  <c r="B35"/>
  <c r="D34" l="1"/>
  <c r="C34"/>
  <c r="B34"/>
  <c r="A34"/>
  <c r="A35" s="1"/>
  <c r="A36" s="1"/>
  <c r="A37" s="1"/>
  <c r="A38" s="1"/>
  <c r="A39" s="1"/>
  <c r="A40" s="1"/>
  <c r="A41" s="1"/>
  <c r="A42" s="1"/>
  <c r="A43" s="1"/>
  <c r="A44" s="1"/>
  <c r="A45" s="1"/>
  <c r="E28" l="1"/>
  <c r="A28"/>
  <c r="E27"/>
  <c r="D27"/>
  <c r="C27"/>
  <c r="F26"/>
  <c r="D26"/>
  <c r="D20"/>
  <c r="B20"/>
  <c r="D19" l="1"/>
  <c r="C19"/>
  <c r="B19"/>
  <c r="D18" l="1"/>
  <c r="C18"/>
  <c r="B18"/>
  <c r="D17" l="1"/>
  <c r="C17"/>
  <c r="B17"/>
  <c r="D16" l="1"/>
  <c r="B16"/>
  <c r="D15" l="1"/>
  <c r="C15"/>
  <c r="B15"/>
  <c r="D14" l="1"/>
  <c r="B14"/>
  <c r="D13" l="1"/>
  <c r="C13"/>
  <c r="B13"/>
  <c r="D12" l="1"/>
  <c r="C12"/>
  <c r="B12"/>
  <c r="D11" l="1"/>
  <c r="B11"/>
  <c r="D10" l="1"/>
  <c r="B10"/>
  <c r="D9" l="1"/>
  <c r="C9"/>
  <c r="B9"/>
  <c r="A9" s="1"/>
  <c r="A10" s="1"/>
  <c r="A11" s="1"/>
  <c r="A12" s="1"/>
  <c r="A13" s="1"/>
  <c r="A14" s="1"/>
  <c r="A15" s="1"/>
  <c r="A16" s="1"/>
  <c r="A17" s="1"/>
  <c r="A18" s="1"/>
  <c r="A19" s="1"/>
  <c r="A20" s="1"/>
  <c r="E3" l="1"/>
  <c r="A3"/>
  <c r="E2"/>
  <c r="D2"/>
  <c r="C2"/>
  <c r="F1"/>
  <c r="D1"/>
  <c r="O17" i="14"/>
  <c r="W17"/>
  <c r="X17"/>
  <c r="Y17"/>
  <c r="Z17"/>
  <c r="AA17"/>
  <c r="O18"/>
  <c r="W18"/>
  <c r="X18"/>
  <c r="Y18"/>
  <c r="Z18"/>
  <c r="AA18"/>
  <c r="O19"/>
  <c r="W19"/>
  <c r="X19"/>
  <c r="Y19"/>
  <c r="Z19"/>
  <c r="AA19"/>
  <c r="O20"/>
  <c r="W20"/>
  <c r="X20"/>
  <c r="Y20"/>
  <c r="Z20"/>
  <c r="AA20"/>
  <c r="O21"/>
  <c r="W21"/>
  <c r="X21"/>
  <c r="Y21"/>
  <c r="Z21"/>
  <c r="AA21"/>
  <c r="O22"/>
  <c r="W22"/>
  <c r="X22"/>
  <c r="Y22"/>
  <c r="Z22"/>
  <c r="AA22"/>
  <c r="O23"/>
  <c r="W23"/>
  <c r="X23"/>
  <c r="Y23"/>
  <c r="Z23"/>
  <c r="AA23"/>
  <c r="O24"/>
  <c r="W24"/>
  <c r="X24"/>
  <c r="Y24"/>
  <c r="Z24"/>
  <c r="AA24"/>
  <c r="O25"/>
  <c r="W25"/>
  <c r="X25"/>
  <c r="Y25"/>
  <c r="Z25"/>
  <c r="AA25"/>
  <c r="O26"/>
  <c r="W26"/>
  <c r="X26"/>
  <c r="Y26"/>
  <c r="Z26"/>
  <c r="AA26"/>
  <c r="O27"/>
  <c r="W27"/>
  <c r="X27"/>
  <c r="Y27"/>
  <c r="Z27"/>
  <c r="AA27"/>
  <c r="K27"/>
  <c r="J27"/>
  <c r="I27"/>
  <c r="K26"/>
  <c r="J26"/>
  <c r="I26"/>
  <c r="K25"/>
  <c r="J25"/>
  <c r="I25"/>
  <c r="K24"/>
  <c r="J24"/>
  <c r="I24"/>
  <c r="K23"/>
  <c r="J23"/>
  <c r="I23"/>
  <c r="K22"/>
  <c r="J22"/>
  <c r="I22"/>
  <c r="K21"/>
  <c r="J21"/>
  <c r="I21"/>
  <c r="K20"/>
  <c r="J20"/>
  <c r="I20"/>
  <c r="K19"/>
  <c r="J19"/>
  <c r="I19"/>
  <c r="K18"/>
  <c r="J18"/>
  <c r="I18"/>
  <c r="K17"/>
  <c r="J17"/>
  <c r="I17"/>
  <c r="Q18" i="7" l="1"/>
  <c r="C54" i="13"/>
  <c r="C21" i="28"/>
  <c r="Q20" i="7"/>
  <c r="C56" i="13"/>
  <c r="C23" i="28"/>
  <c r="C19"/>
  <c r="Q16" i="7"/>
  <c r="C52" i="13"/>
  <c r="Q22" i="7"/>
  <c r="C58" i="13"/>
  <c r="C25" i="28"/>
  <c r="Q24" i="7"/>
  <c r="C60" i="13"/>
  <c r="C27" i="28"/>
  <c r="Q26" i="7"/>
  <c r="C62" i="13"/>
  <c r="C29" i="28"/>
  <c r="C53" i="13"/>
  <c r="C20" i="28"/>
  <c r="Q17" i="7"/>
  <c r="C22" i="28"/>
  <c r="C55" i="13"/>
  <c r="Q19" i="7"/>
  <c r="C24" i="28"/>
  <c r="C57" i="13"/>
  <c r="Q21" i="7"/>
  <c r="C26" i="28"/>
  <c r="C59" i="13"/>
  <c r="Q23" i="7"/>
  <c r="C28" i="28"/>
  <c r="C61" i="13"/>
  <c r="Q25" i="7"/>
  <c r="I14" i="14"/>
  <c r="I15"/>
  <c r="I8"/>
  <c r="I6"/>
  <c r="O7" l="1"/>
  <c r="O8"/>
  <c r="O9"/>
  <c r="O10"/>
  <c r="O11"/>
  <c r="O12"/>
  <c r="O13"/>
  <c r="O14"/>
  <c r="O15"/>
  <c r="O16"/>
  <c r="O6"/>
  <c r="W7"/>
  <c r="W8"/>
  <c r="W9"/>
  <c r="W10"/>
  <c r="W11"/>
  <c r="W12"/>
  <c r="W13"/>
  <c r="W14"/>
  <c r="W6"/>
  <c r="X6"/>
  <c r="W28" l="1"/>
  <c r="AA9" l="1"/>
  <c r="AA10"/>
  <c r="AA11"/>
  <c r="AA12"/>
  <c r="AA13"/>
  <c r="AA14"/>
  <c r="AA7"/>
  <c r="AA8"/>
  <c r="AA6"/>
  <c r="Z7"/>
  <c r="Z8"/>
  <c r="Z9"/>
  <c r="Z10"/>
  <c r="Z11"/>
  <c r="Z12"/>
  <c r="Z13"/>
  <c r="Z14"/>
  <c r="Z6"/>
  <c r="Y9"/>
  <c r="Y10"/>
  <c r="Y11"/>
  <c r="Y12"/>
  <c r="Y13"/>
  <c r="Y14"/>
  <c r="Y7"/>
  <c r="Y8"/>
  <c r="Y6"/>
  <c r="X9"/>
  <c r="X10"/>
  <c r="X11"/>
  <c r="X12"/>
  <c r="X13"/>
  <c r="X14"/>
  <c r="X7"/>
  <c r="X8"/>
  <c r="N13" i="24" l="1"/>
  <c r="N1" i="46"/>
  <c r="F1"/>
  <c r="C1"/>
  <c r="U1"/>
  <c r="G4"/>
  <c r="H4" s="1"/>
  <c r="I4" s="1"/>
  <c r="J4" s="1"/>
  <c r="K4" s="1"/>
  <c r="L4" s="1"/>
  <c r="M4" s="1"/>
  <c r="N4" s="1"/>
  <c r="O4" s="1"/>
  <c r="P4" s="1"/>
  <c r="Q4" s="1"/>
  <c r="R4" s="1"/>
  <c r="S4" s="1"/>
  <c r="T4" s="1"/>
  <c r="U4" s="1"/>
  <c r="V4" s="1"/>
  <c r="W4" s="1"/>
  <c r="X4" s="1"/>
  <c r="Y4" s="1"/>
  <c r="Z4" s="1"/>
  <c r="AA4" s="1"/>
  <c r="D16"/>
  <c r="B16"/>
  <c r="D15"/>
  <c r="C15"/>
  <c r="B15"/>
  <c r="D14"/>
  <c r="C14"/>
  <c r="B14"/>
  <c r="D13"/>
  <c r="C13"/>
  <c r="B13"/>
  <c r="D12"/>
  <c r="B12"/>
  <c r="D11"/>
  <c r="C11"/>
  <c r="B11"/>
  <c r="B10"/>
  <c r="D9"/>
  <c r="C9"/>
  <c r="B9"/>
  <c r="D8"/>
  <c r="C8"/>
  <c r="B8"/>
  <c r="D7"/>
  <c r="B7"/>
  <c r="D6"/>
  <c r="B6"/>
  <c r="D5"/>
  <c r="C5"/>
  <c r="B5"/>
  <c r="A2"/>
  <c r="D10"/>
  <c r="A5" l="1"/>
  <c r="A6" s="1"/>
  <c r="A7" s="1"/>
  <c r="A8" s="1"/>
  <c r="A9" s="1"/>
  <c r="A10" s="1"/>
  <c r="A11" s="1"/>
  <c r="A12" s="1"/>
  <c r="A13" s="1"/>
  <c r="A14" s="1"/>
  <c r="A15" s="1"/>
  <c r="A16" s="1"/>
  <c r="Y28" i="14" l="1"/>
  <c r="B5"/>
  <c r="C5" s="1"/>
  <c r="D5" s="1"/>
  <c r="E5" s="1"/>
  <c r="F5" s="1"/>
  <c r="G5" s="1"/>
  <c r="H5" s="1"/>
  <c r="I5" s="1"/>
  <c r="J5" s="1"/>
  <c r="K5" s="1"/>
  <c r="L5" s="1"/>
  <c r="M5" s="1"/>
  <c r="N5" s="1"/>
  <c r="O5" s="1"/>
  <c r="P5" s="1"/>
  <c r="Q5" s="1"/>
  <c r="R5" s="1"/>
  <c r="S5" s="1"/>
  <c r="T5" s="1"/>
  <c r="U5" s="1"/>
  <c r="V5" s="1"/>
  <c r="W5" s="1"/>
  <c r="X5" s="1"/>
  <c r="Y5" s="1"/>
  <c r="Z5" s="1"/>
  <c r="AA5" s="1"/>
  <c r="AB5" s="1"/>
  <c r="V28"/>
  <c r="U28"/>
  <c r="T28"/>
  <c r="M15" l="1"/>
  <c r="M47" i="27" s="1"/>
  <c r="M16" i="14"/>
  <c r="M48" i="27" s="1"/>
  <c r="M27" i="14"/>
  <c r="M59" i="27" s="1"/>
  <c r="M25" i="14"/>
  <c r="M57" i="27" s="1"/>
  <c r="M23" i="14"/>
  <c r="M55" i="27" s="1"/>
  <c r="M21" i="14"/>
  <c r="M53" i="27" s="1"/>
  <c r="M18" i="14"/>
  <c r="M50" i="27" s="1"/>
  <c r="M17" i="14"/>
  <c r="M49" i="27" s="1"/>
  <c r="M26" i="14"/>
  <c r="M58" i="27" s="1"/>
  <c r="M24" i="14"/>
  <c r="M56" i="27" s="1"/>
  <c r="M22" i="14"/>
  <c r="M54" i="27" s="1"/>
  <c r="M20" i="14"/>
  <c r="M52" i="27" s="1"/>
  <c r="M19" i="14"/>
  <c r="M51" i="27" s="1"/>
  <c r="M7" i="14"/>
  <c r="M14"/>
  <c r="M10"/>
  <c r="M8"/>
  <c r="M11"/>
  <c r="M6"/>
  <c r="M12"/>
  <c r="M13"/>
  <c r="M9"/>
  <c r="Z28"/>
  <c r="AA28"/>
  <c r="X28"/>
  <c r="L7" l="1"/>
  <c r="L15"/>
  <c r="L47" i="27" s="1"/>
  <c r="L16" i="14"/>
  <c r="L48" i="27" s="1"/>
  <c r="N12" i="14"/>
  <c r="N15"/>
  <c r="N47" i="27" s="1"/>
  <c r="N16" i="14"/>
  <c r="N48" i="27" s="1"/>
  <c r="P15" i="14"/>
  <c r="P16"/>
  <c r="N17"/>
  <c r="N49" i="27" s="1"/>
  <c r="N21" i="14"/>
  <c r="N53" i="27" s="1"/>
  <c r="N19" i="14"/>
  <c r="N51" i="27" s="1"/>
  <c r="N18" i="14"/>
  <c r="N50" i="27" s="1"/>
  <c r="N20" i="14"/>
  <c r="N52" i="27" s="1"/>
  <c r="N22" i="14"/>
  <c r="N54" i="27" s="1"/>
  <c r="N24" i="14"/>
  <c r="N56" i="27" s="1"/>
  <c r="N26" i="14"/>
  <c r="N58" i="27" s="1"/>
  <c r="L17" i="14"/>
  <c r="L49" i="27" s="1"/>
  <c r="L19" i="14"/>
  <c r="L51" i="27" s="1"/>
  <c r="L21" i="14"/>
  <c r="L53" i="27" s="1"/>
  <c r="L23" i="14"/>
  <c r="L55" i="27" s="1"/>
  <c r="L25" i="14"/>
  <c r="L57" i="27" s="1"/>
  <c r="L27" i="14"/>
  <c r="L59" i="27" s="1"/>
  <c r="P26" i="14"/>
  <c r="P24"/>
  <c r="P22"/>
  <c r="P20"/>
  <c r="P19"/>
  <c r="P27"/>
  <c r="P25"/>
  <c r="P23"/>
  <c r="P21"/>
  <c r="P18"/>
  <c r="P17"/>
  <c r="N23"/>
  <c r="N55" i="27" s="1"/>
  <c r="N25" i="14"/>
  <c r="N57" i="27" s="1"/>
  <c r="N27" i="14"/>
  <c r="N59" i="27" s="1"/>
  <c r="L18" i="14"/>
  <c r="L50" i="27" s="1"/>
  <c r="L20" i="14"/>
  <c r="L52" i="27" s="1"/>
  <c r="L22" i="14"/>
  <c r="L54" i="27" s="1"/>
  <c r="L24" i="14"/>
  <c r="L56" i="27" s="1"/>
  <c r="L26" i="14"/>
  <c r="L58" i="27" s="1"/>
  <c r="P7" i="14"/>
  <c r="N11"/>
  <c r="N10"/>
  <c r="N6"/>
  <c r="N13"/>
  <c r="N8"/>
  <c r="L13"/>
  <c r="L12"/>
  <c r="L8"/>
  <c r="L14"/>
  <c r="L6"/>
  <c r="N7"/>
  <c r="N14"/>
  <c r="N9"/>
  <c r="L9"/>
  <c r="L11"/>
  <c r="L10"/>
  <c r="P9"/>
  <c r="P14"/>
  <c r="P10"/>
  <c r="P12"/>
  <c r="P8"/>
  <c r="P11"/>
  <c r="P6"/>
  <c r="P13"/>
  <c r="P28" l="1"/>
  <c r="K12"/>
  <c r="I12"/>
  <c r="J12" s="1"/>
  <c r="A1" i="45" l="1"/>
  <c r="B1"/>
  <c r="C1"/>
  <c r="D1"/>
  <c r="E1"/>
  <c r="F1"/>
  <c r="E28" i="14" l="1"/>
  <c r="B76" i="29"/>
  <c r="B77"/>
  <c r="B31"/>
  <c r="B32"/>
  <c r="B16" i="37"/>
  <c r="C16"/>
  <c r="D16"/>
  <c r="E16"/>
  <c r="F16"/>
  <c r="G16"/>
  <c r="M16"/>
  <c r="O16"/>
  <c r="B15"/>
  <c r="C15"/>
  <c r="D15"/>
  <c r="E15"/>
  <c r="F15"/>
  <c r="G15"/>
  <c r="M15"/>
  <c r="O15"/>
  <c r="A39" i="27"/>
  <c r="A40" s="1"/>
  <c r="A41" s="1"/>
  <c r="A42" s="1"/>
  <c r="A43" s="1"/>
  <c r="A44" s="1"/>
  <c r="A45" s="1"/>
  <c r="A46" s="1"/>
  <c r="S44" i="36"/>
  <c r="R44"/>
  <c r="D44"/>
  <c r="B18" i="28"/>
  <c r="B51" i="13"/>
  <c r="B41" i="23" l="1"/>
  <c r="C41"/>
  <c r="D41"/>
  <c r="E41"/>
  <c r="F41"/>
  <c r="G41"/>
  <c r="H41"/>
  <c r="I41"/>
  <c r="J41"/>
  <c r="K41"/>
  <c r="L41"/>
  <c r="M41"/>
  <c r="N41"/>
  <c r="O41"/>
  <c r="P41"/>
  <c r="B15"/>
  <c r="B15" i="7"/>
  <c r="D45" i="39" l="1"/>
  <c r="B45"/>
  <c r="D44"/>
  <c r="C44"/>
  <c r="B44"/>
  <c r="D43" l="1"/>
  <c r="C43"/>
  <c r="B43"/>
  <c r="D42"/>
  <c r="C42"/>
  <c r="B42"/>
  <c r="D41"/>
  <c r="B41"/>
  <c r="D40" l="1"/>
  <c r="C40"/>
  <c r="B40"/>
  <c r="D39" l="1"/>
  <c r="B39"/>
  <c r="D38" l="1"/>
  <c r="C38"/>
  <c r="B38"/>
  <c r="D37" l="1"/>
  <c r="C37"/>
  <c r="B37"/>
  <c r="D36" l="1"/>
  <c r="B36"/>
  <c r="D35" l="1"/>
  <c r="B35"/>
  <c r="D34" l="1"/>
  <c r="C34"/>
  <c r="B34"/>
  <c r="A34" s="1"/>
  <c r="A35" s="1"/>
  <c r="A36" s="1"/>
  <c r="A37" s="1"/>
  <c r="A38" s="1"/>
  <c r="A39" s="1"/>
  <c r="A40" s="1"/>
  <c r="A41" s="1"/>
  <c r="A42" s="1"/>
  <c r="A43" s="1"/>
  <c r="A44" s="1"/>
  <c r="A45" s="1"/>
  <c r="E28" l="1"/>
  <c r="A28"/>
  <c r="E27"/>
  <c r="D27"/>
  <c r="C27"/>
  <c r="F26"/>
  <c r="D26"/>
  <c r="D20"/>
  <c r="B20"/>
  <c r="D19" l="1"/>
  <c r="C19"/>
  <c r="B19"/>
  <c r="D18" l="1"/>
  <c r="C18"/>
  <c r="B18"/>
  <c r="D17"/>
  <c r="C17"/>
  <c r="B17"/>
  <c r="D16"/>
  <c r="B16"/>
  <c r="D15" l="1"/>
  <c r="C15"/>
  <c r="B15"/>
  <c r="D14" l="1"/>
  <c r="B14"/>
  <c r="D13" l="1"/>
  <c r="C13"/>
  <c r="B13"/>
  <c r="D12" l="1"/>
  <c r="C12"/>
  <c r="B12"/>
  <c r="D11" l="1"/>
  <c r="B11"/>
  <c r="D10" l="1"/>
  <c r="B10"/>
  <c r="D9" l="1"/>
  <c r="C9"/>
  <c r="B9"/>
  <c r="A9" s="1"/>
  <c r="A10" s="1"/>
  <c r="A11" s="1"/>
  <c r="A12" s="1"/>
  <c r="A13" s="1"/>
  <c r="A14" s="1"/>
  <c r="A15" s="1"/>
  <c r="A16" s="1"/>
  <c r="A17" s="1"/>
  <c r="A18" s="1"/>
  <c r="A19" s="1"/>
  <c r="A20" s="1"/>
  <c r="E3" l="1"/>
  <c r="A3"/>
  <c r="E2"/>
  <c r="D2"/>
  <c r="C2"/>
  <c r="F1"/>
  <c r="D1"/>
  <c r="E28" i="25"/>
  <c r="F28"/>
  <c r="D28"/>
  <c r="B16"/>
  <c r="M16" s="1"/>
  <c r="R16" s="1"/>
  <c r="O16"/>
  <c r="N28" i="14"/>
  <c r="I16"/>
  <c r="J16"/>
  <c r="K16"/>
  <c r="Q11" i="7"/>
  <c r="G16" i="25" l="1"/>
  <c r="P16"/>
  <c r="N16"/>
  <c r="Q16"/>
  <c r="S16" s="1"/>
  <c r="I16" i="37"/>
  <c r="J16"/>
  <c r="C77" i="29"/>
  <c r="C32"/>
  <c r="H16" i="37"/>
  <c r="C18" i="28"/>
  <c r="C51" i="13"/>
  <c r="Q15" i="7"/>
  <c r="H16" i="25"/>
  <c r="T16" l="1"/>
  <c r="C15" i="7"/>
  <c r="O25" i="34"/>
  <c r="Q25"/>
  <c r="R25"/>
  <c r="S25" s="1"/>
  <c r="O26"/>
  <c r="Q26"/>
  <c r="Q27" s="1"/>
  <c r="Q28" s="1"/>
  <c r="Q29" s="1"/>
  <c r="Q30" s="1"/>
  <c r="R26"/>
  <c r="U26"/>
  <c r="W26"/>
  <c r="O27"/>
  <c r="O28" s="1"/>
  <c r="O29" s="1"/>
  <c r="O30" s="1"/>
  <c r="R27"/>
  <c r="U27" s="1"/>
  <c r="R28"/>
  <c r="U28"/>
  <c r="W28"/>
  <c r="R29"/>
  <c r="U29" s="1"/>
  <c r="R30"/>
  <c r="U30"/>
  <c r="W30"/>
  <c r="O19"/>
  <c r="O20" s="1"/>
  <c r="O21" s="1"/>
  <c r="O22" s="1"/>
  <c r="O23" s="1"/>
  <c r="O24" s="1"/>
  <c r="O18"/>
  <c r="A5"/>
  <c r="A6" s="1"/>
  <c r="A7" s="1"/>
  <c r="A8" s="1"/>
  <c r="A9" s="1"/>
  <c r="A10" s="1"/>
  <c r="A11" s="1"/>
  <c r="A12" s="1"/>
  <c r="A13" s="1"/>
  <c r="A14" s="1"/>
  <c r="A15" s="1"/>
  <c r="A16" s="1"/>
  <c r="A17" s="1"/>
  <c r="A4"/>
  <c r="A25"/>
  <c r="C25"/>
  <c r="D25"/>
  <c r="E25" s="1"/>
  <c r="A26"/>
  <c r="C26"/>
  <c r="C27" s="1"/>
  <c r="C28" s="1"/>
  <c r="C29" s="1"/>
  <c r="C30" s="1"/>
  <c r="D26"/>
  <c r="G26"/>
  <c r="I26"/>
  <c r="A27"/>
  <c r="A28" s="1"/>
  <c r="A29" s="1"/>
  <c r="A30" s="1"/>
  <c r="D27"/>
  <c r="G27" s="1"/>
  <c r="D28"/>
  <c r="G28"/>
  <c r="I28"/>
  <c r="D29"/>
  <c r="G29" s="1"/>
  <c r="D30"/>
  <c r="G30"/>
  <c r="I30"/>
  <c r="T25" l="1"/>
  <c r="S26"/>
  <c r="W29"/>
  <c r="W27"/>
  <c r="W25"/>
  <c r="X25" s="1"/>
  <c r="U25"/>
  <c r="V25" s="1"/>
  <c r="V26" s="1"/>
  <c r="V27" s="1"/>
  <c r="V28" s="1"/>
  <c r="V29" s="1"/>
  <c r="V30" s="1"/>
  <c r="F25"/>
  <c r="E26"/>
  <c r="I29"/>
  <c r="I27"/>
  <c r="I25"/>
  <c r="J25" s="1"/>
  <c r="G25"/>
  <c r="H25" s="1"/>
  <c r="H26" s="1"/>
  <c r="H27" s="1"/>
  <c r="H28" s="1"/>
  <c r="H29" s="1"/>
  <c r="H30" s="1"/>
  <c r="A13" i="30"/>
  <c r="A14" s="1"/>
  <c r="A15" s="1"/>
  <c r="Y25" i="34" l="1"/>
  <c r="Z25" s="1"/>
  <c r="X26"/>
  <c r="T26"/>
  <c r="S27"/>
  <c r="K25"/>
  <c r="L25" s="1"/>
  <c r="J26"/>
  <c r="F26"/>
  <c r="E27"/>
  <c r="A6" i="30"/>
  <c r="A5"/>
  <c r="D1" i="33"/>
  <c r="I2" i="35"/>
  <c r="E2"/>
  <c r="E1" i="36"/>
  <c r="A2" i="35"/>
  <c r="A1" i="36"/>
  <c r="T13"/>
  <c r="T23"/>
  <c r="T24"/>
  <c r="T25"/>
  <c r="T26"/>
  <c r="T27"/>
  <c r="T28"/>
  <c r="T29"/>
  <c r="T30"/>
  <c r="T22"/>
  <c r="T15"/>
  <c r="T16"/>
  <c r="T14"/>
  <c r="T12"/>
  <c r="T9"/>
  <c r="T10"/>
  <c r="T11"/>
  <c r="T5"/>
  <c r="T6"/>
  <c r="T7"/>
  <c r="T8"/>
  <c r="F5"/>
  <c r="G5"/>
  <c r="H5"/>
  <c r="I5"/>
  <c r="J5"/>
  <c r="K5"/>
  <c r="L5"/>
  <c r="M5"/>
  <c r="N5"/>
  <c r="O5"/>
  <c r="P5"/>
  <c r="F6"/>
  <c r="G6"/>
  <c r="H6"/>
  <c r="I6"/>
  <c r="J6"/>
  <c r="K6"/>
  <c r="L6"/>
  <c r="M6"/>
  <c r="N6"/>
  <c r="O6"/>
  <c r="P6"/>
  <c r="F7"/>
  <c r="G7"/>
  <c r="H7"/>
  <c r="I7"/>
  <c r="J7"/>
  <c r="K7"/>
  <c r="L7"/>
  <c r="M7"/>
  <c r="N7"/>
  <c r="O7"/>
  <c r="P7"/>
  <c r="F8"/>
  <c r="G8"/>
  <c r="H8"/>
  <c r="I8"/>
  <c r="J8"/>
  <c r="K8"/>
  <c r="L8"/>
  <c r="M8"/>
  <c r="N8"/>
  <c r="O8"/>
  <c r="P8"/>
  <c r="F9"/>
  <c r="G9"/>
  <c r="H9"/>
  <c r="I9"/>
  <c r="J9"/>
  <c r="K9"/>
  <c r="L9"/>
  <c r="M9"/>
  <c r="N9"/>
  <c r="O9"/>
  <c r="P9"/>
  <c r="F10"/>
  <c r="G10"/>
  <c r="H10"/>
  <c r="I10"/>
  <c r="J10"/>
  <c r="K10"/>
  <c r="L10"/>
  <c r="M10"/>
  <c r="N10"/>
  <c r="O10"/>
  <c r="P10"/>
  <c r="F12"/>
  <c r="G12"/>
  <c r="H12"/>
  <c r="I12"/>
  <c r="J12"/>
  <c r="K12"/>
  <c r="L12"/>
  <c r="M12"/>
  <c r="N12"/>
  <c r="O12"/>
  <c r="P12"/>
  <c r="F13"/>
  <c r="G13"/>
  <c r="H13"/>
  <c r="I13"/>
  <c r="J13"/>
  <c r="K13"/>
  <c r="L13"/>
  <c r="M13"/>
  <c r="N13"/>
  <c r="O13"/>
  <c r="P13"/>
  <c r="F14"/>
  <c r="G14"/>
  <c r="H14"/>
  <c r="I14"/>
  <c r="J14"/>
  <c r="K14"/>
  <c r="L14"/>
  <c r="M14"/>
  <c r="N14"/>
  <c r="O14"/>
  <c r="P14"/>
  <c r="F15"/>
  <c r="G15"/>
  <c r="H15"/>
  <c r="I15"/>
  <c r="J15"/>
  <c r="K15"/>
  <c r="L15"/>
  <c r="M15"/>
  <c r="N15"/>
  <c r="O15"/>
  <c r="P15"/>
  <c r="F16"/>
  <c r="G16"/>
  <c r="H16"/>
  <c r="I16"/>
  <c r="J16"/>
  <c r="K16"/>
  <c r="L16"/>
  <c r="M16"/>
  <c r="N16"/>
  <c r="O16"/>
  <c r="P16"/>
  <c r="E6"/>
  <c r="E7"/>
  <c r="E8"/>
  <c r="E9"/>
  <c r="E10"/>
  <c r="E12"/>
  <c r="E13"/>
  <c r="E14"/>
  <c r="E15"/>
  <c r="E16"/>
  <c r="E5"/>
  <c r="B4"/>
  <c r="C4" s="1"/>
  <c r="B30"/>
  <c r="B29"/>
  <c r="C28"/>
  <c r="B28"/>
  <c r="B27"/>
  <c r="B26"/>
  <c r="B25"/>
  <c r="B24"/>
  <c r="B23"/>
  <c r="B22"/>
  <c r="A22" s="1"/>
  <c r="M1"/>
  <c r="J2" i="37"/>
  <c r="F2"/>
  <c r="B2"/>
  <c r="B11"/>
  <c r="C11"/>
  <c r="D11"/>
  <c r="E11"/>
  <c r="F11"/>
  <c r="G11"/>
  <c r="B12"/>
  <c r="C12"/>
  <c r="D12"/>
  <c r="E12"/>
  <c r="F12"/>
  <c r="G12"/>
  <c r="H12"/>
  <c r="I12"/>
  <c r="B13"/>
  <c r="C13"/>
  <c r="D13"/>
  <c r="E13"/>
  <c r="F13"/>
  <c r="G13"/>
  <c r="B14"/>
  <c r="C14"/>
  <c r="D14"/>
  <c r="E14"/>
  <c r="F14"/>
  <c r="G14"/>
  <c r="B8"/>
  <c r="C8"/>
  <c r="D8"/>
  <c r="E8"/>
  <c r="F8"/>
  <c r="G8"/>
  <c r="B9"/>
  <c r="C9"/>
  <c r="D9"/>
  <c r="E9"/>
  <c r="F9"/>
  <c r="G9"/>
  <c r="B10"/>
  <c r="C10"/>
  <c r="D10"/>
  <c r="E10"/>
  <c r="F10"/>
  <c r="G10"/>
  <c r="B7"/>
  <c r="C7"/>
  <c r="D7"/>
  <c r="E7"/>
  <c r="F7"/>
  <c r="G7"/>
  <c r="B5"/>
  <c r="C5" s="1"/>
  <c r="D5" s="1"/>
  <c r="E5" s="1"/>
  <c r="F5" s="1"/>
  <c r="G5" s="1"/>
  <c r="H5" s="1"/>
  <c r="I5" s="1"/>
  <c r="J5" s="1"/>
  <c r="K5" s="1"/>
  <c r="L5" s="1"/>
  <c r="M5" s="1"/>
  <c r="N5" s="1"/>
  <c r="O5" s="1"/>
  <c r="P5" s="1"/>
  <c r="D6"/>
  <c r="E6"/>
  <c r="F6"/>
  <c r="G6"/>
  <c r="C6"/>
  <c r="B6"/>
  <c r="B8" i="28"/>
  <c r="N28" i="37"/>
  <c r="L28"/>
  <c r="K28"/>
  <c r="O14"/>
  <c r="M14"/>
  <c r="O13"/>
  <c r="M13"/>
  <c r="O12"/>
  <c r="M12"/>
  <c r="O11"/>
  <c r="M11"/>
  <c r="O10"/>
  <c r="M10"/>
  <c r="O8"/>
  <c r="M8"/>
  <c r="O7"/>
  <c r="O28" s="1"/>
  <c r="M7"/>
  <c r="A44" i="36"/>
  <c r="B21"/>
  <c r="A21"/>
  <c r="T20"/>
  <c r="S20"/>
  <c r="R20"/>
  <c r="Q20"/>
  <c r="D20"/>
  <c r="B20"/>
  <c r="A20"/>
  <c r="S17"/>
  <c r="D17"/>
  <c r="R24" i="34"/>
  <c r="W24" s="1"/>
  <c r="G24"/>
  <c r="D24"/>
  <c r="I24" s="1"/>
  <c r="R23"/>
  <c r="W23" s="1"/>
  <c r="G23"/>
  <c r="D23"/>
  <c r="I23" s="1"/>
  <c r="R22"/>
  <c r="W22" s="1"/>
  <c r="G22"/>
  <c r="D22"/>
  <c r="I22" s="1"/>
  <c r="R21"/>
  <c r="W21" s="1"/>
  <c r="G21"/>
  <c r="D21"/>
  <c r="I21" s="1"/>
  <c r="R20"/>
  <c r="W20" s="1"/>
  <c r="G20"/>
  <c r="D20"/>
  <c r="I20" s="1"/>
  <c r="R19"/>
  <c r="W19" s="1"/>
  <c r="D19"/>
  <c r="G19" s="1"/>
  <c r="A19"/>
  <c r="A20" s="1"/>
  <c r="A21" s="1"/>
  <c r="A22" s="1"/>
  <c r="A23" s="1"/>
  <c r="A24" s="1"/>
  <c r="R18"/>
  <c r="W18" s="1"/>
  <c r="X18" s="1"/>
  <c r="Q18"/>
  <c r="Q19" s="1"/>
  <c r="Q20" s="1"/>
  <c r="Q21" s="1"/>
  <c r="Q22" s="1"/>
  <c r="Q23" s="1"/>
  <c r="Q24" s="1"/>
  <c r="D18"/>
  <c r="I18" s="1"/>
  <c r="J18" s="1"/>
  <c r="C18"/>
  <c r="C19" s="1"/>
  <c r="C20" s="1"/>
  <c r="C21" s="1"/>
  <c r="C22" s="1"/>
  <c r="C23" s="1"/>
  <c r="C24" s="1"/>
  <c r="D16"/>
  <c r="I16" s="1"/>
  <c r="D15"/>
  <c r="I15" s="1"/>
  <c r="D14"/>
  <c r="I14" s="1"/>
  <c r="D13"/>
  <c r="I13" s="1"/>
  <c r="D12"/>
  <c r="I12" s="1"/>
  <c r="D11"/>
  <c r="I11" s="1"/>
  <c r="D10"/>
  <c r="I10" s="1"/>
  <c r="D9"/>
  <c r="I9" s="1"/>
  <c r="D8"/>
  <c r="I8" s="1"/>
  <c r="D7"/>
  <c r="I7" s="1"/>
  <c r="D6"/>
  <c r="I6" s="1"/>
  <c r="D5"/>
  <c r="I5" s="1"/>
  <c r="D4"/>
  <c r="I4" s="1"/>
  <c r="J4" s="1"/>
  <c r="C4"/>
  <c r="C5" s="1"/>
  <c r="C6" s="1"/>
  <c r="C7" s="1"/>
  <c r="C8" s="1"/>
  <c r="C9" s="1"/>
  <c r="C10" s="1"/>
  <c r="C11" s="1"/>
  <c r="C12" s="1"/>
  <c r="C13" s="1"/>
  <c r="C14" s="1"/>
  <c r="C15" s="1"/>
  <c r="C16" s="1"/>
  <c r="E190" i="33"/>
  <c r="D190"/>
  <c r="I189"/>
  <c r="H189"/>
  <c r="I188"/>
  <c r="H188"/>
  <c r="I187"/>
  <c r="H187"/>
  <c r="I186"/>
  <c r="H186"/>
  <c r="I185"/>
  <c r="H185"/>
  <c r="I184"/>
  <c r="H184"/>
  <c r="I183"/>
  <c r="H183"/>
  <c r="I182"/>
  <c r="H182"/>
  <c r="I181"/>
  <c r="H181"/>
  <c r="I180"/>
  <c r="H180"/>
  <c r="I179"/>
  <c r="H179"/>
  <c r="I178"/>
  <c r="H178"/>
  <c r="I177"/>
  <c r="H177"/>
  <c r="I176"/>
  <c r="H176"/>
  <c r="I175"/>
  <c r="H175"/>
  <c r="I174"/>
  <c r="H174"/>
  <c r="I173"/>
  <c r="H173"/>
  <c r="I172"/>
  <c r="H172"/>
  <c r="I171"/>
  <c r="H171"/>
  <c r="I170"/>
  <c r="H170"/>
  <c r="I169"/>
  <c r="H169"/>
  <c r="I168"/>
  <c r="H168"/>
  <c r="I167"/>
  <c r="H167"/>
  <c r="I166"/>
  <c r="H166"/>
  <c r="I165"/>
  <c r="H165"/>
  <c r="I164"/>
  <c r="H164"/>
  <c r="I163"/>
  <c r="H163"/>
  <c r="I162"/>
  <c r="H162"/>
  <c r="I161"/>
  <c r="H161"/>
  <c r="I160"/>
  <c r="H160"/>
  <c r="I159"/>
  <c r="H159"/>
  <c r="I158"/>
  <c r="H158"/>
  <c r="I157"/>
  <c r="H157"/>
  <c r="I156"/>
  <c r="H156"/>
  <c r="I155"/>
  <c r="H155"/>
  <c r="I154"/>
  <c r="H154"/>
  <c r="I153"/>
  <c r="H153"/>
  <c r="I152"/>
  <c r="H152"/>
  <c r="I151"/>
  <c r="H151"/>
  <c r="I150"/>
  <c r="H150"/>
  <c r="I149"/>
  <c r="H149"/>
  <c r="I148"/>
  <c r="H148"/>
  <c r="I147"/>
  <c r="H147"/>
  <c r="I146"/>
  <c r="H146"/>
  <c r="I145"/>
  <c r="H145"/>
  <c r="I144"/>
  <c r="H144"/>
  <c r="I143"/>
  <c r="H143"/>
  <c r="I142"/>
  <c r="H142"/>
  <c r="I141"/>
  <c r="H141"/>
  <c r="I140"/>
  <c r="H140"/>
  <c r="I139"/>
  <c r="H139"/>
  <c r="I138"/>
  <c r="H138"/>
  <c r="I137"/>
  <c r="H137"/>
  <c r="I136"/>
  <c r="H136"/>
  <c r="I135"/>
  <c r="H135"/>
  <c r="I134"/>
  <c r="H134"/>
  <c r="I133"/>
  <c r="H133"/>
  <c r="I132"/>
  <c r="H132"/>
  <c r="I131"/>
  <c r="H131"/>
  <c r="I130"/>
  <c r="H130"/>
  <c r="I129"/>
  <c r="H129"/>
  <c r="I128"/>
  <c r="H128"/>
  <c r="I127"/>
  <c r="H127"/>
  <c r="I126"/>
  <c r="H126"/>
  <c r="I125"/>
  <c r="H125"/>
  <c r="I124"/>
  <c r="H124"/>
  <c r="I123"/>
  <c r="H123"/>
  <c r="I122"/>
  <c r="H122"/>
  <c r="I121"/>
  <c r="H121"/>
  <c r="I120"/>
  <c r="H120"/>
  <c r="I119"/>
  <c r="H119"/>
  <c r="I118"/>
  <c r="H118"/>
  <c r="I117"/>
  <c r="H117"/>
  <c r="I116"/>
  <c r="H116"/>
  <c r="I115"/>
  <c r="H115"/>
  <c r="I114"/>
  <c r="H114"/>
  <c r="I113"/>
  <c r="H113"/>
  <c r="I112"/>
  <c r="H112"/>
  <c r="I111"/>
  <c r="H111"/>
  <c r="I110"/>
  <c r="H110"/>
  <c r="I109"/>
  <c r="H109"/>
  <c r="I108"/>
  <c r="H108"/>
  <c r="I107"/>
  <c r="H107"/>
  <c r="I106"/>
  <c r="H106"/>
  <c r="I105"/>
  <c r="H105"/>
  <c r="I104"/>
  <c r="H104"/>
  <c r="I103"/>
  <c r="H103"/>
  <c r="I102"/>
  <c r="H102"/>
  <c r="I101"/>
  <c r="H101"/>
  <c r="I100"/>
  <c r="H100"/>
  <c r="I99"/>
  <c r="H99"/>
  <c r="I98"/>
  <c r="H98"/>
  <c r="I97"/>
  <c r="H97"/>
  <c r="I96"/>
  <c r="H96"/>
  <c r="I95"/>
  <c r="H95"/>
  <c r="I94"/>
  <c r="H94"/>
  <c r="I93"/>
  <c r="H93"/>
  <c r="I92"/>
  <c r="H92"/>
  <c r="I91"/>
  <c r="H91"/>
  <c r="I90"/>
  <c r="H90"/>
  <c r="I89"/>
  <c r="H89"/>
  <c r="I88"/>
  <c r="H88"/>
  <c r="I87"/>
  <c r="H87"/>
  <c r="I86"/>
  <c r="H86"/>
  <c r="I85"/>
  <c r="H85"/>
  <c r="I84"/>
  <c r="H84"/>
  <c r="I83"/>
  <c r="H83"/>
  <c r="I82"/>
  <c r="H82"/>
  <c r="I81"/>
  <c r="H81"/>
  <c r="I80"/>
  <c r="H80"/>
  <c r="I79"/>
  <c r="H79"/>
  <c r="I78"/>
  <c r="H78"/>
  <c r="I77"/>
  <c r="H77"/>
  <c r="I76"/>
  <c r="H76"/>
  <c r="I75"/>
  <c r="H75"/>
  <c r="I74"/>
  <c r="H74"/>
  <c r="I73"/>
  <c r="H73"/>
  <c r="I72"/>
  <c r="H72"/>
  <c r="I71"/>
  <c r="H71"/>
  <c r="I70"/>
  <c r="H70"/>
  <c r="I69"/>
  <c r="H69"/>
  <c r="I68"/>
  <c r="H68"/>
  <c r="I67"/>
  <c r="H67"/>
  <c r="I66"/>
  <c r="H66"/>
  <c r="I65"/>
  <c r="H65"/>
  <c r="I64"/>
  <c r="H64"/>
  <c r="I63"/>
  <c r="H63"/>
  <c r="I62"/>
  <c r="H62"/>
  <c r="I61"/>
  <c r="H61"/>
  <c r="I60"/>
  <c r="H60"/>
  <c r="I59"/>
  <c r="H59"/>
  <c r="I58"/>
  <c r="H58"/>
  <c r="I57"/>
  <c r="H57"/>
  <c r="I56"/>
  <c r="H56"/>
  <c r="I55"/>
  <c r="H55"/>
  <c r="I54"/>
  <c r="H54"/>
  <c r="I53"/>
  <c r="H53"/>
  <c r="I52"/>
  <c r="H52"/>
  <c r="I51"/>
  <c r="H51"/>
  <c r="I50"/>
  <c r="H50"/>
  <c r="I49"/>
  <c r="H49"/>
  <c r="I48"/>
  <c r="H48"/>
  <c r="I47"/>
  <c r="H47"/>
  <c r="I46"/>
  <c r="H46"/>
  <c r="I45"/>
  <c r="H45"/>
  <c r="I44"/>
  <c r="H44"/>
  <c r="I43"/>
  <c r="H43"/>
  <c r="I42"/>
  <c r="H42"/>
  <c r="I41"/>
  <c r="H41"/>
  <c r="I40"/>
  <c r="H40"/>
  <c r="I39"/>
  <c r="H39"/>
  <c r="I38"/>
  <c r="H38"/>
  <c r="I37"/>
  <c r="H37"/>
  <c r="I36"/>
  <c r="H36"/>
  <c r="I35"/>
  <c r="H35"/>
  <c r="I34"/>
  <c r="H34"/>
  <c r="I33"/>
  <c r="H33"/>
  <c r="I32"/>
  <c r="H32"/>
  <c r="I31"/>
  <c r="H31"/>
  <c r="I30"/>
  <c r="H30"/>
  <c r="I29"/>
  <c r="H29"/>
  <c r="I28"/>
  <c r="H28"/>
  <c r="I27"/>
  <c r="H27"/>
  <c r="I26"/>
  <c r="H26"/>
  <c r="I25"/>
  <c r="H25"/>
  <c r="I24"/>
  <c r="H24"/>
  <c r="I23"/>
  <c r="H23"/>
  <c r="I22"/>
  <c r="H22"/>
  <c r="I21"/>
  <c r="H21"/>
  <c r="I20"/>
  <c r="H20"/>
  <c r="I19"/>
  <c r="H19"/>
  <c r="I18"/>
  <c r="H18"/>
  <c r="I17"/>
  <c r="H17"/>
  <c r="I16"/>
  <c r="H16"/>
  <c r="I15"/>
  <c r="H15"/>
  <c r="I14"/>
  <c r="H14"/>
  <c r="I13"/>
  <c r="H13"/>
  <c r="I12"/>
  <c r="H12"/>
  <c r="I11"/>
  <c r="H11"/>
  <c r="I10"/>
  <c r="H10"/>
  <c r="I9"/>
  <c r="H9"/>
  <c r="I8"/>
  <c r="H8"/>
  <c r="I7"/>
  <c r="H7"/>
  <c r="I6"/>
  <c r="H6"/>
  <c r="I5"/>
  <c r="H5"/>
  <c r="A5"/>
  <c r="A6" s="1"/>
  <c r="A7" s="1"/>
  <c r="A8" s="1"/>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I4"/>
  <c r="H4"/>
  <c r="F4"/>
  <c r="F5" s="1"/>
  <c r="F6" s="1"/>
  <c r="F7" s="1"/>
  <c r="F8" s="1"/>
  <c r="F9" s="1"/>
  <c r="F10" s="1"/>
  <c r="F11" s="1"/>
  <c r="F12" s="1"/>
  <c r="F13" s="1"/>
  <c r="F14" s="1"/>
  <c r="F15" s="1"/>
  <c r="F16" s="1"/>
  <c r="F17" s="1"/>
  <c r="F18" s="1"/>
  <c r="F19" s="1"/>
  <c r="F20" s="1"/>
  <c r="F21" s="1"/>
  <c r="F22" s="1"/>
  <c r="F23" s="1"/>
  <c r="F24" s="1"/>
  <c r="F25" s="1"/>
  <c r="F26" s="1"/>
  <c r="F27" s="1"/>
  <c r="F28" s="1"/>
  <c r="F29" s="1"/>
  <c r="F30" s="1"/>
  <c r="F31" s="1"/>
  <c r="F32" s="1"/>
  <c r="F33" s="1"/>
  <c r="F34" s="1"/>
  <c r="F35" s="1"/>
  <c r="F36" s="1"/>
  <c r="F37" s="1"/>
  <c r="F38" s="1"/>
  <c r="F39" s="1"/>
  <c r="F40" s="1"/>
  <c r="F41" s="1"/>
  <c r="F42" s="1"/>
  <c r="F43" s="1"/>
  <c r="F44" s="1"/>
  <c r="F45" s="1"/>
  <c r="F46" s="1"/>
  <c r="F47" s="1"/>
  <c r="F48" s="1"/>
  <c r="F49" s="1"/>
  <c r="F50" s="1"/>
  <c r="F51" s="1"/>
  <c r="F52" s="1"/>
  <c r="F53" s="1"/>
  <c r="F54" s="1"/>
  <c r="F55" s="1"/>
  <c r="F56" s="1"/>
  <c r="F57" s="1"/>
  <c r="F58" s="1"/>
  <c r="F59" s="1"/>
  <c r="F60" s="1"/>
  <c r="F61" s="1"/>
  <c r="F62" s="1"/>
  <c r="F63" s="1"/>
  <c r="F64" s="1"/>
  <c r="F65" s="1"/>
  <c r="F66" s="1"/>
  <c r="F67" s="1"/>
  <c r="F68" s="1"/>
  <c r="F69" s="1"/>
  <c r="F70" s="1"/>
  <c r="F71" s="1"/>
  <c r="F72" s="1"/>
  <c r="F73" s="1"/>
  <c r="F74" s="1"/>
  <c r="F75" s="1"/>
  <c r="F76" s="1"/>
  <c r="F77" s="1"/>
  <c r="F78" s="1"/>
  <c r="F79" s="1"/>
  <c r="F80" s="1"/>
  <c r="F81" s="1"/>
  <c r="F82" s="1"/>
  <c r="F83" s="1"/>
  <c r="F84" s="1"/>
  <c r="F85" s="1"/>
  <c r="F86" s="1"/>
  <c r="F87" s="1"/>
  <c r="F88" s="1"/>
  <c r="F89" s="1"/>
  <c r="F90" s="1"/>
  <c r="F91" s="1"/>
  <c r="F92" s="1"/>
  <c r="F93" s="1"/>
  <c r="F94" s="1"/>
  <c r="F95" s="1"/>
  <c r="F96" s="1"/>
  <c r="F97" s="1"/>
  <c r="F98" s="1"/>
  <c r="F99" s="1"/>
  <c r="F100" s="1"/>
  <c r="F101" s="1"/>
  <c r="F102" s="1"/>
  <c r="F103" s="1"/>
  <c r="F104" s="1"/>
  <c r="F105" s="1"/>
  <c r="F106" s="1"/>
  <c r="F107" s="1"/>
  <c r="F108" s="1"/>
  <c r="F109" s="1"/>
  <c r="F110" s="1"/>
  <c r="F111" s="1"/>
  <c r="F112" s="1"/>
  <c r="F113" s="1"/>
  <c r="F114" s="1"/>
  <c r="F115" s="1"/>
  <c r="F116" s="1"/>
  <c r="F117" s="1"/>
  <c r="F118" s="1"/>
  <c r="F119" s="1"/>
  <c r="F120" s="1"/>
  <c r="F121" s="1"/>
  <c r="F122" s="1"/>
  <c r="F123" s="1"/>
  <c r="F124" s="1"/>
  <c r="F125" s="1"/>
  <c r="F126" s="1"/>
  <c r="F127" s="1"/>
  <c r="F128" s="1"/>
  <c r="F129" s="1"/>
  <c r="F130" s="1"/>
  <c r="F131" s="1"/>
  <c r="F132" s="1"/>
  <c r="F133" s="1"/>
  <c r="F134" s="1"/>
  <c r="F135" s="1"/>
  <c r="F136" s="1"/>
  <c r="F137" s="1"/>
  <c r="F138" s="1"/>
  <c r="F139" s="1"/>
  <c r="F140" s="1"/>
  <c r="F141" s="1"/>
  <c r="F142" s="1"/>
  <c r="F143" s="1"/>
  <c r="F144" s="1"/>
  <c r="F145" s="1"/>
  <c r="F146" s="1"/>
  <c r="F147" s="1"/>
  <c r="F148" s="1"/>
  <c r="F149" s="1"/>
  <c r="F150" s="1"/>
  <c r="F151" s="1"/>
  <c r="F152" s="1"/>
  <c r="F153" s="1"/>
  <c r="F154" s="1"/>
  <c r="F155" s="1"/>
  <c r="F156" s="1"/>
  <c r="F157" s="1"/>
  <c r="F158" s="1"/>
  <c r="F159" s="1"/>
  <c r="F160" s="1"/>
  <c r="F161" s="1"/>
  <c r="F162" s="1"/>
  <c r="F163" s="1"/>
  <c r="F164" s="1"/>
  <c r="F165" s="1"/>
  <c r="F166" s="1"/>
  <c r="F167" s="1"/>
  <c r="F168" s="1"/>
  <c r="F169" s="1"/>
  <c r="F170" s="1"/>
  <c r="F171" s="1"/>
  <c r="F172" s="1"/>
  <c r="F173" s="1"/>
  <c r="F174" s="1"/>
  <c r="F175" s="1"/>
  <c r="F176" s="1"/>
  <c r="F177" s="1"/>
  <c r="F178" s="1"/>
  <c r="F179" s="1"/>
  <c r="F180" s="1"/>
  <c r="F181" s="1"/>
  <c r="F182" s="1"/>
  <c r="F183" s="1"/>
  <c r="F184" s="1"/>
  <c r="F185" s="1"/>
  <c r="F186" s="1"/>
  <c r="F187" s="1"/>
  <c r="F188" s="1"/>
  <c r="F189" s="1"/>
  <c r="A24" i="32"/>
  <c r="C3" i="28"/>
  <c r="Q13" i="36" l="1"/>
  <c r="Q8"/>
  <c r="Q10"/>
  <c r="Q6"/>
  <c r="D4"/>
  <c r="E4" s="1"/>
  <c r="C21"/>
  <c r="T17"/>
  <c r="T44"/>
  <c r="M28" i="37"/>
  <c r="Q16" i="36"/>
  <c r="Q14"/>
  <c r="Q12"/>
  <c r="Q9"/>
  <c r="T27" i="34"/>
  <c r="S28"/>
  <c r="Y26"/>
  <c r="Z26" s="1"/>
  <c r="X27"/>
  <c r="F27"/>
  <c r="E28"/>
  <c r="K26"/>
  <c r="L26" s="1"/>
  <c r="J27"/>
  <c r="I19"/>
  <c r="H190" i="33"/>
  <c r="I190"/>
  <c r="F4" i="36"/>
  <c r="E21"/>
  <c r="D21"/>
  <c r="C28" i="37"/>
  <c r="A6"/>
  <c r="A7" s="1"/>
  <c r="A8" s="1"/>
  <c r="A9" s="1"/>
  <c r="A10" s="1"/>
  <c r="A11" s="1"/>
  <c r="A12" s="1"/>
  <c r="A13" s="1"/>
  <c r="A14" s="1"/>
  <c r="A15" s="1"/>
  <c r="A16" s="1"/>
  <c r="A17" s="1"/>
  <c r="A18" s="1"/>
  <c r="A19" s="1"/>
  <c r="A20" s="1"/>
  <c r="A21" s="1"/>
  <c r="A22" s="1"/>
  <c r="A23" s="1"/>
  <c r="A24" s="1"/>
  <c r="A25" s="1"/>
  <c r="A26" s="1"/>
  <c r="A27" s="1"/>
  <c r="A23" i="36"/>
  <c r="A24" s="1"/>
  <c r="A25" s="1"/>
  <c r="A26" s="1"/>
  <c r="A27" s="1"/>
  <c r="A28" s="1"/>
  <c r="A29" s="1"/>
  <c r="A30" s="1"/>
  <c r="A31" s="1"/>
  <c r="A32" s="1"/>
  <c r="A33" s="1"/>
  <c r="A34" s="1"/>
  <c r="A35" s="1"/>
  <c r="A36" s="1"/>
  <c r="A37" s="1"/>
  <c r="A38" s="1"/>
  <c r="A39" s="1"/>
  <c r="A40" s="1"/>
  <c r="A41" s="1"/>
  <c r="A42" s="1"/>
  <c r="A43" s="1"/>
  <c r="Q15"/>
  <c r="Q5"/>
  <c r="Q7"/>
  <c r="J5" i="34"/>
  <c r="J19"/>
  <c r="X19"/>
  <c r="E4"/>
  <c r="G4"/>
  <c r="H4" s="1"/>
  <c r="K4" s="1"/>
  <c r="L4" s="1"/>
  <c r="G5"/>
  <c r="G6"/>
  <c r="G7"/>
  <c r="G8"/>
  <c r="G9"/>
  <c r="G10"/>
  <c r="G11"/>
  <c r="G12"/>
  <c r="G13"/>
  <c r="G14"/>
  <c r="G15"/>
  <c r="G16"/>
  <c r="E18"/>
  <c r="G18"/>
  <c r="H18" s="1"/>
  <c r="H19" s="1"/>
  <c r="H20" s="1"/>
  <c r="H21" s="1"/>
  <c r="H22" s="1"/>
  <c r="H23" s="1"/>
  <c r="H24" s="1"/>
  <c r="S18"/>
  <c r="U18"/>
  <c r="V18" s="1"/>
  <c r="Y18" s="1"/>
  <c r="Z18" s="1"/>
  <c r="U19"/>
  <c r="U20"/>
  <c r="U21"/>
  <c r="U22"/>
  <c r="U23"/>
  <c r="U24"/>
  <c r="J4" i="33"/>
  <c r="J5" s="1"/>
  <c r="J6" s="1"/>
  <c r="J7" s="1"/>
  <c r="J8" s="1"/>
  <c r="J9" s="1"/>
  <c r="J10" s="1"/>
  <c r="J11" s="1"/>
  <c r="J12" s="1"/>
  <c r="J13" s="1"/>
  <c r="J14" s="1"/>
  <c r="J15" s="1"/>
  <c r="J16" s="1"/>
  <c r="J17" s="1"/>
  <c r="J18" s="1"/>
  <c r="J19" s="1"/>
  <c r="J20" s="1"/>
  <c r="J21" s="1"/>
  <c r="J22" s="1"/>
  <c r="J23" s="1"/>
  <c r="J24" s="1"/>
  <c r="J25" s="1"/>
  <c r="J26" s="1"/>
  <c r="J27" s="1"/>
  <c r="J28" s="1"/>
  <c r="J29" s="1"/>
  <c r="J30" s="1"/>
  <c r="J31" s="1"/>
  <c r="J32" s="1"/>
  <c r="J33" s="1"/>
  <c r="J34" s="1"/>
  <c r="J35" s="1"/>
  <c r="J36" s="1"/>
  <c r="J37" s="1"/>
  <c r="J38" s="1"/>
  <c r="J39" s="1"/>
  <c r="J40" s="1"/>
  <c r="J41" s="1"/>
  <c r="J42" s="1"/>
  <c r="J43" s="1"/>
  <c r="J44" s="1"/>
  <c r="J45" s="1"/>
  <c r="J46" s="1"/>
  <c r="J47" s="1"/>
  <c r="J48" s="1"/>
  <c r="J49" s="1"/>
  <c r="J50" s="1"/>
  <c r="J51" s="1"/>
  <c r="J52" s="1"/>
  <c r="J53" s="1"/>
  <c r="J54" s="1"/>
  <c r="J55" s="1"/>
  <c r="J56" s="1"/>
  <c r="J57" s="1"/>
  <c r="J58" s="1"/>
  <c r="J59" s="1"/>
  <c r="J60" s="1"/>
  <c r="J61" s="1"/>
  <c r="J62" s="1"/>
  <c r="J63" s="1"/>
  <c r="J64" s="1"/>
  <c r="J65" s="1"/>
  <c r="J66" s="1"/>
  <c r="J67" s="1"/>
  <c r="J68" s="1"/>
  <c r="J69" s="1"/>
  <c r="J70" s="1"/>
  <c r="J71" s="1"/>
  <c r="J72" s="1"/>
  <c r="J73" s="1"/>
  <c r="J74" s="1"/>
  <c r="J75" s="1"/>
  <c r="J76" s="1"/>
  <c r="J77" s="1"/>
  <c r="J78" s="1"/>
  <c r="J79" s="1"/>
  <c r="J80" s="1"/>
  <c r="J81" s="1"/>
  <c r="J82" s="1"/>
  <c r="J83" s="1"/>
  <c r="J84" s="1"/>
  <c r="J85" s="1"/>
  <c r="J86" s="1"/>
  <c r="J87" s="1"/>
  <c r="J88" s="1"/>
  <c r="J89" s="1"/>
  <c r="J90" s="1"/>
  <c r="J91" s="1"/>
  <c r="J92" s="1"/>
  <c r="J93" s="1"/>
  <c r="J94" s="1"/>
  <c r="J95" s="1"/>
  <c r="J96" s="1"/>
  <c r="J97" s="1"/>
  <c r="J98" s="1"/>
  <c r="J99" s="1"/>
  <c r="J100" s="1"/>
  <c r="J101" s="1"/>
  <c r="J102" s="1"/>
  <c r="J103" s="1"/>
  <c r="J104" s="1"/>
  <c r="J105" s="1"/>
  <c r="J106" s="1"/>
  <c r="J107" s="1"/>
  <c r="J108" s="1"/>
  <c r="J109" s="1"/>
  <c r="J110" s="1"/>
  <c r="J111" s="1"/>
  <c r="J112" s="1"/>
  <c r="J113" s="1"/>
  <c r="J114" s="1"/>
  <c r="J115" s="1"/>
  <c r="J116" s="1"/>
  <c r="J117" s="1"/>
  <c r="J118" s="1"/>
  <c r="J119" s="1"/>
  <c r="J120" s="1"/>
  <c r="J121" s="1"/>
  <c r="J122" s="1"/>
  <c r="J123" s="1"/>
  <c r="J124" s="1"/>
  <c r="J125" s="1"/>
  <c r="J126" s="1"/>
  <c r="J127" s="1"/>
  <c r="J128" s="1"/>
  <c r="J129" s="1"/>
  <c r="J130" s="1"/>
  <c r="J131" s="1"/>
  <c r="J132" s="1"/>
  <c r="J133" s="1"/>
  <c r="J134" s="1"/>
  <c r="J135" s="1"/>
  <c r="J136" s="1"/>
  <c r="J137" s="1"/>
  <c r="J138" s="1"/>
  <c r="J139" s="1"/>
  <c r="J140" s="1"/>
  <c r="J141" s="1"/>
  <c r="J142" s="1"/>
  <c r="J143" s="1"/>
  <c r="J144" s="1"/>
  <c r="J145" s="1"/>
  <c r="J146" s="1"/>
  <c r="J147" s="1"/>
  <c r="J148" s="1"/>
  <c r="J149" s="1"/>
  <c r="J150" s="1"/>
  <c r="J151" s="1"/>
  <c r="J152" s="1"/>
  <c r="J153" s="1"/>
  <c r="J154" s="1"/>
  <c r="J155" s="1"/>
  <c r="J156" s="1"/>
  <c r="J157" s="1"/>
  <c r="J158" s="1"/>
  <c r="J159" s="1"/>
  <c r="J160" s="1"/>
  <c r="J161" s="1"/>
  <c r="J162" s="1"/>
  <c r="J163" s="1"/>
  <c r="J164" s="1"/>
  <c r="J165" s="1"/>
  <c r="J166" s="1"/>
  <c r="J167" s="1"/>
  <c r="J168" s="1"/>
  <c r="J169" s="1"/>
  <c r="J170" s="1"/>
  <c r="J171" s="1"/>
  <c r="J172" s="1"/>
  <c r="J173" s="1"/>
  <c r="J174" s="1"/>
  <c r="J175" s="1"/>
  <c r="J176" s="1"/>
  <c r="J177" s="1"/>
  <c r="J178" s="1"/>
  <c r="J179" s="1"/>
  <c r="J180" s="1"/>
  <c r="J181" s="1"/>
  <c r="J182" s="1"/>
  <c r="J183" s="1"/>
  <c r="J184" s="1"/>
  <c r="J185" s="1"/>
  <c r="J186" s="1"/>
  <c r="J187" s="1"/>
  <c r="J188" s="1"/>
  <c r="J189" s="1"/>
  <c r="F190"/>
  <c r="L8" i="31"/>
  <c r="D1" i="12"/>
  <c r="L7" i="31"/>
  <c r="C1" i="28"/>
  <c r="D1" i="31"/>
  <c r="E195"/>
  <c r="D195"/>
  <c r="I194"/>
  <c r="H194"/>
  <c r="I193"/>
  <c r="H193"/>
  <c r="I192"/>
  <c r="H192"/>
  <c r="I191"/>
  <c r="H191"/>
  <c r="I190"/>
  <c r="H190"/>
  <c r="I189"/>
  <c r="H189"/>
  <c r="I188"/>
  <c r="H188"/>
  <c r="I187"/>
  <c r="H187"/>
  <c r="I186"/>
  <c r="H186"/>
  <c r="I185"/>
  <c r="H185"/>
  <c r="I184"/>
  <c r="H184"/>
  <c r="I183"/>
  <c r="H183"/>
  <c r="I182"/>
  <c r="H182"/>
  <c r="I181"/>
  <c r="H181"/>
  <c r="I180"/>
  <c r="H180"/>
  <c r="I179"/>
  <c r="H179"/>
  <c r="I178"/>
  <c r="H178"/>
  <c r="I177"/>
  <c r="H177"/>
  <c r="I176"/>
  <c r="H176"/>
  <c r="I175"/>
  <c r="H175"/>
  <c r="I174"/>
  <c r="H174"/>
  <c r="I173"/>
  <c r="H173"/>
  <c r="I172"/>
  <c r="H172"/>
  <c r="I171"/>
  <c r="H171"/>
  <c r="I170"/>
  <c r="H170"/>
  <c r="I169"/>
  <c r="H169"/>
  <c r="I168"/>
  <c r="H168"/>
  <c r="I167"/>
  <c r="H167"/>
  <c r="I166"/>
  <c r="H166"/>
  <c r="I165"/>
  <c r="H165"/>
  <c r="I164"/>
  <c r="H164"/>
  <c r="I163"/>
  <c r="H163"/>
  <c r="I162"/>
  <c r="H162"/>
  <c r="I161"/>
  <c r="H161"/>
  <c r="I160"/>
  <c r="H160"/>
  <c r="I159"/>
  <c r="H159"/>
  <c r="I158"/>
  <c r="H158"/>
  <c r="I157"/>
  <c r="H157"/>
  <c r="I156"/>
  <c r="H156"/>
  <c r="I155"/>
  <c r="H155"/>
  <c r="I154"/>
  <c r="H154"/>
  <c r="I153"/>
  <c r="H153"/>
  <c r="I152"/>
  <c r="H152"/>
  <c r="I151"/>
  <c r="H151"/>
  <c r="I150"/>
  <c r="H150"/>
  <c r="I149"/>
  <c r="H149"/>
  <c r="I148"/>
  <c r="H148"/>
  <c r="I147"/>
  <c r="H147"/>
  <c r="I146"/>
  <c r="H146"/>
  <c r="I145"/>
  <c r="H145"/>
  <c r="I144"/>
  <c r="H144"/>
  <c r="I143"/>
  <c r="H143"/>
  <c r="I142"/>
  <c r="H142"/>
  <c r="I141"/>
  <c r="H141"/>
  <c r="I140"/>
  <c r="H140"/>
  <c r="I139"/>
  <c r="H139"/>
  <c r="I138"/>
  <c r="H138"/>
  <c r="I137"/>
  <c r="H137"/>
  <c r="I136"/>
  <c r="H136"/>
  <c r="I135"/>
  <c r="H135"/>
  <c r="I134"/>
  <c r="H134"/>
  <c r="I133"/>
  <c r="H133"/>
  <c r="I132"/>
  <c r="H132"/>
  <c r="I131"/>
  <c r="H131"/>
  <c r="I130"/>
  <c r="H130"/>
  <c r="I129"/>
  <c r="H129"/>
  <c r="I128"/>
  <c r="H128"/>
  <c r="I127"/>
  <c r="H127"/>
  <c r="I126"/>
  <c r="H126"/>
  <c r="I125"/>
  <c r="H125"/>
  <c r="I124"/>
  <c r="H124"/>
  <c r="I123"/>
  <c r="H123"/>
  <c r="I122"/>
  <c r="H122"/>
  <c r="I121"/>
  <c r="H121"/>
  <c r="I120"/>
  <c r="H120"/>
  <c r="I119"/>
  <c r="H119"/>
  <c r="I118"/>
  <c r="H118"/>
  <c r="I117"/>
  <c r="H117"/>
  <c r="I116"/>
  <c r="H116"/>
  <c r="I115"/>
  <c r="H115"/>
  <c r="I114"/>
  <c r="H114"/>
  <c r="I113"/>
  <c r="H113"/>
  <c r="I112"/>
  <c r="H112"/>
  <c r="I111"/>
  <c r="H111"/>
  <c r="I110"/>
  <c r="H110"/>
  <c r="I109"/>
  <c r="H109"/>
  <c r="I108"/>
  <c r="H108"/>
  <c r="I107"/>
  <c r="H107"/>
  <c r="I106"/>
  <c r="H106"/>
  <c r="I105"/>
  <c r="H105"/>
  <c r="I104"/>
  <c r="H104"/>
  <c r="I103"/>
  <c r="H103"/>
  <c r="I102"/>
  <c r="H102"/>
  <c r="I101"/>
  <c r="H101"/>
  <c r="I100"/>
  <c r="H100"/>
  <c r="I99"/>
  <c r="H99"/>
  <c r="I98"/>
  <c r="H98"/>
  <c r="I97"/>
  <c r="H97"/>
  <c r="I96"/>
  <c r="H96"/>
  <c r="I95"/>
  <c r="H95"/>
  <c r="I94"/>
  <c r="H94"/>
  <c r="I93"/>
  <c r="H93"/>
  <c r="I92"/>
  <c r="H92"/>
  <c r="I91"/>
  <c r="H91"/>
  <c r="I90"/>
  <c r="H90"/>
  <c r="I89"/>
  <c r="H89"/>
  <c r="I88"/>
  <c r="H88"/>
  <c r="I87"/>
  <c r="H87"/>
  <c r="I86"/>
  <c r="H86"/>
  <c r="I85"/>
  <c r="H85"/>
  <c r="I84"/>
  <c r="H84"/>
  <c r="I83"/>
  <c r="H83"/>
  <c r="I82"/>
  <c r="H82"/>
  <c r="I81"/>
  <c r="H81"/>
  <c r="I80"/>
  <c r="H80"/>
  <c r="I79"/>
  <c r="H79"/>
  <c r="I78"/>
  <c r="H78"/>
  <c r="I77"/>
  <c r="H77"/>
  <c r="I76"/>
  <c r="H76"/>
  <c r="I75"/>
  <c r="H75"/>
  <c r="I74"/>
  <c r="H74"/>
  <c r="I73"/>
  <c r="H73"/>
  <c r="I72"/>
  <c r="H72"/>
  <c r="I71"/>
  <c r="H71"/>
  <c r="I70"/>
  <c r="H70"/>
  <c r="I69"/>
  <c r="H69"/>
  <c r="I68"/>
  <c r="H68"/>
  <c r="I67"/>
  <c r="H67"/>
  <c r="I66"/>
  <c r="H66"/>
  <c r="I65"/>
  <c r="H65"/>
  <c r="I64"/>
  <c r="H64"/>
  <c r="I63"/>
  <c r="H63"/>
  <c r="I62"/>
  <c r="H62"/>
  <c r="I61"/>
  <c r="H61"/>
  <c r="I60"/>
  <c r="H60"/>
  <c r="I59"/>
  <c r="H59"/>
  <c r="I58"/>
  <c r="H58"/>
  <c r="I57"/>
  <c r="H57"/>
  <c r="I56"/>
  <c r="H56"/>
  <c r="I55"/>
  <c r="H55"/>
  <c r="I54"/>
  <c r="H54"/>
  <c r="I53"/>
  <c r="H53"/>
  <c r="I52"/>
  <c r="H52"/>
  <c r="I51"/>
  <c r="H51"/>
  <c r="I50"/>
  <c r="H50"/>
  <c r="I49"/>
  <c r="H49"/>
  <c r="I48"/>
  <c r="H48"/>
  <c r="I47"/>
  <c r="H47"/>
  <c r="I46"/>
  <c r="H46"/>
  <c r="I45"/>
  <c r="H45"/>
  <c r="I44"/>
  <c r="H44"/>
  <c r="I43"/>
  <c r="H43"/>
  <c r="I42"/>
  <c r="H42"/>
  <c r="I41"/>
  <c r="H41"/>
  <c r="I40"/>
  <c r="H40"/>
  <c r="I39"/>
  <c r="H39"/>
  <c r="I38"/>
  <c r="H38"/>
  <c r="I37"/>
  <c r="H37"/>
  <c r="I36"/>
  <c r="H36"/>
  <c r="I35"/>
  <c r="H35"/>
  <c r="I34"/>
  <c r="H34"/>
  <c r="I33"/>
  <c r="H33"/>
  <c r="I32"/>
  <c r="H32"/>
  <c r="I31"/>
  <c r="H31"/>
  <c r="I30"/>
  <c r="H30"/>
  <c r="I29"/>
  <c r="H29"/>
  <c r="I28"/>
  <c r="H28"/>
  <c r="I27"/>
  <c r="H27"/>
  <c r="I26"/>
  <c r="H26"/>
  <c r="I25"/>
  <c r="H25"/>
  <c r="I24"/>
  <c r="H24"/>
  <c r="I23"/>
  <c r="H23"/>
  <c r="I22"/>
  <c r="H22"/>
  <c r="I21"/>
  <c r="H21"/>
  <c r="I20"/>
  <c r="H20"/>
  <c r="I19"/>
  <c r="H19"/>
  <c r="I18"/>
  <c r="H18"/>
  <c r="I17"/>
  <c r="H17"/>
  <c r="I16"/>
  <c r="H16"/>
  <c r="I15"/>
  <c r="H15"/>
  <c r="I14"/>
  <c r="H14"/>
  <c r="I13"/>
  <c r="H13"/>
  <c r="I12"/>
  <c r="H12"/>
  <c r="I11"/>
  <c r="H11"/>
  <c r="I10"/>
  <c r="H10"/>
  <c r="A10"/>
  <c r="A11" s="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I9"/>
  <c r="H9"/>
  <c r="F9"/>
  <c r="F10" s="1"/>
  <c r="F11" s="1"/>
  <c r="F12" s="1"/>
  <c r="F13" s="1"/>
  <c r="F14" s="1"/>
  <c r="F15" s="1"/>
  <c r="F16" s="1"/>
  <c r="F17" s="1"/>
  <c r="F18" s="1"/>
  <c r="F19" s="1"/>
  <c r="F20" s="1"/>
  <c r="F21" s="1"/>
  <c r="F22" s="1"/>
  <c r="F23" s="1"/>
  <c r="F24" s="1"/>
  <c r="F25" s="1"/>
  <c r="F26" s="1"/>
  <c r="F27" s="1"/>
  <c r="F28" s="1"/>
  <c r="F29" s="1"/>
  <c r="F30" s="1"/>
  <c r="F31" s="1"/>
  <c r="F32" s="1"/>
  <c r="F33" l="1"/>
  <c r="F34" s="1"/>
  <c r="F35" s="1"/>
  <c r="F36" s="1"/>
  <c r="F37" s="1"/>
  <c r="F38" s="1"/>
  <c r="F39" s="1"/>
  <c r="F40" s="1"/>
  <c r="F41" s="1"/>
  <c r="F42" s="1"/>
  <c r="F43" s="1"/>
  <c r="F44" s="1"/>
  <c r="F45" s="1"/>
  <c r="F46" s="1"/>
  <c r="F47" s="1"/>
  <c r="F48" s="1"/>
  <c r="F49" s="1"/>
  <c r="F50" s="1"/>
  <c r="F51" s="1"/>
  <c r="F52" s="1"/>
  <c r="F53" s="1"/>
  <c r="F54" s="1"/>
  <c r="F55" s="1"/>
  <c r="F56" s="1"/>
  <c r="F57" s="1"/>
  <c r="F58" s="1"/>
  <c r="F59" s="1"/>
  <c r="F60" s="1"/>
  <c r="F61" s="1"/>
  <c r="F62" s="1"/>
  <c r="F63" s="1"/>
  <c r="F64" s="1"/>
  <c r="F65" s="1"/>
  <c r="F66" s="1"/>
  <c r="F67" s="1"/>
  <c r="F68" s="1"/>
  <c r="F69" s="1"/>
  <c r="F70" s="1"/>
  <c r="F71" s="1"/>
  <c r="F72" s="1"/>
  <c r="F73" s="1"/>
  <c r="F74" s="1"/>
  <c r="F75" s="1"/>
  <c r="F76" s="1"/>
  <c r="F77" s="1"/>
  <c r="F78" s="1"/>
  <c r="F79" s="1"/>
  <c r="F80" s="1"/>
  <c r="F81" s="1"/>
  <c r="F82" s="1"/>
  <c r="F83" s="1"/>
  <c r="F84" s="1"/>
  <c r="F85" s="1"/>
  <c r="F86" s="1"/>
  <c r="F87" s="1"/>
  <c r="F88" s="1"/>
  <c r="F89" s="1"/>
  <c r="F90" s="1"/>
  <c r="F91" s="1"/>
  <c r="F92" s="1"/>
  <c r="F93" s="1"/>
  <c r="F94" s="1"/>
  <c r="F95" s="1"/>
  <c r="F96" s="1"/>
  <c r="F97" s="1"/>
  <c r="F98" s="1"/>
  <c r="F99" s="1"/>
  <c r="F100" s="1"/>
  <c r="F101" s="1"/>
  <c r="F102" s="1"/>
  <c r="F103" s="1"/>
  <c r="F104" s="1"/>
  <c r="F105" s="1"/>
  <c r="F106" s="1"/>
  <c r="F107" s="1"/>
  <c r="F108" s="1"/>
  <c r="F109" s="1"/>
  <c r="F110" s="1"/>
  <c r="F111" s="1"/>
  <c r="F112" s="1"/>
  <c r="F113" s="1"/>
  <c r="F114" s="1"/>
  <c r="F115" s="1"/>
  <c r="F116" s="1"/>
  <c r="F117" s="1"/>
  <c r="F118" s="1"/>
  <c r="F119" s="1"/>
  <c r="F120" s="1"/>
  <c r="F121" s="1"/>
  <c r="F122" s="1"/>
  <c r="F123" s="1"/>
  <c r="F124" s="1"/>
  <c r="F125" s="1"/>
  <c r="F126" s="1"/>
  <c r="F127" s="1"/>
  <c r="F128" s="1"/>
  <c r="F129" s="1"/>
  <c r="F130" s="1"/>
  <c r="F131" s="1"/>
  <c r="F132" s="1"/>
  <c r="F133" s="1"/>
  <c r="F134" s="1"/>
  <c r="F135" s="1"/>
  <c r="F136" s="1"/>
  <c r="F137" s="1"/>
  <c r="F138" s="1"/>
  <c r="F139" s="1"/>
  <c r="F140" s="1"/>
  <c r="F141" s="1"/>
  <c r="F142" s="1"/>
  <c r="F143" s="1"/>
  <c r="F144" s="1"/>
  <c r="F145" s="1"/>
  <c r="F146" s="1"/>
  <c r="F147" s="1"/>
  <c r="F148" s="1"/>
  <c r="F149" s="1"/>
  <c r="F150" s="1"/>
  <c r="F151" s="1"/>
  <c r="F152" s="1"/>
  <c r="F153" s="1"/>
  <c r="F154" s="1"/>
  <c r="F155" s="1"/>
  <c r="F156" s="1"/>
  <c r="F157" s="1"/>
  <c r="F158" s="1"/>
  <c r="F159" s="1"/>
  <c r="F160" s="1"/>
  <c r="F161" s="1"/>
  <c r="F162" s="1"/>
  <c r="F163" s="1"/>
  <c r="F164" s="1"/>
  <c r="F165" s="1"/>
  <c r="F166" s="1"/>
  <c r="F167" s="1"/>
  <c r="F168" s="1"/>
  <c r="F169" s="1"/>
  <c r="F170" s="1"/>
  <c r="F171" s="1"/>
  <c r="F172" s="1"/>
  <c r="F173" s="1"/>
  <c r="F174" s="1"/>
  <c r="F175" s="1"/>
  <c r="F176" s="1"/>
  <c r="F177" s="1"/>
  <c r="F178" s="1"/>
  <c r="F179" s="1"/>
  <c r="F180" s="1"/>
  <c r="F181" s="1"/>
  <c r="F182" s="1"/>
  <c r="F183" s="1"/>
  <c r="F184" s="1"/>
  <c r="F185" s="1"/>
  <c r="F186" s="1"/>
  <c r="F187" s="1"/>
  <c r="F188" s="1"/>
  <c r="F189" s="1"/>
  <c r="F190" s="1"/>
  <c r="F191" s="1"/>
  <c r="F192" s="1"/>
  <c r="F193" s="1"/>
  <c r="F194" s="1"/>
  <c r="Y27" i="34"/>
  <c r="Z27" s="1"/>
  <c r="X28"/>
  <c r="T28"/>
  <c r="S29"/>
  <c r="K27"/>
  <c r="L27" s="1"/>
  <c r="J28"/>
  <c r="F28"/>
  <c r="E29"/>
  <c r="J190" i="33"/>
  <c r="G4" i="36"/>
  <c r="F21"/>
  <c r="R17"/>
  <c r="S19" i="34"/>
  <c r="T18"/>
  <c r="E19"/>
  <c r="F18"/>
  <c r="E5"/>
  <c r="F4"/>
  <c r="J20"/>
  <c r="K19"/>
  <c r="L19" s="1"/>
  <c r="X20"/>
  <c r="J6"/>
  <c r="V19"/>
  <c r="V20" s="1"/>
  <c r="V21" s="1"/>
  <c r="V22" s="1"/>
  <c r="V23" s="1"/>
  <c r="V24" s="1"/>
  <c r="H5"/>
  <c r="H6" s="1"/>
  <c r="H7" s="1"/>
  <c r="H8" s="1"/>
  <c r="H9" s="1"/>
  <c r="H10" s="1"/>
  <c r="H11" s="1"/>
  <c r="H12" s="1"/>
  <c r="H13" s="1"/>
  <c r="H14" s="1"/>
  <c r="H15" s="1"/>
  <c r="H16" s="1"/>
  <c r="K18"/>
  <c r="L18" s="1"/>
  <c r="H195" i="31"/>
  <c r="I195"/>
  <c r="F195"/>
  <c r="J9"/>
  <c r="J10" s="1"/>
  <c r="J11" s="1"/>
  <c r="J12" s="1"/>
  <c r="J13" s="1"/>
  <c r="J14" s="1"/>
  <c r="J15" s="1"/>
  <c r="J16" s="1"/>
  <c r="J17" s="1"/>
  <c r="J18" s="1"/>
  <c r="J19" s="1"/>
  <c r="J20" s="1"/>
  <c r="J21" s="1"/>
  <c r="J22" s="1"/>
  <c r="J23" s="1"/>
  <c r="J24" s="1"/>
  <c r="J25" s="1"/>
  <c r="J26" s="1"/>
  <c r="J27" s="1"/>
  <c r="J28" s="1"/>
  <c r="J29" s="1"/>
  <c r="J30" s="1"/>
  <c r="J31" s="1"/>
  <c r="J32" s="1"/>
  <c r="J33" s="1"/>
  <c r="J34" s="1"/>
  <c r="J35" s="1"/>
  <c r="J36" s="1"/>
  <c r="J37" s="1"/>
  <c r="J38" s="1"/>
  <c r="J39" s="1"/>
  <c r="J40" s="1"/>
  <c r="J41" s="1"/>
  <c r="J42" s="1"/>
  <c r="J43" s="1"/>
  <c r="J44" s="1"/>
  <c r="J45" s="1"/>
  <c r="J46" s="1"/>
  <c r="J47" s="1"/>
  <c r="J48" s="1"/>
  <c r="J49" s="1"/>
  <c r="J50" s="1"/>
  <c r="J51" s="1"/>
  <c r="J52" s="1"/>
  <c r="J53" s="1"/>
  <c r="J54" s="1"/>
  <c r="J55" s="1"/>
  <c r="J56" s="1"/>
  <c r="J57" s="1"/>
  <c r="J58" s="1"/>
  <c r="J59" s="1"/>
  <c r="J60" s="1"/>
  <c r="J61" s="1"/>
  <c r="J62" s="1"/>
  <c r="J63" s="1"/>
  <c r="J64" s="1"/>
  <c r="J65" s="1"/>
  <c r="J66" s="1"/>
  <c r="J67" s="1"/>
  <c r="J68" s="1"/>
  <c r="J69" s="1"/>
  <c r="J70" s="1"/>
  <c r="J71" s="1"/>
  <c r="J72" s="1"/>
  <c r="J73" s="1"/>
  <c r="J74" s="1"/>
  <c r="J75" s="1"/>
  <c r="J76" s="1"/>
  <c r="J77" s="1"/>
  <c r="J78" s="1"/>
  <c r="J79" s="1"/>
  <c r="J80" s="1"/>
  <c r="J81" s="1"/>
  <c r="J82" s="1"/>
  <c r="J83" s="1"/>
  <c r="J84" s="1"/>
  <c r="J85" s="1"/>
  <c r="J86" s="1"/>
  <c r="J87" s="1"/>
  <c r="J88" s="1"/>
  <c r="J89" s="1"/>
  <c r="J90" s="1"/>
  <c r="J91" s="1"/>
  <c r="J92" s="1"/>
  <c r="J93" s="1"/>
  <c r="J94" s="1"/>
  <c r="J95" s="1"/>
  <c r="J96" s="1"/>
  <c r="J97" s="1"/>
  <c r="J98" s="1"/>
  <c r="J99" s="1"/>
  <c r="J100" s="1"/>
  <c r="J101" s="1"/>
  <c r="J102" s="1"/>
  <c r="J103" s="1"/>
  <c r="J104" s="1"/>
  <c r="J105" s="1"/>
  <c r="J106" s="1"/>
  <c r="J107" s="1"/>
  <c r="J108" s="1"/>
  <c r="J109" s="1"/>
  <c r="J110" s="1"/>
  <c r="J111" s="1"/>
  <c r="J112" s="1"/>
  <c r="J113" s="1"/>
  <c r="J114" s="1"/>
  <c r="J115" s="1"/>
  <c r="J116" s="1"/>
  <c r="J117" s="1"/>
  <c r="J118" s="1"/>
  <c r="J119" s="1"/>
  <c r="J120" s="1"/>
  <c r="J121" s="1"/>
  <c r="J122" s="1"/>
  <c r="J123" s="1"/>
  <c r="J124" s="1"/>
  <c r="J125" s="1"/>
  <c r="J126" s="1"/>
  <c r="J127" s="1"/>
  <c r="J128" s="1"/>
  <c r="J129" s="1"/>
  <c r="J130" s="1"/>
  <c r="J131" s="1"/>
  <c r="J132" s="1"/>
  <c r="J133" s="1"/>
  <c r="J134" s="1"/>
  <c r="J135" s="1"/>
  <c r="J136" s="1"/>
  <c r="J137" s="1"/>
  <c r="J138" s="1"/>
  <c r="J139" s="1"/>
  <c r="J140" s="1"/>
  <c r="J141" s="1"/>
  <c r="J142" s="1"/>
  <c r="J143" s="1"/>
  <c r="J144" s="1"/>
  <c r="J145" s="1"/>
  <c r="J146" s="1"/>
  <c r="J147" s="1"/>
  <c r="J148" s="1"/>
  <c r="J149" s="1"/>
  <c r="J150" s="1"/>
  <c r="J151" s="1"/>
  <c r="J152" s="1"/>
  <c r="J153" s="1"/>
  <c r="J154" s="1"/>
  <c r="J155" s="1"/>
  <c r="J156" s="1"/>
  <c r="J157" s="1"/>
  <c r="J158" s="1"/>
  <c r="J159" s="1"/>
  <c r="J160" s="1"/>
  <c r="J161" s="1"/>
  <c r="J162" s="1"/>
  <c r="J163" s="1"/>
  <c r="J164" s="1"/>
  <c r="J165" s="1"/>
  <c r="J166" s="1"/>
  <c r="J167" s="1"/>
  <c r="J168" s="1"/>
  <c r="J169" s="1"/>
  <c r="J170" s="1"/>
  <c r="J171" s="1"/>
  <c r="J172" s="1"/>
  <c r="J173" s="1"/>
  <c r="J174" s="1"/>
  <c r="J175" s="1"/>
  <c r="J176" s="1"/>
  <c r="J177" s="1"/>
  <c r="J178" s="1"/>
  <c r="J179" s="1"/>
  <c r="J180" s="1"/>
  <c r="J181" s="1"/>
  <c r="J182" s="1"/>
  <c r="J183" s="1"/>
  <c r="J184" s="1"/>
  <c r="J185" s="1"/>
  <c r="J186" s="1"/>
  <c r="J187" s="1"/>
  <c r="J188" s="1"/>
  <c r="J189" s="1"/>
  <c r="J190" s="1"/>
  <c r="J191" s="1"/>
  <c r="J192" s="1"/>
  <c r="J193" s="1"/>
  <c r="J194" s="1"/>
  <c r="T29" i="34" l="1"/>
  <c r="S30"/>
  <c r="T30" s="1"/>
  <c r="Y28"/>
  <c r="Z28" s="1"/>
  <c r="X29"/>
  <c r="F29"/>
  <c r="E30"/>
  <c r="F30" s="1"/>
  <c r="K28"/>
  <c r="L28" s="1"/>
  <c r="J29"/>
  <c r="K5"/>
  <c r="L5" s="1"/>
  <c r="H4" i="36"/>
  <c r="G21"/>
  <c r="J21" i="34"/>
  <c r="K20"/>
  <c r="L20" s="1"/>
  <c r="E6"/>
  <c r="F5"/>
  <c r="F19"/>
  <c r="E20"/>
  <c r="S20"/>
  <c r="T19"/>
  <c r="K6"/>
  <c r="L6" s="1"/>
  <c r="J7"/>
  <c r="Y20"/>
  <c r="Z20" s="1"/>
  <c r="X21"/>
  <c r="Y19"/>
  <c r="Z19" s="1"/>
  <c r="J195" i="31"/>
  <c r="A7" i="30"/>
  <c r="A8" s="1"/>
  <c r="A9" s="1"/>
  <c r="A10" s="1"/>
  <c r="A11" s="1"/>
  <c r="Y29" i="34" l="1"/>
  <c r="Z29" s="1"/>
  <c r="X30"/>
  <c r="Y30" s="1"/>
  <c r="Z30" s="1"/>
  <c r="K29"/>
  <c r="L29" s="1"/>
  <c r="J30"/>
  <c r="K30" s="1"/>
  <c r="L30" s="1"/>
  <c r="A12" i="30"/>
  <c r="A16" s="1"/>
  <c r="A17" s="1"/>
  <c r="A18" s="1"/>
  <c r="A19" s="1"/>
  <c r="A20" s="1"/>
  <c r="A21" s="1"/>
  <c r="A22" s="1"/>
  <c r="A23" s="1"/>
  <c r="A24" s="1"/>
  <c r="A25" s="1"/>
  <c r="A26" s="1"/>
  <c r="A27" s="1"/>
  <c r="A28" s="1"/>
  <c r="A29" s="1"/>
  <c r="A30" s="1"/>
  <c r="I4" i="36"/>
  <c r="H21"/>
  <c r="S21" i="34"/>
  <c r="T20"/>
  <c r="E7"/>
  <c r="F6"/>
  <c r="J22"/>
  <c r="K21"/>
  <c r="L21" s="1"/>
  <c r="Y21"/>
  <c r="Z21" s="1"/>
  <c r="X22"/>
  <c r="K7"/>
  <c r="L7" s="1"/>
  <c r="J8"/>
  <c r="F20"/>
  <c r="E21"/>
  <c r="J1" i="23"/>
  <c r="H2" i="24"/>
  <c r="C2" i="28"/>
  <c r="J34" i="24"/>
  <c r="E8" i="13"/>
  <c r="E9" s="1"/>
  <c r="E10" s="1"/>
  <c r="E11" s="1"/>
  <c r="E12" s="1"/>
  <c r="E13" s="1"/>
  <c r="E14" s="1"/>
  <c r="E15" s="1"/>
  <c r="E16" s="1"/>
  <c r="E17" s="1"/>
  <c r="E18" s="1"/>
  <c r="D9"/>
  <c r="D10" s="1"/>
  <c r="D11" s="1"/>
  <c r="D12" s="1"/>
  <c r="D13" s="1"/>
  <c r="D14" s="1"/>
  <c r="D15" s="1"/>
  <c r="D16" s="1"/>
  <c r="D17" s="1"/>
  <c r="D18" s="1"/>
  <c r="D8"/>
  <c r="A66" i="29"/>
  <c r="A49"/>
  <c r="A21"/>
  <c r="B4"/>
  <c r="B66" s="1"/>
  <c r="B51"/>
  <c r="B52"/>
  <c r="B53"/>
  <c r="B54"/>
  <c r="B55"/>
  <c r="B56"/>
  <c r="B57"/>
  <c r="B58"/>
  <c r="B59"/>
  <c r="B60"/>
  <c r="B61"/>
  <c r="B6"/>
  <c r="B7"/>
  <c r="B8"/>
  <c r="B9"/>
  <c r="B10"/>
  <c r="B11"/>
  <c r="B12"/>
  <c r="B13"/>
  <c r="B14"/>
  <c r="B15"/>
  <c r="B16"/>
  <c r="B50"/>
  <c r="B5"/>
  <c r="B25" i="13"/>
  <c r="B5" i="36" s="1"/>
  <c r="C4" i="29" l="1"/>
  <c r="D4" s="1"/>
  <c r="E4" s="1"/>
  <c r="F4" s="1"/>
  <c r="G4" s="1"/>
  <c r="H4" s="1"/>
  <c r="I4" s="1"/>
  <c r="J4" s="1"/>
  <c r="K4" s="1"/>
  <c r="L4" s="1"/>
  <c r="M4" s="1"/>
  <c r="N4" s="1"/>
  <c r="O4" s="1"/>
  <c r="P4" s="1"/>
  <c r="P66" s="1"/>
  <c r="B21"/>
  <c r="O21"/>
  <c r="M21"/>
  <c r="K21"/>
  <c r="I21"/>
  <c r="G21"/>
  <c r="E21"/>
  <c r="C21"/>
  <c r="O49"/>
  <c r="M49"/>
  <c r="K49"/>
  <c r="I49"/>
  <c r="G49"/>
  <c r="E49"/>
  <c r="C49"/>
  <c r="O66"/>
  <c r="M66"/>
  <c r="K66"/>
  <c r="I66"/>
  <c r="G66"/>
  <c r="E66"/>
  <c r="C66"/>
  <c r="P21"/>
  <c r="N21"/>
  <c r="L21"/>
  <c r="J21"/>
  <c r="H21"/>
  <c r="F21"/>
  <c r="D21"/>
  <c r="P49"/>
  <c r="N49"/>
  <c r="L49"/>
  <c r="J49"/>
  <c r="H49"/>
  <c r="F49"/>
  <c r="D49"/>
  <c r="B49"/>
  <c r="N66"/>
  <c r="L66"/>
  <c r="J66"/>
  <c r="H66"/>
  <c r="F66"/>
  <c r="D66"/>
  <c r="J4" i="36"/>
  <c r="I21"/>
  <c r="J23" i="34"/>
  <c r="K22"/>
  <c r="L22" s="1"/>
  <c r="E8"/>
  <c r="F7"/>
  <c r="S22"/>
  <c r="T21"/>
  <c r="F21"/>
  <c r="E22"/>
  <c r="K8"/>
  <c r="L8" s="1"/>
  <c r="J9"/>
  <c r="Y22"/>
  <c r="Z22" s="1"/>
  <c r="X23"/>
  <c r="H1" i="24"/>
  <c r="A27"/>
  <c r="D27"/>
  <c r="L27"/>
  <c r="P27"/>
  <c r="A28"/>
  <c r="A29" s="1"/>
  <c r="A30" s="1"/>
  <c r="A31" s="1"/>
  <c r="A32" s="1"/>
  <c r="A33" s="1"/>
  <c r="D28"/>
  <c r="L28"/>
  <c r="P28"/>
  <c r="D29"/>
  <c r="L29"/>
  <c r="P29"/>
  <c r="D30"/>
  <c r="L30"/>
  <c r="P30"/>
  <c r="D31"/>
  <c r="L31"/>
  <c r="P31"/>
  <c r="D32"/>
  <c r="L32"/>
  <c r="P32"/>
  <c r="T32"/>
  <c r="D33"/>
  <c r="L33"/>
  <c r="P33"/>
  <c r="K4" i="36" l="1"/>
  <c r="J21"/>
  <c r="S23" i="34"/>
  <c r="T22"/>
  <c r="E9"/>
  <c r="F8"/>
  <c r="J24"/>
  <c r="K24" s="1"/>
  <c r="L24" s="1"/>
  <c r="K23"/>
  <c r="L23" s="1"/>
  <c r="Y23"/>
  <c r="Z23" s="1"/>
  <c r="X24"/>
  <c r="Y24" s="1"/>
  <c r="Z24" s="1"/>
  <c r="K9"/>
  <c r="L9" s="1"/>
  <c r="J10"/>
  <c r="F22"/>
  <c r="E23"/>
  <c r="B29" i="23"/>
  <c r="C29"/>
  <c r="A29"/>
  <c r="A30"/>
  <c r="B4"/>
  <c r="B30" s="1"/>
  <c r="C26" i="13"/>
  <c r="C6" i="36" s="1"/>
  <c r="C27" i="13"/>
  <c r="C7" i="36" s="1"/>
  <c r="C28" i="13"/>
  <c r="C8" i="36" s="1"/>
  <c r="C29" i="13"/>
  <c r="C9" i="36" s="1"/>
  <c r="C30" i="13"/>
  <c r="C10" i="36" s="1"/>
  <c r="C31" i="13"/>
  <c r="C11" i="36" s="1"/>
  <c r="C32" i="13"/>
  <c r="C12" i="36" s="1"/>
  <c r="C33" i="13"/>
  <c r="C13" i="36" s="1"/>
  <c r="C34" i="13"/>
  <c r="C14" i="36" s="1"/>
  <c r="C35" i="13"/>
  <c r="C15" i="36" s="1"/>
  <c r="C36" i="13"/>
  <c r="C16" i="36" s="1"/>
  <c r="C25" i="13"/>
  <c r="C5" i="36" s="1"/>
  <c r="B26" i="13"/>
  <c r="B6" i="36" s="1"/>
  <c r="B27" i="13"/>
  <c r="B7" i="36" s="1"/>
  <c r="B28" i="13"/>
  <c r="B8" i="36" s="1"/>
  <c r="B29" i="13"/>
  <c r="B9" i="36" s="1"/>
  <c r="B30" i="13"/>
  <c r="B10" i="36" s="1"/>
  <c r="B31" i="13"/>
  <c r="B11" i="36" s="1"/>
  <c r="B32" i="13"/>
  <c r="B12" i="36" s="1"/>
  <c r="B33" i="13"/>
  <c r="B13" i="36" s="1"/>
  <c r="B34" i="13"/>
  <c r="B14" i="36" s="1"/>
  <c r="B35" i="13"/>
  <c r="B15" i="36" s="1"/>
  <c r="B36" i="13"/>
  <c r="B16" i="36" s="1"/>
  <c r="A40" i="13"/>
  <c r="B24"/>
  <c r="B40" s="1"/>
  <c r="B39"/>
  <c r="C4" i="23" l="1"/>
  <c r="D4" s="1"/>
  <c r="E4" s="1"/>
  <c r="F4" s="1"/>
  <c r="G4" s="1"/>
  <c r="H4" s="1"/>
  <c r="I4" s="1"/>
  <c r="J4" s="1"/>
  <c r="K4" s="1"/>
  <c r="L4" s="1"/>
  <c r="M4" s="1"/>
  <c r="N4" s="1"/>
  <c r="O4" s="1"/>
  <c r="P4" s="1"/>
  <c r="P30" s="1"/>
  <c r="C24" i="13"/>
  <c r="E30" i="23"/>
  <c r="L4" i="36"/>
  <c r="K21"/>
  <c r="E10" i="34"/>
  <c r="F9"/>
  <c r="S24"/>
  <c r="T24" s="1"/>
  <c r="T23"/>
  <c r="F23"/>
  <c r="E24"/>
  <c r="F24" s="1"/>
  <c r="K10"/>
  <c r="L10" s="1"/>
  <c r="J11"/>
  <c r="C12" i="24"/>
  <c r="D12" s="1"/>
  <c r="E12" s="1"/>
  <c r="F12" s="1"/>
  <c r="G12" s="1"/>
  <c r="H12" s="1"/>
  <c r="I12" s="1"/>
  <c r="J12" s="1"/>
  <c r="K12" s="1"/>
  <c r="L12" s="1"/>
  <c r="M12" s="1"/>
  <c r="N12" s="1"/>
  <c r="O12" s="1"/>
  <c r="P12" s="1"/>
  <c r="Q12" s="1"/>
  <c r="R12" s="1"/>
  <c r="S12" s="1"/>
  <c r="T12" s="1"/>
  <c r="U12" s="1"/>
  <c r="V12" s="1"/>
  <c r="B12"/>
  <c r="H30" i="23" l="1"/>
  <c r="K30"/>
  <c r="L30"/>
  <c r="C30"/>
  <c r="G30"/>
  <c r="D30"/>
  <c r="N30"/>
  <c r="I30"/>
  <c r="O30"/>
  <c r="F30"/>
  <c r="M30"/>
  <c r="J30"/>
  <c r="D24" i="13"/>
  <c r="C40"/>
  <c r="M4" i="36"/>
  <c r="L21"/>
  <c r="E11" i="34"/>
  <c r="F10"/>
  <c r="K11"/>
  <c r="L11" s="1"/>
  <c r="J12"/>
  <c r="B7" i="28"/>
  <c r="C7" s="1"/>
  <c r="D15" i="24"/>
  <c r="L15"/>
  <c r="L16"/>
  <c r="L17"/>
  <c r="L18"/>
  <c r="P18"/>
  <c r="L19"/>
  <c r="P19"/>
  <c r="L20"/>
  <c r="P20"/>
  <c r="L21"/>
  <c r="P21"/>
  <c r="L22"/>
  <c r="P22"/>
  <c r="L23"/>
  <c r="P23"/>
  <c r="L24"/>
  <c r="P24"/>
  <c r="L25"/>
  <c r="P25"/>
  <c r="L26"/>
  <c r="P26"/>
  <c r="L14"/>
  <c r="L13"/>
  <c r="I13"/>
  <c r="K13" s="1"/>
  <c r="G31" i="23"/>
  <c r="H31"/>
  <c r="I31"/>
  <c r="J31"/>
  <c r="K31"/>
  <c r="L31"/>
  <c r="M31"/>
  <c r="N31"/>
  <c r="O31"/>
  <c r="P31"/>
  <c r="G32"/>
  <c r="H32"/>
  <c r="I32"/>
  <c r="J32"/>
  <c r="K32"/>
  <c r="L32"/>
  <c r="M32"/>
  <c r="N32"/>
  <c r="O32"/>
  <c r="P32"/>
  <c r="G33"/>
  <c r="H33"/>
  <c r="I33"/>
  <c r="J33"/>
  <c r="K33"/>
  <c r="L33"/>
  <c r="M33"/>
  <c r="N33"/>
  <c r="O33"/>
  <c r="P33"/>
  <c r="G34"/>
  <c r="H34"/>
  <c r="I34"/>
  <c r="J34"/>
  <c r="K34"/>
  <c r="L34"/>
  <c r="M34"/>
  <c r="N34"/>
  <c r="O34"/>
  <c r="P34"/>
  <c r="G35"/>
  <c r="H35"/>
  <c r="I35"/>
  <c r="J35"/>
  <c r="K35"/>
  <c r="L35"/>
  <c r="M35"/>
  <c r="N35"/>
  <c r="O35"/>
  <c r="P35"/>
  <c r="G36"/>
  <c r="H36"/>
  <c r="I36"/>
  <c r="J36"/>
  <c r="K36"/>
  <c r="L36"/>
  <c r="M36"/>
  <c r="N36"/>
  <c r="O36"/>
  <c r="P36"/>
  <c r="G37"/>
  <c r="H37"/>
  <c r="I37"/>
  <c r="J37"/>
  <c r="K37"/>
  <c r="L37"/>
  <c r="M37"/>
  <c r="N37"/>
  <c r="O37"/>
  <c r="P37"/>
  <c r="G38"/>
  <c r="H38"/>
  <c r="I38"/>
  <c r="J38"/>
  <c r="K38"/>
  <c r="L38"/>
  <c r="M38"/>
  <c r="N38"/>
  <c r="O38"/>
  <c r="P38"/>
  <c r="G39"/>
  <c r="H39"/>
  <c r="I39"/>
  <c r="J39"/>
  <c r="K39"/>
  <c r="L39"/>
  <c r="M39"/>
  <c r="N39"/>
  <c r="O39"/>
  <c r="P39"/>
  <c r="G40"/>
  <c r="H40"/>
  <c r="I40"/>
  <c r="J40"/>
  <c r="K40"/>
  <c r="L40"/>
  <c r="M40"/>
  <c r="N40"/>
  <c r="O40"/>
  <c r="P40"/>
  <c r="C51" i="29"/>
  <c r="C52"/>
  <c r="C53"/>
  <c r="C54"/>
  <c r="C55"/>
  <c r="C56"/>
  <c r="C57"/>
  <c r="C58"/>
  <c r="C59"/>
  <c r="C60"/>
  <c r="C61"/>
  <c r="C50"/>
  <c r="C5"/>
  <c r="C6"/>
  <c r="C7"/>
  <c r="C8"/>
  <c r="C9"/>
  <c r="C10"/>
  <c r="C11"/>
  <c r="C12"/>
  <c r="C13"/>
  <c r="C14"/>
  <c r="C15"/>
  <c r="C16"/>
  <c r="L50"/>
  <c r="M50"/>
  <c r="N50"/>
  <c r="O50"/>
  <c r="P50"/>
  <c r="L51"/>
  <c r="M51"/>
  <c r="N51"/>
  <c r="O51"/>
  <c r="P51"/>
  <c r="L52"/>
  <c r="M52"/>
  <c r="N52"/>
  <c r="O52"/>
  <c r="P52"/>
  <c r="L53"/>
  <c r="M53"/>
  <c r="N53"/>
  <c r="O53"/>
  <c r="P53"/>
  <c r="L54"/>
  <c r="M54"/>
  <c r="N54"/>
  <c r="O54"/>
  <c r="P54"/>
  <c r="L55"/>
  <c r="M55"/>
  <c r="N55"/>
  <c r="O55"/>
  <c r="P55"/>
  <c r="L57"/>
  <c r="M57"/>
  <c r="N57"/>
  <c r="O57"/>
  <c r="P57"/>
  <c r="L58"/>
  <c r="M58"/>
  <c r="N58"/>
  <c r="O58"/>
  <c r="P58"/>
  <c r="L59"/>
  <c r="M59"/>
  <c r="N59"/>
  <c r="O59"/>
  <c r="P59"/>
  <c r="L60"/>
  <c r="M60"/>
  <c r="N60"/>
  <c r="O60"/>
  <c r="P60"/>
  <c r="L61"/>
  <c r="M61"/>
  <c r="N61"/>
  <c r="O61"/>
  <c r="P61"/>
  <c r="M5"/>
  <c r="N5"/>
  <c r="O5"/>
  <c r="P5"/>
  <c r="M6"/>
  <c r="N6"/>
  <c r="O6"/>
  <c r="P6"/>
  <c r="M7"/>
  <c r="N7"/>
  <c r="O7"/>
  <c r="P7"/>
  <c r="M8"/>
  <c r="N8"/>
  <c r="O8"/>
  <c r="P8"/>
  <c r="M9"/>
  <c r="N9"/>
  <c r="O9"/>
  <c r="P9"/>
  <c r="M10"/>
  <c r="N10"/>
  <c r="O10"/>
  <c r="P10"/>
  <c r="M12"/>
  <c r="N12"/>
  <c r="O12"/>
  <c r="P12"/>
  <c r="M13"/>
  <c r="N13"/>
  <c r="O13"/>
  <c r="P13"/>
  <c r="M14"/>
  <c r="N14"/>
  <c r="O14"/>
  <c r="P14"/>
  <c r="M15"/>
  <c r="N15"/>
  <c r="O15"/>
  <c r="P15"/>
  <c r="M16"/>
  <c r="N16"/>
  <c r="O16"/>
  <c r="P16"/>
  <c r="D23" i="24"/>
  <c r="D24"/>
  <c r="D25"/>
  <c r="D26"/>
  <c r="D19"/>
  <c r="D20"/>
  <c r="D21"/>
  <c r="D22"/>
  <c r="D18"/>
  <c r="F1" i="13"/>
  <c r="E20" i="36"/>
  <c r="D3" i="23"/>
  <c r="G6" i="28"/>
  <c r="D29" i="23"/>
  <c r="E3" i="36"/>
  <c r="G53" i="23" l="1"/>
  <c r="E24" i="13"/>
  <c r="D40"/>
  <c r="F7" i="28"/>
  <c r="G1" i="13"/>
  <c r="A4" i="26"/>
  <c r="R13" i="24"/>
  <c r="B13"/>
  <c r="D23" i="13"/>
  <c r="N4" i="36"/>
  <c r="M21"/>
  <c r="E12" i="34"/>
  <c r="F11"/>
  <c r="K12"/>
  <c r="L12" s="1"/>
  <c r="J13"/>
  <c r="F2" i="13"/>
  <c r="H1"/>
  <c r="E29" i="23"/>
  <c r="F3" i="36"/>
  <c r="E3" i="23"/>
  <c r="H6" i="28"/>
  <c r="F20" i="36"/>
  <c r="F24" i="13" l="1"/>
  <c r="E40"/>
  <c r="T7" i="28"/>
  <c r="G7"/>
  <c r="H7" s="1"/>
  <c r="I7" s="1"/>
  <c r="J7" s="1"/>
  <c r="K7" s="1"/>
  <c r="L7" s="1"/>
  <c r="M7" s="1"/>
  <c r="N7" s="1"/>
  <c r="O7" s="1"/>
  <c r="P7" s="1"/>
  <c r="Q7" s="1"/>
  <c r="R7" s="1"/>
  <c r="S7" s="1"/>
  <c r="A5" i="26"/>
  <c r="R14" i="24"/>
  <c r="B14"/>
  <c r="O4" i="36"/>
  <c r="N21"/>
  <c r="E13" i="34"/>
  <c r="F12"/>
  <c r="K13"/>
  <c r="L13" s="1"/>
  <c r="J14"/>
  <c r="D2" i="29"/>
  <c r="D47" s="1"/>
  <c r="H2" i="13"/>
  <c r="D39"/>
  <c r="G2"/>
  <c r="F3"/>
  <c r="E23"/>
  <c r="B38" i="27"/>
  <c r="B39"/>
  <c r="B40"/>
  <c r="B41"/>
  <c r="B42"/>
  <c r="B43"/>
  <c r="B44"/>
  <c r="B45"/>
  <c r="B46"/>
  <c r="D38"/>
  <c r="D39"/>
  <c r="D40"/>
  <c r="D41"/>
  <c r="D42"/>
  <c r="D43"/>
  <c r="D44"/>
  <c r="D45"/>
  <c r="M31"/>
  <c r="K31"/>
  <c r="A11"/>
  <c r="A12" s="1"/>
  <c r="A13" s="1"/>
  <c r="A14" s="1"/>
  <c r="A15" s="1"/>
  <c r="A16" s="1"/>
  <c r="A17" s="1"/>
  <c r="A18" s="1"/>
  <c r="A19" s="1"/>
  <c r="A20" s="1"/>
  <c r="A21" s="1"/>
  <c r="A22" s="1"/>
  <c r="A23" s="1"/>
  <c r="A24" s="1"/>
  <c r="A25" s="1"/>
  <c r="A26" s="1"/>
  <c r="A27" s="1"/>
  <c r="A28" s="1"/>
  <c r="A29" s="1"/>
  <c r="A30" s="1"/>
  <c r="F32" i="23"/>
  <c r="F33"/>
  <c r="F34"/>
  <c r="F35"/>
  <c r="F36"/>
  <c r="F37"/>
  <c r="F38"/>
  <c r="F39"/>
  <c r="F40"/>
  <c r="F31"/>
  <c r="E32"/>
  <c r="E33"/>
  <c r="E34"/>
  <c r="E35"/>
  <c r="E36"/>
  <c r="E37"/>
  <c r="E38"/>
  <c r="E39"/>
  <c r="E40"/>
  <c r="E31"/>
  <c r="D40"/>
  <c r="D32"/>
  <c r="D33"/>
  <c r="D34"/>
  <c r="D35"/>
  <c r="D36"/>
  <c r="D37"/>
  <c r="D38"/>
  <c r="D39"/>
  <c r="D31"/>
  <c r="C31"/>
  <c r="D5" i="29"/>
  <c r="I6" i="28"/>
  <c r="F29" i="23"/>
  <c r="G20" i="36"/>
  <c r="G3"/>
  <c r="F3" i="23"/>
  <c r="F53" l="1"/>
  <c r="D53"/>
  <c r="E53"/>
  <c r="G24" i="13"/>
  <c r="F40"/>
  <c r="A6" i="26"/>
  <c r="R15" i="24"/>
  <c r="B15"/>
  <c r="P4" i="36"/>
  <c r="O21"/>
  <c r="E14" i="34"/>
  <c r="F13"/>
  <c r="K14"/>
  <c r="L14" s="1"/>
  <c r="J15"/>
  <c r="E39" i="13"/>
  <c r="P31" i="27"/>
  <c r="E2" i="29"/>
  <c r="E47" s="1"/>
  <c r="F4" i="13"/>
  <c r="G3"/>
  <c r="H3"/>
  <c r="F23"/>
  <c r="D19" i="29"/>
  <c r="D64" s="1"/>
  <c r="L6"/>
  <c r="L7"/>
  <c r="L8"/>
  <c r="L9"/>
  <c r="L10"/>
  <c r="L12"/>
  <c r="L13"/>
  <c r="L14"/>
  <c r="L15"/>
  <c r="L16"/>
  <c r="L5"/>
  <c r="C32" i="23"/>
  <c r="C33"/>
  <c r="C34"/>
  <c r="C35"/>
  <c r="C36"/>
  <c r="C37"/>
  <c r="C38"/>
  <c r="C39"/>
  <c r="C40"/>
  <c r="E50" i="29"/>
  <c r="F50"/>
  <c r="G50"/>
  <c r="H50"/>
  <c r="I50"/>
  <c r="J50"/>
  <c r="K50"/>
  <c r="E51"/>
  <c r="F51"/>
  <c r="G51"/>
  <c r="H51"/>
  <c r="I51"/>
  <c r="J51"/>
  <c r="K51"/>
  <c r="E52"/>
  <c r="F52"/>
  <c r="G52"/>
  <c r="H52"/>
  <c r="I52"/>
  <c r="J52"/>
  <c r="K52"/>
  <c r="E53"/>
  <c r="F53"/>
  <c r="G53"/>
  <c r="H53"/>
  <c r="I53"/>
  <c r="J53"/>
  <c r="K53"/>
  <c r="E54"/>
  <c r="F54"/>
  <c r="G54"/>
  <c r="H54"/>
  <c r="I54"/>
  <c r="J54"/>
  <c r="K54"/>
  <c r="E55"/>
  <c r="F55"/>
  <c r="G55"/>
  <c r="H55"/>
  <c r="I55"/>
  <c r="J55"/>
  <c r="K55"/>
  <c r="E57"/>
  <c r="F57"/>
  <c r="G57"/>
  <c r="H57"/>
  <c r="I57"/>
  <c r="J57"/>
  <c r="K57"/>
  <c r="E58"/>
  <c r="F58"/>
  <c r="G58"/>
  <c r="H58"/>
  <c r="I58"/>
  <c r="J58"/>
  <c r="K58"/>
  <c r="E59"/>
  <c r="F59"/>
  <c r="G59"/>
  <c r="H59"/>
  <c r="I59"/>
  <c r="J59"/>
  <c r="K59"/>
  <c r="E60"/>
  <c r="F60"/>
  <c r="G60"/>
  <c r="H60"/>
  <c r="I60"/>
  <c r="J60"/>
  <c r="K60"/>
  <c r="E61"/>
  <c r="F61"/>
  <c r="G61"/>
  <c r="H61"/>
  <c r="I61"/>
  <c r="J61"/>
  <c r="K61"/>
  <c r="D51"/>
  <c r="D52"/>
  <c r="D53"/>
  <c r="D54"/>
  <c r="D55"/>
  <c r="D57"/>
  <c r="D58"/>
  <c r="D59"/>
  <c r="D60"/>
  <c r="D61"/>
  <c r="D50"/>
  <c r="E6"/>
  <c r="F6"/>
  <c r="G6"/>
  <c r="H6"/>
  <c r="I6"/>
  <c r="J6"/>
  <c r="K6"/>
  <c r="E7"/>
  <c r="F7"/>
  <c r="G7"/>
  <c r="H7"/>
  <c r="I7"/>
  <c r="J7"/>
  <c r="K7"/>
  <c r="E8"/>
  <c r="F8"/>
  <c r="G8"/>
  <c r="H8"/>
  <c r="I8"/>
  <c r="J8"/>
  <c r="K8"/>
  <c r="E9"/>
  <c r="F9"/>
  <c r="G9"/>
  <c r="H9"/>
  <c r="I9"/>
  <c r="J9"/>
  <c r="K9"/>
  <c r="E10"/>
  <c r="F10"/>
  <c r="G10"/>
  <c r="H10"/>
  <c r="I10"/>
  <c r="J10"/>
  <c r="K10"/>
  <c r="E12"/>
  <c r="F12"/>
  <c r="G12"/>
  <c r="H12"/>
  <c r="I12"/>
  <c r="J12"/>
  <c r="K12"/>
  <c r="E13"/>
  <c r="F13"/>
  <c r="G13"/>
  <c r="H13"/>
  <c r="I13"/>
  <c r="J13"/>
  <c r="K13"/>
  <c r="E14"/>
  <c r="F14"/>
  <c r="G14"/>
  <c r="H14"/>
  <c r="I14"/>
  <c r="J14"/>
  <c r="K14"/>
  <c r="E15"/>
  <c r="F15"/>
  <c r="G15"/>
  <c r="H15"/>
  <c r="I15"/>
  <c r="J15"/>
  <c r="K15"/>
  <c r="E16"/>
  <c r="F16"/>
  <c r="G16"/>
  <c r="H16"/>
  <c r="I16"/>
  <c r="J16"/>
  <c r="K16"/>
  <c r="F5"/>
  <c r="G5"/>
  <c r="H5"/>
  <c r="I5"/>
  <c r="J5"/>
  <c r="K5"/>
  <c r="E5"/>
  <c r="D6"/>
  <c r="D7"/>
  <c r="D8"/>
  <c r="D9"/>
  <c r="D10"/>
  <c r="D12"/>
  <c r="D13"/>
  <c r="D14"/>
  <c r="D15"/>
  <c r="D16"/>
  <c r="B68"/>
  <c r="B69"/>
  <c r="B70"/>
  <c r="B71"/>
  <c r="B72"/>
  <c r="B73"/>
  <c r="B74"/>
  <c r="B75"/>
  <c r="B67"/>
  <c r="B22"/>
  <c r="H20" i="36"/>
  <c r="G3" i="23"/>
  <c r="H3" i="36"/>
  <c r="G29" i="23"/>
  <c r="H24" i="13" l="1"/>
  <c r="G40"/>
  <c r="Q16" i="29"/>
  <c r="Q14"/>
  <c r="Q12"/>
  <c r="Q9"/>
  <c r="Q61"/>
  <c r="Q59"/>
  <c r="Q57"/>
  <c r="Q54"/>
  <c r="Q13"/>
  <c r="Q60"/>
  <c r="Q58"/>
  <c r="Q51"/>
  <c r="Q55"/>
  <c r="Q53"/>
  <c r="Q10"/>
  <c r="Q8"/>
  <c r="A7" i="26"/>
  <c r="A20" i="46" s="1"/>
  <c r="R16" i="24"/>
  <c r="B16"/>
  <c r="Q4" i="36"/>
  <c r="P21"/>
  <c r="E15" i="34"/>
  <c r="F14"/>
  <c r="K15"/>
  <c r="L15" s="1"/>
  <c r="J16"/>
  <c r="K16" s="1"/>
  <c r="L16" s="1"/>
  <c r="Q15" i="29"/>
  <c r="Q52"/>
  <c r="Q50"/>
  <c r="Q6"/>
  <c r="Q7"/>
  <c r="E19"/>
  <c r="E64" s="1"/>
  <c r="Q5"/>
  <c r="H4" i="13"/>
  <c r="F5"/>
  <c r="G4"/>
  <c r="G23"/>
  <c r="F2" i="29"/>
  <c r="F47" s="1"/>
  <c r="F39" i="13"/>
  <c r="I9" i="14"/>
  <c r="I7"/>
  <c r="C9" i="28" s="1"/>
  <c r="A67" i="29"/>
  <c r="A68" s="1"/>
  <c r="A69" s="1"/>
  <c r="A70" s="1"/>
  <c r="A71" s="1"/>
  <c r="A72" s="1"/>
  <c r="A73" s="1"/>
  <c r="A74" s="1"/>
  <c r="A75" s="1"/>
  <c r="A76" s="1"/>
  <c r="A77" s="1"/>
  <c r="A78" s="1"/>
  <c r="A79" s="1"/>
  <c r="A80" s="1"/>
  <c r="A81" s="1"/>
  <c r="A82" s="1"/>
  <c r="A83" s="1"/>
  <c r="A84" s="1"/>
  <c r="A85" s="1"/>
  <c r="A86" s="1"/>
  <c r="A87" s="1"/>
  <c r="A88" s="1"/>
  <c r="A50"/>
  <c r="A51" s="1"/>
  <c r="A52" s="1"/>
  <c r="A53" s="1"/>
  <c r="A54" s="1"/>
  <c r="A55" s="1"/>
  <c r="A56" s="1"/>
  <c r="A57" s="1"/>
  <c r="A58" s="1"/>
  <c r="A59" s="1"/>
  <c r="A60" s="1"/>
  <c r="A61" s="1"/>
  <c r="B30"/>
  <c r="B29"/>
  <c r="B28"/>
  <c r="B27"/>
  <c r="B26"/>
  <c r="B25"/>
  <c r="B24"/>
  <c r="B23"/>
  <c r="A22"/>
  <c r="A5"/>
  <c r="A6" s="1"/>
  <c r="A7" s="1"/>
  <c r="A8" s="1"/>
  <c r="A9" s="1"/>
  <c r="A10" s="1"/>
  <c r="A11" s="1"/>
  <c r="A12" s="1"/>
  <c r="A13" s="1"/>
  <c r="A14" s="1"/>
  <c r="A15" s="1"/>
  <c r="A16" s="1"/>
  <c r="B9" i="28"/>
  <c r="B10"/>
  <c r="B11"/>
  <c r="B12"/>
  <c r="B13"/>
  <c r="B14"/>
  <c r="B15"/>
  <c r="B16"/>
  <c r="B17"/>
  <c r="A8"/>
  <c r="F8" s="1"/>
  <c r="B5" i="23"/>
  <c r="A5" s="1"/>
  <c r="F41" i="27"/>
  <c r="G41"/>
  <c r="H41"/>
  <c r="I41"/>
  <c r="L41"/>
  <c r="M41"/>
  <c r="N41"/>
  <c r="F42"/>
  <c r="G42"/>
  <c r="H42"/>
  <c r="L42"/>
  <c r="M42"/>
  <c r="N42"/>
  <c r="F43"/>
  <c r="G43"/>
  <c r="H43"/>
  <c r="L43"/>
  <c r="M43"/>
  <c r="N43"/>
  <c r="F44"/>
  <c r="G44"/>
  <c r="H44"/>
  <c r="L44"/>
  <c r="M44"/>
  <c r="N44"/>
  <c r="F45"/>
  <c r="G45"/>
  <c r="H45"/>
  <c r="L45"/>
  <c r="M45"/>
  <c r="N45"/>
  <c r="F46"/>
  <c r="G46"/>
  <c r="H46"/>
  <c r="L46"/>
  <c r="M46"/>
  <c r="N46"/>
  <c r="G40"/>
  <c r="H40"/>
  <c r="L40"/>
  <c r="M40"/>
  <c r="N40"/>
  <c r="G39"/>
  <c r="H39"/>
  <c r="L39"/>
  <c r="M39"/>
  <c r="N39"/>
  <c r="N38"/>
  <c r="M38"/>
  <c r="L38"/>
  <c r="H38"/>
  <c r="G38"/>
  <c r="F38"/>
  <c r="F39"/>
  <c r="F40"/>
  <c r="E39"/>
  <c r="E40"/>
  <c r="E41"/>
  <c r="E42"/>
  <c r="E43"/>
  <c r="E44"/>
  <c r="E45"/>
  <c r="E46"/>
  <c r="E38"/>
  <c r="D46"/>
  <c r="D60" s="1"/>
  <c r="C46"/>
  <c r="C44"/>
  <c r="C45"/>
  <c r="C41"/>
  <c r="C42"/>
  <c r="C43"/>
  <c r="C39"/>
  <c r="C40"/>
  <c r="C38"/>
  <c r="B42" i="13"/>
  <c r="B43"/>
  <c r="B44"/>
  <c r="B45"/>
  <c r="B46"/>
  <c r="B47"/>
  <c r="B48"/>
  <c r="B49"/>
  <c r="B50"/>
  <c r="B41"/>
  <c r="A41" s="1"/>
  <c r="P10" i="27"/>
  <c r="P11" s="1"/>
  <c r="P12" s="1"/>
  <c r="P19" s="1"/>
  <c r="P20" s="1"/>
  <c r="P27" s="1"/>
  <c r="P28" s="1"/>
  <c r="P29" s="1"/>
  <c r="P30" s="1"/>
  <c r="J6" i="14"/>
  <c r="K6"/>
  <c r="J7"/>
  <c r="K7"/>
  <c r="J8"/>
  <c r="K8"/>
  <c r="J9"/>
  <c r="K9"/>
  <c r="J44" i="27"/>
  <c r="J13" i="14"/>
  <c r="J14"/>
  <c r="J15"/>
  <c r="D2" i="12"/>
  <c r="C2"/>
  <c r="A14" i="24"/>
  <c r="A15" s="1"/>
  <c r="A16" s="1"/>
  <c r="A17" s="1"/>
  <c r="A18" s="1"/>
  <c r="A19" s="1"/>
  <c r="A20" s="1"/>
  <c r="A21" s="1"/>
  <c r="A22" s="1"/>
  <c r="A23" s="1"/>
  <c r="A24" s="1"/>
  <c r="A25" s="1"/>
  <c r="A26" s="1"/>
  <c r="D16"/>
  <c r="D17"/>
  <c r="E4"/>
  <c r="F4" s="1"/>
  <c r="D4"/>
  <c r="G4" s="1"/>
  <c r="O7" i="25"/>
  <c r="O8"/>
  <c r="O9"/>
  <c r="O10"/>
  <c r="O11"/>
  <c r="O12"/>
  <c r="O13"/>
  <c r="O14"/>
  <c r="O15"/>
  <c r="O6"/>
  <c r="L2"/>
  <c r="F2"/>
  <c r="D1"/>
  <c r="B15"/>
  <c r="G15" s="1"/>
  <c r="B14"/>
  <c r="B13"/>
  <c r="B12"/>
  <c r="B11"/>
  <c r="B10"/>
  <c r="B9"/>
  <c r="B8"/>
  <c r="B7"/>
  <c r="B2"/>
  <c r="D14" i="24"/>
  <c r="D13"/>
  <c r="A3" i="13"/>
  <c r="A4" s="1"/>
  <c r="A5" s="1"/>
  <c r="A6" s="1"/>
  <c r="A7" s="1"/>
  <c r="A8" s="1"/>
  <c r="A9" s="1"/>
  <c r="A10" s="1"/>
  <c r="A11" s="1"/>
  <c r="A12" s="1"/>
  <c r="A13" s="1"/>
  <c r="A14" s="1"/>
  <c r="A15" s="1"/>
  <c r="A16" s="1"/>
  <c r="H13" i="24"/>
  <c r="O13" s="1"/>
  <c r="A25" i="13"/>
  <c r="D1" i="23"/>
  <c r="B40"/>
  <c r="B39"/>
  <c r="B38"/>
  <c r="B37"/>
  <c r="B36"/>
  <c r="B35"/>
  <c r="B34"/>
  <c r="B33"/>
  <c r="B32"/>
  <c r="B31"/>
  <c r="A31" s="1"/>
  <c r="B14"/>
  <c r="B13"/>
  <c r="B12"/>
  <c r="B11"/>
  <c r="B10"/>
  <c r="B9"/>
  <c r="B8"/>
  <c r="B7"/>
  <c r="B6"/>
  <c r="B5" i="7"/>
  <c r="I20" i="36"/>
  <c r="H29" i="23"/>
  <c r="H3"/>
  <c r="I3" i="36"/>
  <c r="A21" i="46" l="1"/>
  <c r="C42" i="13"/>
  <c r="C23" i="29"/>
  <c r="Q28" i="24"/>
  <c r="Q30"/>
  <c r="Q29"/>
  <c r="Q33"/>
  <c r="U32"/>
  <c r="Q27"/>
  <c r="Q31"/>
  <c r="Q32"/>
  <c r="C28" i="25"/>
  <c r="A42" i="13"/>
  <c r="A43" s="1"/>
  <c r="I24"/>
  <c r="H40"/>
  <c r="I15" i="37"/>
  <c r="J45" i="27"/>
  <c r="I13" i="37"/>
  <c r="J41" i="27"/>
  <c r="I9" i="37"/>
  <c r="J40" i="27"/>
  <c r="I8" i="37"/>
  <c r="J39" i="27"/>
  <c r="I7" i="37"/>
  <c r="J38" i="27"/>
  <c r="I6" i="37"/>
  <c r="C68" i="29"/>
  <c r="Q6" i="7"/>
  <c r="C23" i="36"/>
  <c r="H7" i="37"/>
  <c r="C70" i="29"/>
  <c r="Q8" i="7"/>
  <c r="C25" i="36"/>
  <c r="H9" i="37"/>
  <c r="C60" i="27"/>
  <c r="L60"/>
  <c r="N60"/>
  <c r="J46"/>
  <c r="I14" i="37"/>
  <c r="K44" i="27"/>
  <c r="J12" i="37"/>
  <c r="K41" i="27"/>
  <c r="J9" i="37"/>
  <c r="K40" i="27"/>
  <c r="J8" i="37"/>
  <c r="K39" i="27"/>
  <c r="J7" i="37"/>
  <c r="K38" i="27"/>
  <c r="J6" i="37"/>
  <c r="C8" i="28"/>
  <c r="Q5" i="7"/>
  <c r="C22" i="36"/>
  <c r="H6" i="37"/>
  <c r="M60" i="27"/>
  <c r="E60"/>
  <c r="A26" i="13"/>
  <c r="A5" i="36"/>
  <c r="L28" i="14"/>
  <c r="M28"/>
  <c r="A8" i="26"/>
  <c r="R17" i="24"/>
  <c r="B17"/>
  <c r="G7" i="25"/>
  <c r="G9"/>
  <c r="G11"/>
  <c r="G13"/>
  <c r="M6"/>
  <c r="R6" s="1"/>
  <c r="P8"/>
  <c r="P10"/>
  <c r="P12"/>
  <c r="P14"/>
  <c r="R4" i="36"/>
  <c r="Q21"/>
  <c r="E16" i="34"/>
  <c r="F16" s="1"/>
  <c r="F15"/>
  <c r="Q26" i="24"/>
  <c r="Q24"/>
  <c r="Q22"/>
  <c r="Q20"/>
  <c r="Q18"/>
  <c r="Q25"/>
  <c r="Q21"/>
  <c r="Q23"/>
  <c r="Q19"/>
  <c r="F14"/>
  <c r="H14" s="1"/>
  <c r="M13"/>
  <c r="F19" i="29"/>
  <c r="F64" s="1"/>
  <c r="G2"/>
  <c r="G47" s="1"/>
  <c r="G39" i="13"/>
  <c r="F6"/>
  <c r="G5"/>
  <c r="H23"/>
  <c r="H5"/>
  <c r="C11" i="28"/>
  <c r="C44" i="13"/>
  <c r="C25" i="29"/>
  <c r="I39" i="27"/>
  <c r="C22" i="29"/>
  <c r="C67"/>
  <c r="I38" i="27"/>
  <c r="C41" i="13"/>
  <c r="A44"/>
  <c r="A45" s="1"/>
  <c r="A46" s="1"/>
  <c r="A47" s="1"/>
  <c r="A48" s="1"/>
  <c r="A49" s="1"/>
  <c r="A50" s="1"/>
  <c r="A51" s="1"/>
  <c r="A52" s="1"/>
  <c r="A53" s="1"/>
  <c r="A54" s="1"/>
  <c r="A55" s="1"/>
  <c r="A56" s="1"/>
  <c r="A57" s="1"/>
  <c r="A58" s="1"/>
  <c r="A59" s="1"/>
  <c r="A60" s="1"/>
  <c r="A61" s="1"/>
  <c r="A62" s="1"/>
  <c r="A9" i="28"/>
  <c r="F9" s="1"/>
  <c r="N6" i="25"/>
  <c r="N14"/>
  <c r="N12"/>
  <c r="N10"/>
  <c r="N8"/>
  <c r="P6"/>
  <c r="Q8"/>
  <c r="Q10"/>
  <c r="Q12"/>
  <c r="Q14"/>
  <c r="Q6"/>
  <c r="N15"/>
  <c r="N13"/>
  <c r="N11"/>
  <c r="N9"/>
  <c r="N7"/>
  <c r="Q7"/>
  <c r="Q9"/>
  <c r="Q11"/>
  <c r="Q13"/>
  <c r="Q15"/>
  <c r="A23" i="29"/>
  <c r="A24" s="1"/>
  <c r="A25" s="1"/>
  <c r="A26" s="1"/>
  <c r="A27" s="1"/>
  <c r="A28" s="1"/>
  <c r="A29" s="1"/>
  <c r="A30" s="1"/>
  <c r="A31" s="1"/>
  <c r="A32" s="1"/>
  <c r="A33" s="1"/>
  <c r="A34" s="1"/>
  <c r="A35" s="1"/>
  <c r="A36" s="1"/>
  <c r="A37" s="1"/>
  <c r="A38" s="1"/>
  <c r="A39" s="1"/>
  <c r="A40" s="1"/>
  <c r="A41" s="1"/>
  <c r="A42" s="1"/>
  <c r="A43" s="1"/>
  <c r="T13" i="24"/>
  <c r="U13" s="1"/>
  <c r="H14" i="25"/>
  <c r="H12"/>
  <c r="H10"/>
  <c r="H8"/>
  <c r="G6"/>
  <c r="G14"/>
  <c r="G12"/>
  <c r="G10"/>
  <c r="G8"/>
  <c r="H6"/>
  <c r="P15"/>
  <c r="P13"/>
  <c r="P11"/>
  <c r="P9"/>
  <c r="P7"/>
  <c r="H15"/>
  <c r="H13"/>
  <c r="H11"/>
  <c r="H9"/>
  <c r="H7"/>
  <c r="M14"/>
  <c r="R14" s="1"/>
  <c r="M12"/>
  <c r="R12" s="1"/>
  <c r="M10"/>
  <c r="R10" s="1"/>
  <c r="M8"/>
  <c r="R8" s="1"/>
  <c r="A6"/>
  <c r="M15"/>
  <c r="R15" s="1"/>
  <c r="M13"/>
  <c r="R13" s="1"/>
  <c r="M11"/>
  <c r="R11" s="1"/>
  <c r="M9"/>
  <c r="R9" s="1"/>
  <c r="M7"/>
  <c r="R7" s="1"/>
  <c r="A7"/>
  <c r="A6" i="23"/>
  <c r="A7" s="1"/>
  <c r="A8" s="1"/>
  <c r="A9" s="1"/>
  <c r="A10" s="1"/>
  <c r="A11" s="1"/>
  <c r="A12" s="1"/>
  <c r="A13" s="1"/>
  <c r="A14" s="1"/>
  <c r="A15" s="1"/>
  <c r="A16" s="1"/>
  <c r="A17" s="1"/>
  <c r="A18" s="1"/>
  <c r="A19" s="1"/>
  <c r="A20" s="1"/>
  <c r="A21" s="1"/>
  <c r="A22" s="1"/>
  <c r="A23" s="1"/>
  <c r="A24" s="1"/>
  <c r="A25" s="1"/>
  <c r="A26" s="1"/>
  <c r="A32"/>
  <c r="A33" s="1"/>
  <c r="A34" s="1"/>
  <c r="A35" s="1"/>
  <c r="A36" s="1"/>
  <c r="A37" s="1"/>
  <c r="A38" s="1"/>
  <c r="A39" s="1"/>
  <c r="A40" s="1"/>
  <c r="A41" s="1"/>
  <c r="A42" s="1"/>
  <c r="A43" s="1"/>
  <c r="A44" s="1"/>
  <c r="A45" s="1"/>
  <c r="A46" s="1"/>
  <c r="A47" s="1"/>
  <c r="A48" s="1"/>
  <c r="A49" s="1"/>
  <c r="A50" s="1"/>
  <c r="A51" s="1"/>
  <c r="A52" s="1"/>
  <c r="D3" i="12"/>
  <c r="C1"/>
  <c r="A9"/>
  <c r="A10" s="1"/>
  <c r="A11" s="1"/>
  <c r="A12" s="1"/>
  <c r="A13" s="1"/>
  <c r="A14" s="1"/>
  <c r="A15" s="1"/>
  <c r="A16" s="1"/>
  <c r="A17" s="1"/>
  <c r="A18" s="1"/>
  <c r="A19" s="1"/>
  <c r="A20" s="1"/>
  <c r="A6" i="14"/>
  <c r="D45" i="22"/>
  <c r="B45"/>
  <c r="D44"/>
  <c r="C44"/>
  <c r="B44"/>
  <c r="D43"/>
  <c r="C43"/>
  <c r="B43"/>
  <c r="D42"/>
  <c r="C42"/>
  <c r="B42"/>
  <c r="D41"/>
  <c r="B41"/>
  <c r="D40"/>
  <c r="C40"/>
  <c r="B40"/>
  <c r="D39"/>
  <c r="B39"/>
  <c r="D38"/>
  <c r="C38"/>
  <c r="B38"/>
  <c r="D37"/>
  <c r="C37"/>
  <c r="B37"/>
  <c r="I3" i="23"/>
  <c r="J20" i="36"/>
  <c r="I29" i="23"/>
  <c r="J3" i="36"/>
  <c r="S6" i="25" l="1"/>
  <c r="T6" s="1"/>
  <c r="F15" i="24"/>
  <c r="O14"/>
  <c r="S11" i="25"/>
  <c r="T11" s="1"/>
  <c r="O43" i="27" s="1"/>
  <c r="S15" i="25"/>
  <c r="T15" s="1"/>
  <c r="S8"/>
  <c r="T8" s="1"/>
  <c r="N14" i="24"/>
  <c r="V13"/>
  <c r="D31" i="13" s="1"/>
  <c r="E11" i="36" s="1"/>
  <c r="P13" i="24"/>
  <c r="Q13" s="1"/>
  <c r="S13" i="25"/>
  <c r="T13" s="1"/>
  <c r="S10"/>
  <c r="T10" s="1"/>
  <c r="S14"/>
  <c r="T14" s="1"/>
  <c r="S12"/>
  <c r="T12" s="1"/>
  <c r="S9"/>
  <c r="T9" s="1"/>
  <c r="S7"/>
  <c r="T7" s="1"/>
  <c r="J24" i="13"/>
  <c r="I40"/>
  <c r="A7" i="14"/>
  <c r="A5" i="9"/>
  <c r="H28" i="25"/>
  <c r="A27" i="13"/>
  <c r="A6" i="36"/>
  <c r="G28" i="25"/>
  <c r="A10" i="28"/>
  <c r="F10" s="1"/>
  <c r="A9" i="26"/>
  <c r="R18" i="24"/>
  <c r="B18"/>
  <c r="O40" i="27"/>
  <c r="O44"/>
  <c r="O45"/>
  <c r="S4" i="36"/>
  <c r="R21"/>
  <c r="I14" i="24"/>
  <c r="K14" s="1"/>
  <c r="G19" i="29"/>
  <c r="G64" s="1"/>
  <c r="H2"/>
  <c r="H47" s="1"/>
  <c r="H39" i="13"/>
  <c r="H6"/>
  <c r="F7"/>
  <c r="I23"/>
  <c r="G6"/>
  <c r="A8" i="25"/>
  <c r="D36" i="22"/>
  <c r="B36"/>
  <c r="D35"/>
  <c r="B35"/>
  <c r="K3" i="36"/>
  <c r="J29" i="23"/>
  <c r="K20" i="36"/>
  <c r="J3" i="23"/>
  <c r="K24" i="13" l="1"/>
  <c r="J40"/>
  <c r="O46" i="27"/>
  <c r="O42"/>
  <c r="O39"/>
  <c r="O41"/>
  <c r="A28" i="13"/>
  <c r="A7" i="36"/>
  <c r="T28" i="25"/>
  <c r="O38" i="27"/>
  <c r="A11" i="28"/>
  <c r="F11" s="1"/>
  <c r="A10" i="26"/>
  <c r="R19" i="24"/>
  <c r="B19"/>
  <c r="E17" i="36"/>
  <c r="T4"/>
  <c r="T21" s="1"/>
  <c r="S21"/>
  <c r="D11" i="29"/>
  <c r="D56"/>
  <c r="M14" i="24"/>
  <c r="I15" s="1"/>
  <c r="K15" s="1"/>
  <c r="P14"/>
  <c r="Q14" s="1"/>
  <c r="T14"/>
  <c r="U14" s="1"/>
  <c r="P4" i="7" s="1"/>
  <c r="N15" i="24"/>
  <c r="H7" i="13"/>
  <c r="J23"/>
  <c r="F8"/>
  <c r="G7"/>
  <c r="H19" i="29"/>
  <c r="H64" s="1"/>
  <c r="I39" i="13"/>
  <c r="I2" i="29"/>
  <c r="I47" s="1"/>
  <c r="H15" i="24"/>
  <c r="O15" s="1"/>
  <c r="A9" i="25"/>
  <c r="D34" i="22"/>
  <c r="C34"/>
  <c r="B34"/>
  <c r="A34" s="1"/>
  <c r="A35" s="1"/>
  <c r="A36" s="1"/>
  <c r="A37" s="1"/>
  <c r="A38" s="1"/>
  <c r="A39" s="1"/>
  <c r="A40" s="1"/>
  <c r="A41" s="1"/>
  <c r="A42" s="1"/>
  <c r="A43" s="1"/>
  <c r="A44" s="1"/>
  <c r="A45" s="1"/>
  <c r="L3" i="36"/>
  <c r="J6" i="28"/>
  <c r="K3" i="23"/>
  <c r="K29"/>
  <c r="L20" i="36"/>
  <c r="V14" i="24" l="1"/>
  <c r="R28" i="14"/>
  <c r="I51" i="13"/>
  <c r="J32" i="36" s="1"/>
  <c r="L24" i="13"/>
  <c r="K40"/>
  <c r="O60" i="27"/>
  <c r="A29" i="13"/>
  <c r="A8" i="36"/>
  <c r="A12" i="28"/>
  <c r="F12" s="1"/>
  <c r="A11" i="26"/>
  <c r="R20" i="24"/>
  <c r="B20"/>
  <c r="M15"/>
  <c r="F16"/>
  <c r="N16" s="1"/>
  <c r="J2" i="29"/>
  <c r="J47" s="1"/>
  <c r="J39" i="13"/>
  <c r="I42"/>
  <c r="J23" i="36" s="1"/>
  <c r="I46" i="13"/>
  <c r="J27" i="36" s="1"/>
  <c r="I50" i="13"/>
  <c r="J31" i="36" s="1"/>
  <c r="I43" i="13"/>
  <c r="J24" i="36" s="1"/>
  <c r="I47" i="13"/>
  <c r="J28" i="36" s="1"/>
  <c r="I19" i="29"/>
  <c r="I64" s="1"/>
  <c r="I44" i="13"/>
  <c r="J25" i="36" s="1"/>
  <c r="I48" i="13"/>
  <c r="J29" i="36" s="1"/>
  <c r="I41" i="13"/>
  <c r="I45"/>
  <c r="J26" i="36" s="1"/>
  <c r="I49" i="13"/>
  <c r="J30" i="36" s="1"/>
  <c r="H8" i="13"/>
  <c r="F9"/>
  <c r="K23"/>
  <c r="G8"/>
  <c r="A10" i="25"/>
  <c r="M3" i="36"/>
  <c r="M20"/>
  <c r="L29" i="23"/>
  <c r="K6" i="28"/>
  <c r="L3" i="23"/>
  <c r="E31" i="13" l="1"/>
  <c r="F11" i="36" s="1"/>
  <c r="F17" s="1"/>
  <c r="R4" i="7"/>
  <c r="J19" i="29"/>
  <c r="J64" s="1"/>
  <c r="J51" i="13"/>
  <c r="K32" i="36" s="1"/>
  <c r="L18" i="28"/>
  <c r="I32" i="29"/>
  <c r="I77"/>
  <c r="M24" i="13"/>
  <c r="L40"/>
  <c r="J22" i="36"/>
  <c r="I63" i="13"/>
  <c r="I76" i="29"/>
  <c r="I31"/>
  <c r="A30" i="13"/>
  <c r="A9" i="36"/>
  <c r="A13" i="28"/>
  <c r="F13" s="1"/>
  <c r="A12" i="26"/>
  <c r="R21" i="24"/>
  <c r="B21"/>
  <c r="E11" i="29"/>
  <c r="P15" i="24"/>
  <c r="Q15" s="1"/>
  <c r="T15"/>
  <c r="U15" s="1"/>
  <c r="V15" s="1"/>
  <c r="F31" i="13" s="1"/>
  <c r="G11" i="36" s="1"/>
  <c r="G17" s="1"/>
  <c r="I16" i="24"/>
  <c r="K16" s="1"/>
  <c r="K2" i="29"/>
  <c r="K47" s="1"/>
  <c r="K39" i="13"/>
  <c r="F10"/>
  <c r="G9"/>
  <c r="H9"/>
  <c r="L23"/>
  <c r="H16" i="24"/>
  <c r="O16" s="1"/>
  <c r="A11" i="25"/>
  <c r="E28" i="22"/>
  <c r="A28"/>
  <c r="E27"/>
  <c r="D27"/>
  <c r="C27"/>
  <c r="F26"/>
  <c r="D26"/>
  <c r="D20"/>
  <c r="B20"/>
  <c r="D19"/>
  <c r="C19"/>
  <c r="B19"/>
  <c r="D18"/>
  <c r="C18"/>
  <c r="B18"/>
  <c r="D17"/>
  <c r="C17"/>
  <c r="B17"/>
  <c r="D16"/>
  <c r="B16"/>
  <c r="D15"/>
  <c r="C15"/>
  <c r="B15"/>
  <c r="D14"/>
  <c r="B14"/>
  <c r="D13"/>
  <c r="C13"/>
  <c r="B13"/>
  <c r="D12"/>
  <c r="C12"/>
  <c r="B12"/>
  <c r="N3" i="36"/>
  <c r="M3" i="23"/>
  <c r="L6" i="28"/>
  <c r="N20" i="36"/>
  <c r="M29" i="23"/>
  <c r="E37" i="13" l="1"/>
  <c r="E17" i="29" s="1"/>
  <c r="E56"/>
  <c r="K51" i="13"/>
  <c r="L32" i="36" s="1"/>
  <c r="N24" i="13"/>
  <c r="M40"/>
  <c r="J77" i="29"/>
  <c r="J32"/>
  <c r="M18" i="28"/>
  <c r="J44" i="36"/>
  <c r="A31" i="13"/>
  <c r="A10" i="36"/>
  <c r="A14" i="28"/>
  <c r="F14" s="1"/>
  <c r="A13" i="26"/>
  <c r="R22" i="24"/>
  <c r="B22"/>
  <c r="E62" i="29"/>
  <c r="M16" i="24"/>
  <c r="F17"/>
  <c r="L2" i="29"/>
  <c r="L47" s="1"/>
  <c r="L39" i="13"/>
  <c r="H10"/>
  <c r="F11"/>
  <c r="M23"/>
  <c r="G10"/>
  <c r="K42"/>
  <c r="L23" i="36" s="1"/>
  <c r="K46" i="13"/>
  <c r="L27" i="36" s="1"/>
  <c r="K50" i="13"/>
  <c r="L31" i="36" s="1"/>
  <c r="K43" i="13"/>
  <c r="L24" i="36" s="1"/>
  <c r="K47" i="13"/>
  <c r="L28" i="36" s="1"/>
  <c r="K19" i="29"/>
  <c r="K64" s="1"/>
  <c r="K44" i="13"/>
  <c r="L25" i="36" s="1"/>
  <c r="K48" i="13"/>
  <c r="L29" i="36" s="1"/>
  <c r="K41" i="13"/>
  <c r="K45"/>
  <c r="L26" i="36" s="1"/>
  <c r="K49" i="13"/>
  <c r="L30" i="36" s="1"/>
  <c r="A12" i="25"/>
  <c r="D11" i="22"/>
  <c r="B11"/>
  <c r="D10"/>
  <c r="B10"/>
  <c r="N29" i="23"/>
  <c r="M6" i="28"/>
  <c r="N3" i="23"/>
  <c r="O3" i="36"/>
  <c r="O20"/>
  <c r="N18" i="28" l="1"/>
  <c r="K32" i="29"/>
  <c r="K77"/>
  <c r="L51" i="13"/>
  <c r="M32" i="36" s="1"/>
  <c r="O24" i="13"/>
  <c r="N40"/>
  <c r="L22" i="36"/>
  <c r="K63" i="13"/>
  <c r="K76" i="29"/>
  <c r="K31"/>
  <c r="A32" i="13"/>
  <c r="A11" i="36"/>
  <c r="A15" i="28"/>
  <c r="F15" s="1"/>
  <c r="A14" i="26"/>
  <c r="R23" i="24"/>
  <c r="B23"/>
  <c r="P16"/>
  <c r="Q16" s="1"/>
  <c r="T16"/>
  <c r="U16" s="1"/>
  <c r="V16" s="1"/>
  <c r="M2" i="29"/>
  <c r="M47" s="1"/>
  <c r="I17" i="24"/>
  <c r="K17" s="1"/>
  <c r="N17"/>
  <c r="T17" s="1"/>
  <c r="U17" s="1"/>
  <c r="N16" i="28"/>
  <c r="K30" i="29"/>
  <c r="K75"/>
  <c r="N8" i="28"/>
  <c r="K22" i="29"/>
  <c r="K67"/>
  <c r="K70"/>
  <c r="N11" i="28"/>
  <c r="K25" i="29"/>
  <c r="N14" i="28"/>
  <c r="K28" i="29"/>
  <c r="K73"/>
  <c r="N17" i="28"/>
  <c r="K68" i="29"/>
  <c r="N9" i="28"/>
  <c r="K23" i="29"/>
  <c r="M39" i="13"/>
  <c r="K71" i="29"/>
  <c r="N12" i="28"/>
  <c r="K26" i="29"/>
  <c r="N15" i="28"/>
  <c r="K29" i="29"/>
  <c r="K74"/>
  <c r="K69"/>
  <c r="N10" i="28"/>
  <c r="K24" i="29"/>
  <c r="N13" i="28"/>
  <c r="K27" i="29"/>
  <c r="K72"/>
  <c r="H11" i="13"/>
  <c r="N23"/>
  <c r="F12"/>
  <c r="G11"/>
  <c r="L42"/>
  <c r="M23" i="36" s="1"/>
  <c r="L46" i="13"/>
  <c r="M27" i="36" s="1"/>
  <c r="L50" i="13"/>
  <c r="M31" i="36" s="1"/>
  <c r="L41" i="13"/>
  <c r="L45"/>
  <c r="M26" i="36" s="1"/>
  <c r="L49" i="13"/>
  <c r="M30" i="36" s="1"/>
  <c r="L44" i="13"/>
  <c r="M25" i="36" s="1"/>
  <c r="L48" i="13"/>
  <c r="M29" i="36" s="1"/>
  <c r="L19" i="29"/>
  <c r="L64" s="1"/>
  <c r="L43" i="13"/>
  <c r="M24" i="36" s="1"/>
  <c r="L47" i="13"/>
  <c r="M28" i="36" s="1"/>
  <c r="H17" i="24"/>
  <c r="O17" s="1"/>
  <c r="A13" i="25"/>
  <c r="D9" i="22"/>
  <c r="C9"/>
  <c r="B9"/>
  <c r="A9" s="1"/>
  <c r="A10" s="1"/>
  <c r="A11" s="1"/>
  <c r="A12" s="1"/>
  <c r="A13" s="1"/>
  <c r="A14" s="1"/>
  <c r="A15" s="1"/>
  <c r="A16" s="1"/>
  <c r="A17" s="1"/>
  <c r="A18" s="1"/>
  <c r="A19" s="1"/>
  <c r="A20" s="1"/>
  <c r="P20" i="36"/>
  <c r="O29" i="23"/>
  <c r="P3" i="36"/>
  <c r="O3" i="23"/>
  <c r="N6" i="28"/>
  <c r="L44" i="36" l="1"/>
  <c r="M19" i="29"/>
  <c r="M64" s="1"/>
  <c r="M51" i="13"/>
  <c r="N32" i="36" s="1"/>
  <c r="L77" i="29"/>
  <c r="L32"/>
  <c r="O18" i="28"/>
  <c r="P24" i="13"/>
  <c r="P40" s="1"/>
  <c r="O40"/>
  <c r="L76" i="29"/>
  <c r="L31"/>
  <c r="M22" i="36"/>
  <c r="L63" i="13"/>
  <c r="A33"/>
  <c r="A12" i="36"/>
  <c r="A16" i="28"/>
  <c r="F16" s="1"/>
  <c r="A15" i="26"/>
  <c r="R24" i="24"/>
  <c r="B24"/>
  <c r="G31" i="13"/>
  <c r="N2" i="29"/>
  <c r="N47" s="1"/>
  <c r="M17" i="24"/>
  <c r="V17" s="1"/>
  <c r="P17"/>
  <c r="Q17" s="1"/>
  <c r="F18"/>
  <c r="L69" i="29"/>
  <c r="L24"/>
  <c r="L74"/>
  <c r="L29"/>
  <c r="L75"/>
  <c r="L30"/>
  <c r="L67"/>
  <c r="L22"/>
  <c r="L72"/>
  <c r="L27"/>
  <c r="L73"/>
  <c r="L28"/>
  <c r="L70"/>
  <c r="L25"/>
  <c r="L71"/>
  <c r="L26"/>
  <c r="L68"/>
  <c r="L23"/>
  <c r="O14" i="28"/>
  <c r="O11"/>
  <c r="O12"/>
  <c r="O17"/>
  <c r="O9"/>
  <c r="M41" i="13"/>
  <c r="M45"/>
  <c r="M49"/>
  <c r="M44"/>
  <c r="M48"/>
  <c r="M43"/>
  <c r="M47"/>
  <c r="M42"/>
  <c r="M46"/>
  <c r="M50"/>
  <c r="N31" i="36" s="1"/>
  <c r="N30" i="28"/>
  <c r="K44" i="29"/>
  <c r="K89"/>
  <c r="O10" i="28"/>
  <c r="O15"/>
  <c r="O16"/>
  <c r="O8"/>
  <c r="O13"/>
  <c r="O23" i="13"/>
  <c r="G12"/>
  <c r="H12"/>
  <c r="F13"/>
  <c r="N39"/>
  <c r="A14" i="25"/>
  <c r="P3" i="23"/>
  <c r="O6" i="28"/>
  <c r="P29" i="23"/>
  <c r="M44" i="36" l="1"/>
  <c r="N19" i="29"/>
  <c r="N64" s="1"/>
  <c r="N51" i="13"/>
  <c r="O32" i="36" s="1"/>
  <c r="P18" i="28"/>
  <c r="M32" i="29"/>
  <c r="M77"/>
  <c r="M63" i="13"/>
  <c r="M76" i="29"/>
  <c r="M31"/>
  <c r="A34" i="13"/>
  <c r="A13" i="36"/>
  <c r="A17" i="28"/>
  <c r="P17"/>
  <c r="P9"/>
  <c r="N23" i="36"/>
  <c r="P10" i="28"/>
  <c r="N24" i="36"/>
  <c r="P11" i="28"/>
  <c r="N25" i="36"/>
  <c r="P12" i="28"/>
  <c r="N26" i="36"/>
  <c r="L20" i="31"/>
  <c r="H11" i="36"/>
  <c r="A16" i="26"/>
  <c r="R25" i="24"/>
  <c r="B25"/>
  <c r="P13" i="28"/>
  <c r="N27" i="36"/>
  <c r="P14" i="28"/>
  <c r="N28" i="36"/>
  <c r="P15" i="28"/>
  <c r="N29" i="36"/>
  <c r="P16" i="28"/>
  <c r="N30" i="36"/>
  <c r="P8" i="28"/>
  <c r="N22" i="36"/>
  <c r="H31" i="13"/>
  <c r="F14"/>
  <c r="O2" i="29"/>
  <c r="O47" s="1"/>
  <c r="I18" i="24"/>
  <c r="K18" s="1"/>
  <c r="N18"/>
  <c r="T18" s="1"/>
  <c r="U18" s="1"/>
  <c r="H18"/>
  <c r="O18" s="1"/>
  <c r="G56" i="29"/>
  <c r="G11"/>
  <c r="G37" i="13"/>
  <c r="L89" i="29"/>
  <c r="L44"/>
  <c r="M72"/>
  <c r="M27"/>
  <c r="M73"/>
  <c r="M28"/>
  <c r="M74"/>
  <c r="M29"/>
  <c r="M75"/>
  <c r="M30"/>
  <c r="M67"/>
  <c r="M22"/>
  <c r="M68"/>
  <c r="M23"/>
  <c r="M69"/>
  <c r="M24"/>
  <c r="M70"/>
  <c r="M25"/>
  <c r="M71"/>
  <c r="M26"/>
  <c r="G13" i="13"/>
  <c r="H13"/>
  <c r="P23"/>
  <c r="N42"/>
  <c r="N46"/>
  <c r="N50"/>
  <c r="O31" i="36" s="1"/>
  <c r="N43" i="13"/>
  <c r="N47"/>
  <c r="N44"/>
  <c r="N48"/>
  <c r="N41"/>
  <c r="N45"/>
  <c r="N49"/>
  <c r="O39"/>
  <c r="O30" i="28"/>
  <c r="A15" i="25"/>
  <c r="A16" s="1"/>
  <c r="A17" s="1"/>
  <c r="A18" s="1"/>
  <c r="A19" s="1"/>
  <c r="A20" s="1"/>
  <c r="A21" s="1"/>
  <c r="A22" s="1"/>
  <c r="A23" s="1"/>
  <c r="A24" s="1"/>
  <c r="A25" s="1"/>
  <c r="A26" s="1"/>
  <c r="A27" s="1"/>
  <c r="Y2"/>
  <c r="V2" s="1"/>
  <c r="E3" i="22"/>
  <c r="A3"/>
  <c r="E2"/>
  <c r="D2"/>
  <c r="C2"/>
  <c r="F1"/>
  <c r="D1"/>
  <c r="D45" i="21"/>
  <c r="B45"/>
  <c r="D44"/>
  <c r="C44"/>
  <c r="B44"/>
  <c r="D43"/>
  <c r="C43"/>
  <c r="B43"/>
  <c r="D42"/>
  <c r="C42"/>
  <c r="B42"/>
  <c r="D41"/>
  <c r="B41"/>
  <c r="D40"/>
  <c r="C40"/>
  <c r="B40"/>
  <c r="D39"/>
  <c r="B39"/>
  <c r="D38"/>
  <c r="C38"/>
  <c r="B38"/>
  <c r="D37"/>
  <c r="C37"/>
  <c r="B37"/>
  <c r="P6" i="28"/>
  <c r="I24" i="25" l="1"/>
  <c r="I20"/>
  <c r="I26"/>
  <c r="I22"/>
  <c r="I18"/>
  <c r="I19"/>
  <c r="I23"/>
  <c r="I27"/>
  <c r="I25"/>
  <c r="I17"/>
  <c r="I21"/>
  <c r="P30" i="28"/>
  <c r="A18"/>
  <c r="F17"/>
  <c r="O19" i="29"/>
  <c r="O64" s="1"/>
  <c r="O51" i="13"/>
  <c r="P32" i="36" s="1"/>
  <c r="N77" i="29"/>
  <c r="N32"/>
  <c r="Q18" i="28"/>
  <c r="N63" i="13"/>
  <c r="N76" i="29"/>
  <c r="N31"/>
  <c r="N44" i="36"/>
  <c r="A35" i="13"/>
  <c r="A14" i="36"/>
  <c r="I15" i="25"/>
  <c r="I16"/>
  <c r="Q12" i="28"/>
  <c r="O26" i="36"/>
  <c r="Q15" i="28"/>
  <c r="O29" i="36"/>
  <c r="Q14" i="28"/>
  <c r="O28" i="36"/>
  <c r="Q17" i="28"/>
  <c r="Q9"/>
  <c r="O23" i="36"/>
  <c r="R26" i="24"/>
  <c r="B26"/>
  <c r="H17" i="36"/>
  <c r="Q16" i="28"/>
  <c r="O30" i="36"/>
  <c r="Q8" i="28"/>
  <c r="O22" i="36"/>
  <c r="Q11" i="28"/>
  <c r="O25" i="36"/>
  <c r="Q10" i="28"/>
  <c r="O24" i="36"/>
  <c r="Q13" i="28"/>
  <c r="O27" i="36"/>
  <c r="H11" i="29"/>
  <c r="I11" i="36"/>
  <c r="I17" s="1"/>
  <c r="A1" i="32"/>
  <c r="A26" s="1"/>
  <c r="H37" i="13"/>
  <c r="H62" i="29" s="1"/>
  <c r="H56"/>
  <c r="P2"/>
  <c r="P47" s="1"/>
  <c r="G14" i="13"/>
  <c r="F15"/>
  <c r="H14"/>
  <c r="M18" i="24"/>
  <c r="V18" s="1"/>
  <c r="G62" i="29"/>
  <c r="G17"/>
  <c r="F19" i="24"/>
  <c r="N71" i="29"/>
  <c r="N26"/>
  <c r="N74"/>
  <c r="N29"/>
  <c r="N73"/>
  <c r="N28"/>
  <c r="N68"/>
  <c r="N23"/>
  <c r="M89"/>
  <c r="M44"/>
  <c r="N75"/>
  <c r="N30"/>
  <c r="N67"/>
  <c r="N22"/>
  <c r="N70"/>
  <c r="N25"/>
  <c r="N69"/>
  <c r="N24"/>
  <c r="N72"/>
  <c r="N27"/>
  <c r="O43" i="13"/>
  <c r="O47"/>
  <c r="O42"/>
  <c r="O46"/>
  <c r="O50"/>
  <c r="P31" i="36" s="1"/>
  <c r="O45" i="13"/>
  <c r="O48"/>
  <c r="O41"/>
  <c r="O49"/>
  <c r="O44"/>
  <c r="P39"/>
  <c r="I13" i="25"/>
  <c r="I8"/>
  <c r="I7"/>
  <c r="I10"/>
  <c r="I9"/>
  <c r="I6"/>
  <c r="I12"/>
  <c r="I11"/>
  <c r="I14"/>
  <c r="D36" i="21"/>
  <c r="B36"/>
  <c r="D35"/>
  <c r="B35"/>
  <c r="Q6" i="28"/>
  <c r="F18" l="1"/>
  <c r="A19"/>
  <c r="Q30"/>
  <c r="P19" i="29"/>
  <c r="P64" s="1"/>
  <c r="R18" i="28"/>
  <c r="O32" i="29"/>
  <c r="O77"/>
  <c r="O76"/>
  <c r="O31"/>
  <c r="O63" i="13"/>
  <c r="O44" i="36"/>
  <c r="A36" i="13"/>
  <c r="A16" i="36" s="1"/>
  <c r="A15"/>
  <c r="H17" i="29"/>
  <c r="I28" i="25"/>
  <c r="J11" s="1"/>
  <c r="R11" i="28"/>
  <c r="P25" i="36"/>
  <c r="R8" i="28"/>
  <c r="P22" i="36"/>
  <c r="R12" i="28"/>
  <c r="P26" i="36"/>
  <c r="R13" i="28"/>
  <c r="P27" i="36"/>
  <c r="R14" i="28"/>
  <c r="P28" i="36"/>
  <c r="R16" i="28"/>
  <c r="P30" i="36"/>
  <c r="R15" i="28"/>
  <c r="P29" i="36"/>
  <c r="R17" i="28"/>
  <c r="R9"/>
  <c r="P23" i="36"/>
  <c r="R10" i="28"/>
  <c r="P24" i="36"/>
  <c r="B27" i="24"/>
  <c r="R27"/>
  <c r="I31" i="13"/>
  <c r="G15"/>
  <c r="H15"/>
  <c r="F16"/>
  <c r="I19" i="24"/>
  <c r="K19" s="1"/>
  <c r="N19"/>
  <c r="T19" s="1"/>
  <c r="U19" s="1"/>
  <c r="H19"/>
  <c r="O19" s="1"/>
  <c r="O70" i="29"/>
  <c r="O25"/>
  <c r="O67"/>
  <c r="O22"/>
  <c r="O71"/>
  <c r="O26"/>
  <c r="O72"/>
  <c r="O27"/>
  <c r="O73"/>
  <c r="O28"/>
  <c r="N89"/>
  <c r="N44"/>
  <c r="O75"/>
  <c r="O30"/>
  <c r="O74"/>
  <c r="O29"/>
  <c r="O68"/>
  <c r="O23"/>
  <c r="O69"/>
  <c r="O24"/>
  <c r="F19" i="12"/>
  <c r="F11"/>
  <c r="F12"/>
  <c r="F17"/>
  <c r="F14"/>
  <c r="F20"/>
  <c r="F10"/>
  <c r="F18"/>
  <c r="F13"/>
  <c r="F9"/>
  <c r="F16"/>
  <c r="D34" i="21"/>
  <c r="C34"/>
  <c r="B34"/>
  <c r="A34" s="1"/>
  <c r="A35" s="1"/>
  <c r="A36" s="1"/>
  <c r="A37" s="1"/>
  <c r="A38" s="1"/>
  <c r="A39" s="1"/>
  <c r="A40" s="1"/>
  <c r="A41" s="1"/>
  <c r="A42" s="1"/>
  <c r="A43" s="1"/>
  <c r="A44" s="1"/>
  <c r="A45" s="1"/>
  <c r="R6" i="28"/>
  <c r="J20" i="25" l="1"/>
  <c r="J19"/>
  <c r="J17"/>
  <c r="J26"/>
  <c r="J23"/>
  <c r="J21"/>
  <c r="J22"/>
  <c r="J27"/>
  <c r="J24"/>
  <c r="J18"/>
  <c r="J25"/>
  <c r="A20" i="28"/>
  <c r="F19"/>
  <c r="R30"/>
  <c r="E12" i="46"/>
  <c r="E41" i="51"/>
  <c r="E16"/>
  <c r="E41" i="50"/>
  <c r="E16"/>
  <c r="E41" i="49"/>
  <c r="E16"/>
  <c r="E41" i="48"/>
  <c r="E16"/>
  <c r="E41" i="47"/>
  <c r="E16"/>
  <c r="E6" i="46"/>
  <c r="E35" i="51"/>
  <c r="E10"/>
  <c r="E35" i="50"/>
  <c r="E10"/>
  <c r="E35" i="49"/>
  <c r="E10"/>
  <c r="E35" i="48"/>
  <c r="E10"/>
  <c r="E35" i="47"/>
  <c r="E10"/>
  <c r="E5" i="46"/>
  <c r="E34" i="51"/>
  <c r="E9"/>
  <c r="E34" i="50"/>
  <c r="E9"/>
  <c r="E34" i="49"/>
  <c r="E9"/>
  <c r="E34" i="48"/>
  <c r="E9"/>
  <c r="E34" i="47"/>
  <c r="E9"/>
  <c r="E14" i="46"/>
  <c r="E43" i="51"/>
  <c r="E18"/>
  <c r="E43" i="50"/>
  <c r="E18"/>
  <c r="E43" i="49"/>
  <c r="E18"/>
  <c r="E43" i="48"/>
  <c r="E18"/>
  <c r="E43" i="47"/>
  <c r="E18"/>
  <c r="E16" i="46"/>
  <c r="E45" i="51"/>
  <c r="E20"/>
  <c r="F20" s="1"/>
  <c r="E45" i="50"/>
  <c r="F45" s="1"/>
  <c r="E20"/>
  <c r="F20" s="1"/>
  <c r="E45" i="49"/>
  <c r="F45" s="1"/>
  <c r="E20"/>
  <c r="F20" s="1"/>
  <c r="E45" i="48"/>
  <c r="F45" s="1"/>
  <c r="E20"/>
  <c r="F20" s="1"/>
  <c r="E45" i="47"/>
  <c r="F45" s="1"/>
  <c r="E20"/>
  <c r="F20" s="1"/>
  <c r="E13" i="46"/>
  <c r="E42" i="51"/>
  <c r="E17"/>
  <c r="E42" i="50"/>
  <c r="E17"/>
  <c r="E42" i="49"/>
  <c r="E17"/>
  <c r="E42" i="48"/>
  <c r="E17"/>
  <c r="E42" i="47"/>
  <c r="E17"/>
  <c r="E7" i="46"/>
  <c r="E36" i="51"/>
  <c r="E11"/>
  <c r="E36" i="50"/>
  <c r="E11"/>
  <c r="E36" i="49"/>
  <c r="E11"/>
  <c r="E36" i="48"/>
  <c r="E11"/>
  <c r="E36" i="47"/>
  <c r="E11"/>
  <c r="E9" i="46"/>
  <c r="E38" i="51"/>
  <c r="E13"/>
  <c r="E38" i="50"/>
  <c r="E13"/>
  <c r="E38" i="49"/>
  <c r="E13"/>
  <c r="E38" i="48"/>
  <c r="E13"/>
  <c r="E38" i="47"/>
  <c r="E13"/>
  <c r="E10" i="46"/>
  <c r="E39" i="51"/>
  <c r="E14"/>
  <c r="E39" i="50"/>
  <c r="E14"/>
  <c r="E39" i="49"/>
  <c r="E14"/>
  <c r="E39" i="48"/>
  <c r="E14"/>
  <c r="E39" i="47"/>
  <c r="E14"/>
  <c r="E8" i="46"/>
  <c r="E37" i="51"/>
  <c r="E12"/>
  <c r="E37" i="50"/>
  <c r="E12"/>
  <c r="E37" i="49"/>
  <c r="E12"/>
  <c r="E37" i="48"/>
  <c r="E12"/>
  <c r="E37" i="47"/>
  <c r="E12"/>
  <c r="E15" i="46"/>
  <c r="E44" i="51"/>
  <c r="E19"/>
  <c r="E44" i="50"/>
  <c r="E19"/>
  <c r="E44" i="49"/>
  <c r="E19"/>
  <c r="E44" i="48"/>
  <c r="E19"/>
  <c r="E44" i="47"/>
  <c r="E19"/>
  <c r="C10" i="13"/>
  <c r="C9"/>
  <c r="W1" i="14" s="1"/>
  <c r="P44" i="36"/>
  <c r="E34" i="21"/>
  <c r="E34" i="9"/>
  <c r="E34" i="39"/>
  <c r="E9"/>
  <c r="E43" i="9"/>
  <c r="E43" i="39"/>
  <c r="E18"/>
  <c r="E45" i="9"/>
  <c r="F45" s="1"/>
  <c r="E45" i="39"/>
  <c r="F45" s="1"/>
  <c r="E20"/>
  <c r="F20" s="1"/>
  <c r="E42" i="9"/>
  <c r="E42" i="39"/>
  <c r="E17"/>
  <c r="E36" i="9"/>
  <c r="E36" i="39"/>
  <c r="E11"/>
  <c r="E41" i="9"/>
  <c r="E41" i="39"/>
  <c r="E16"/>
  <c r="E38" i="9"/>
  <c r="E38" i="39"/>
  <c r="E13"/>
  <c r="E35" i="9"/>
  <c r="E35" i="39"/>
  <c r="E10"/>
  <c r="E39" i="9"/>
  <c r="E39" i="39"/>
  <c r="E14"/>
  <c r="E37" i="9"/>
  <c r="E37" i="39"/>
  <c r="E12"/>
  <c r="E44" i="9"/>
  <c r="E44" i="39"/>
  <c r="E19"/>
  <c r="J16" i="25"/>
  <c r="I11" i="29"/>
  <c r="J11" i="36"/>
  <c r="J17" s="1"/>
  <c r="R28" i="24"/>
  <c r="B28"/>
  <c r="J13" i="25"/>
  <c r="J9"/>
  <c r="J8"/>
  <c r="J6"/>
  <c r="J14"/>
  <c r="J7"/>
  <c r="J12"/>
  <c r="J10"/>
  <c r="I37" i="13"/>
  <c r="I17" i="29" s="1"/>
  <c r="I56"/>
  <c r="F17" i="13"/>
  <c r="G16"/>
  <c r="H16"/>
  <c r="M19" i="24"/>
  <c r="V19" s="1"/>
  <c r="F20"/>
  <c r="O89" i="29"/>
  <c r="O44"/>
  <c r="E41" i="22"/>
  <c r="E16"/>
  <c r="E41" i="21"/>
  <c r="E38" i="22"/>
  <c r="E13"/>
  <c r="E38" i="21"/>
  <c r="E35" i="22"/>
  <c r="E10"/>
  <c r="E35" i="21"/>
  <c r="E39" i="22"/>
  <c r="E14"/>
  <c r="E39" i="21"/>
  <c r="E37" i="22"/>
  <c r="E12"/>
  <c r="E37" i="21"/>
  <c r="E44" i="22"/>
  <c r="E19"/>
  <c r="E44" i="21"/>
  <c r="E34" i="22"/>
  <c r="E9"/>
  <c r="E43" i="20"/>
  <c r="E43" i="22"/>
  <c r="E18"/>
  <c r="E43" i="21"/>
  <c r="E45" i="22"/>
  <c r="F45" s="1"/>
  <c r="E20"/>
  <c r="F20" s="1"/>
  <c r="E45" i="21"/>
  <c r="F45" s="1"/>
  <c r="E42" i="22"/>
  <c r="E17"/>
  <c r="E42" i="21"/>
  <c r="E36" i="22"/>
  <c r="E11"/>
  <c r="E36" i="21"/>
  <c r="P43" i="27"/>
  <c r="P39"/>
  <c r="P40"/>
  <c r="P41"/>
  <c r="P46"/>
  <c r="J15" i="25"/>
  <c r="P44" i="27"/>
  <c r="P42"/>
  <c r="S6" i="28"/>
  <c r="Z25" i="25" l="1"/>
  <c r="X25"/>
  <c r="Z24"/>
  <c r="X24"/>
  <c r="Z22"/>
  <c r="X22"/>
  <c r="Z23"/>
  <c r="X23"/>
  <c r="Z17"/>
  <c r="X17"/>
  <c r="Z20"/>
  <c r="X20"/>
  <c r="Z18"/>
  <c r="X18"/>
  <c r="Z27"/>
  <c r="X27"/>
  <c r="Z21"/>
  <c r="X21"/>
  <c r="Z26"/>
  <c r="X26"/>
  <c r="Z19"/>
  <c r="X19"/>
  <c r="A21" i="28"/>
  <c r="F20"/>
  <c r="G20" i="47"/>
  <c r="R16" i="46" s="1"/>
  <c r="G20" i="48"/>
  <c r="T16" i="46" s="1"/>
  <c r="G20" i="49"/>
  <c r="V16" i="46" s="1"/>
  <c r="G20" i="50"/>
  <c r="X16" i="46" s="1"/>
  <c r="G20" i="51"/>
  <c r="Z16" i="46" s="1"/>
  <c r="G45" i="47"/>
  <c r="S16" i="46" s="1"/>
  <c r="G45" i="48"/>
  <c r="U16" i="46" s="1"/>
  <c r="G45" i="49"/>
  <c r="W16" i="46" s="1"/>
  <c r="G45" i="50"/>
  <c r="Y16" i="46" s="1"/>
  <c r="F45" i="51"/>
  <c r="G45" s="1"/>
  <c r="AA16" i="46" s="1"/>
  <c r="G20" i="39"/>
  <c r="P16" i="46" s="1"/>
  <c r="I62" i="29"/>
  <c r="T4" i="28"/>
  <c r="L1" i="14"/>
  <c r="P45" i="27"/>
  <c r="G45" i="39"/>
  <c r="Q16" i="46" s="1"/>
  <c r="S28" i="14"/>
  <c r="J28" i="25"/>
  <c r="Z16"/>
  <c r="X16"/>
  <c r="P38" i="27"/>
  <c r="B29" i="24"/>
  <c r="R29"/>
  <c r="J31" i="13"/>
  <c r="G17"/>
  <c r="H17"/>
  <c r="F18"/>
  <c r="I20" i="24"/>
  <c r="K20" s="1"/>
  <c r="N20"/>
  <c r="T20" s="1"/>
  <c r="U20" s="1"/>
  <c r="H20"/>
  <c r="O20" s="1"/>
  <c r="Z6" i="25"/>
  <c r="X6"/>
  <c r="X12"/>
  <c r="Z12"/>
  <c r="Z14"/>
  <c r="X14"/>
  <c r="Z8"/>
  <c r="X8"/>
  <c r="Z11"/>
  <c r="X11"/>
  <c r="Z10"/>
  <c r="X10"/>
  <c r="X13"/>
  <c r="Z13"/>
  <c r="X15"/>
  <c r="Z15"/>
  <c r="Z9"/>
  <c r="X9"/>
  <c r="X7"/>
  <c r="Z7"/>
  <c r="E28" i="21"/>
  <c r="A28"/>
  <c r="E27"/>
  <c r="D27"/>
  <c r="C27"/>
  <c r="F26"/>
  <c r="D26"/>
  <c r="E20"/>
  <c r="F20" s="1"/>
  <c r="D20"/>
  <c r="B20"/>
  <c r="E19"/>
  <c r="D19"/>
  <c r="C19"/>
  <c r="B19"/>
  <c r="E18"/>
  <c r="D18"/>
  <c r="C18"/>
  <c r="B18"/>
  <c r="E17"/>
  <c r="D17"/>
  <c r="C17"/>
  <c r="B17"/>
  <c r="E16"/>
  <c r="D16"/>
  <c r="B16"/>
  <c r="D15"/>
  <c r="C15"/>
  <c r="B15"/>
  <c r="E14"/>
  <c r="D14"/>
  <c r="B14"/>
  <c r="E13"/>
  <c r="D13"/>
  <c r="C13"/>
  <c r="B13"/>
  <c r="E12"/>
  <c r="D12"/>
  <c r="C12"/>
  <c r="B12"/>
  <c r="A22" i="28" l="1"/>
  <c r="F21"/>
  <c r="Q16" i="14"/>
  <c r="Q15"/>
  <c r="Q18"/>
  <c r="D17" i="7" s="1"/>
  <c r="Q20" i="14"/>
  <c r="D19" i="7" s="1"/>
  <c r="Q26" i="14"/>
  <c r="D25" i="7" s="1"/>
  <c r="Q24" i="14"/>
  <c r="D23" i="7" s="1"/>
  <c r="Q22" i="14"/>
  <c r="D21" i="7" s="1"/>
  <c r="Q19" i="14"/>
  <c r="D18" i="7" s="1"/>
  <c r="Q27" i="14"/>
  <c r="D26" i="7" s="1"/>
  <c r="Q25" i="14"/>
  <c r="D24" i="7" s="1"/>
  <c r="Q23" i="14"/>
  <c r="D22" i="7" s="1"/>
  <c r="Q21" i="14"/>
  <c r="D20" i="7" s="1"/>
  <c r="Q17" i="14"/>
  <c r="D16" i="7" s="1"/>
  <c r="Q13" i="14"/>
  <c r="D12" i="7" s="1"/>
  <c r="Q9" i="14"/>
  <c r="D8" i="7" s="1"/>
  <c r="Q12" i="14"/>
  <c r="D11" i="7" s="1"/>
  <c r="Q8" i="14"/>
  <c r="D7" i="7" s="1"/>
  <c r="D14"/>
  <c r="Q11" i="14"/>
  <c r="D10" i="7" s="1"/>
  <c r="Q7" i="14"/>
  <c r="D6" i="7" s="1"/>
  <c r="Q14" i="14"/>
  <c r="D13" i="7" s="1"/>
  <c r="Q10" i="14"/>
  <c r="D9" i="7" s="1"/>
  <c r="Q6" i="14"/>
  <c r="D5" i="7" s="1"/>
  <c r="P60" i="27"/>
  <c r="X28" i="25"/>
  <c r="Z28"/>
  <c r="J37" i="13"/>
  <c r="J17" i="29" s="1"/>
  <c r="K11" i="36"/>
  <c r="K17" s="1"/>
  <c r="R30" i="24"/>
  <c r="B30"/>
  <c r="J56" i="29"/>
  <c r="J11"/>
  <c r="F19" i="13"/>
  <c r="G18"/>
  <c r="H18"/>
  <c r="M20" i="24"/>
  <c r="V20" s="1"/>
  <c r="F21"/>
  <c r="E11" i="21"/>
  <c r="D11"/>
  <c r="B11"/>
  <c r="E10"/>
  <c r="D10"/>
  <c r="B10"/>
  <c r="G16" i="7" l="1"/>
  <c r="H16"/>
  <c r="G22"/>
  <c r="H22"/>
  <c r="G26"/>
  <c r="H26"/>
  <c r="G21"/>
  <c r="H21"/>
  <c r="G25"/>
  <c r="H25"/>
  <c r="G17"/>
  <c r="H17"/>
  <c r="G20"/>
  <c r="H20"/>
  <c r="G24"/>
  <c r="H24"/>
  <c r="G18"/>
  <c r="H18"/>
  <c r="G23"/>
  <c r="H23"/>
  <c r="G19"/>
  <c r="H19"/>
  <c r="A23" i="28"/>
  <c r="F22"/>
  <c r="D15" i="7"/>
  <c r="Q28" i="14"/>
  <c r="J62" i="29"/>
  <c r="B31" i="24"/>
  <c r="R31"/>
  <c r="K31" i="13"/>
  <c r="G19"/>
  <c r="H19"/>
  <c r="F20"/>
  <c r="I21" i="24"/>
  <c r="K21" s="1"/>
  <c r="N21"/>
  <c r="T21" s="1"/>
  <c r="U21" s="1"/>
  <c r="H21"/>
  <c r="O21" s="1"/>
  <c r="E9" i="21"/>
  <c r="D9"/>
  <c r="C9"/>
  <c r="B9"/>
  <c r="A9" s="1"/>
  <c r="A10" s="1"/>
  <c r="A11" s="1"/>
  <c r="A12" s="1"/>
  <c r="A13" s="1"/>
  <c r="A14" s="1"/>
  <c r="A15" s="1"/>
  <c r="A16" s="1"/>
  <c r="A17" s="1"/>
  <c r="A18" s="1"/>
  <c r="A19" s="1"/>
  <c r="A20" s="1"/>
  <c r="G15" i="7" l="1"/>
  <c r="H15"/>
  <c r="A24" i="28"/>
  <c r="F23"/>
  <c r="R32" i="24"/>
  <c r="B32"/>
  <c r="K37" i="13"/>
  <c r="K17" i="29" s="1"/>
  <c r="L11" i="36"/>
  <c r="L17" s="1"/>
  <c r="K56" i="29"/>
  <c r="K11"/>
  <c r="F21" i="13"/>
  <c r="G20"/>
  <c r="H20"/>
  <c r="M21" i="24"/>
  <c r="V21" s="1"/>
  <c r="F22"/>
  <c r="A25" i="28" l="1"/>
  <c r="F24"/>
  <c r="K62" i="29"/>
  <c r="B33" i="24"/>
  <c r="D4" i="28" s="1"/>
  <c r="R33" i="24"/>
  <c r="E4" i="28" s="1"/>
  <c r="L31" i="13"/>
  <c r="G21"/>
  <c r="H21"/>
  <c r="I22" i="24"/>
  <c r="K22" s="1"/>
  <c r="N22"/>
  <c r="T22" s="1"/>
  <c r="U22" s="1"/>
  <c r="H22"/>
  <c r="O22" s="1"/>
  <c r="E3" i="21"/>
  <c r="A3"/>
  <c r="E2"/>
  <c r="D2"/>
  <c r="C2"/>
  <c r="F1"/>
  <c r="D1"/>
  <c r="E45" i="20"/>
  <c r="F45" s="1"/>
  <c r="D45"/>
  <c r="B45"/>
  <c r="E44"/>
  <c r="D44"/>
  <c r="C44"/>
  <c r="B44"/>
  <c r="D43"/>
  <c r="C43"/>
  <c r="B43"/>
  <c r="E42"/>
  <c r="D42"/>
  <c r="C42"/>
  <c r="B42"/>
  <c r="E41"/>
  <c r="D41"/>
  <c r="B41"/>
  <c r="D40"/>
  <c r="C40"/>
  <c r="B40"/>
  <c r="E39"/>
  <c r="D39"/>
  <c r="B39"/>
  <c r="E38"/>
  <c r="D38"/>
  <c r="C38"/>
  <c r="B38"/>
  <c r="E37"/>
  <c r="D37"/>
  <c r="C37"/>
  <c r="B37"/>
  <c r="A26" i="28" l="1"/>
  <c r="F25"/>
  <c r="L56" i="29"/>
  <c r="M11" i="36"/>
  <c r="M17" s="1"/>
  <c r="E5" i="28"/>
  <c r="T5"/>
  <c r="L37" i="13"/>
  <c r="L17" i="29" s="1"/>
  <c r="L11"/>
  <c r="L62"/>
  <c r="M22" i="24"/>
  <c r="V22" s="1"/>
  <c r="M31" i="13" s="1"/>
  <c r="N11" i="36" s="1"/>
  <c r="N17" s="1"/>
  <c r="F23" i="24"/>
  <c r="E36" i="20"/>
  <c r="D36"/>
  <c r="B36"/>
  <c r="E35"/>
  <c r="D35"/>
  <c r="B35"/>
  <c r="A27" i="28" l="1"/>
  <c r="F26"/>
  <c r="Q4" i="7"/>
  <c r="M37" i="13"/>
  <c r="M11" i="29"/>
  <c r="M56"/>
  <c r="I23" i="24"/>
  <c r="K23" s="1"/>
  <c r="N23"/>
  <c r="T23" s="1"/>
  <c r="U23" s="1"/>
  <c r="H23"/>
  <c r="O23" s="1"/>
  <c r="E34" i="20"/>
  <c r="D34"/>
  <c r="C34"/>
  <c r="B34"/>
  <c r="A34" s="1"/>
  <c r="A35" s="1"/>
  <c r="A36" s="1"/>
  <c r="A37" s="1"/>
  <c r="A38" s="1"/>
  <c r="A39" s="1"/>
  <c r="A40" s="1"/>
  <c r="A41" s="1"/>
  <c r="A42" s="1"/>
  <c r="A43" s="1"/>
  <c r="A44" s="1"/>
  <c r="A45" s="1"/>
  <c r="A28" i="28" l="1"/>
  <c r="F27"/>
  <c r="M62" i="29"/>
  <c r="M17"/>
  <c r="M23" i="24"/>
  <c r="V23" s="1"/>
  <c r="N31" i="13" s="1"/>
  <c r="O11" i="36" s="1"/>
  <c r="O17" s="1"/>
  <c r="F24" i="24"/>
  <c r="A29" i="28" l="1"/>
  <c r="F29" s="1"/>
  <c r="F28"/>
  <c r="N56" i="29"/>
  <c r="N37" i="13"/>
  <c r="N11" i="29"/>
  <c r="I24" i="24"/>
  <c r="K24" s="1"/>
  <c r="N24"/>
  <c r="T24" s="1"/>
  <c r="U24" s="1"/>
  <c r="H24"/>
  <c r="O24" s="1"/>
  <c r="E28" i="20"/>
  <c r="A28"/>
  <c r="E27"/>
  <c r="D27"/>
  <c r="C27"/>
  <c r="F26"/>
  <c r="D26"/>
  <c r="E20"/>
  <c r="F20" s="1"/>
  <c r="D20"/>
  <c r="B20"/>
  <c r="E19"/>
  <c r="D19"/>
  <c r="C19"/>
  <c r="B19"/>
  <c r="E18"/>
  <c r="D18"/>
  <c r="C18"/>
  <c r="B18"/>
  <c r="E17"/>
  <c r="D17"/>
  <c r="C17"/>
  <c r="B17"/>
  <c r="E16"/>
  <c r="D16"/>
  <c r="B16"/>
  <c r="D15"/>
  <c r="C15"/>
  <c r="B15"/>
  <c r="E14"/>
  <c r="D14"/>
  <c r="B14"/>
  <c r="E13"/>
  <c r="D13"/>
  <c r="C13"/>
  <c r="B13"/>
  <c r="E12"/>
  <c r="D12"/>
  <c r="C12"/>
  <c r="B12"/>
  <c r="N62" i="29" l="1"/>
  <c r="N17"/>
  <c r="M24" i="24"/>
  <c r="V24" s="1"/>
  <c r="O31" i="13" s="1"/>
  <c r="P11" i="36" s="1"/>
  <c r="F25" i="24"/>
  <c r="E11" i="20"/>
  <c r="D11"/>
  <c r="B11"/>
  <c r="E10"/>
  <c r="D10"/>
  <c r="B10"/>
  <c r="P17" i="36" l="1"/>
  <c r="Q11"/>
  <c r="Q17" s="1"/>
  <c r="O56" i="29"/>
  <c r="O37" i="13"/>
  <c r="O11" i="29"/>
  <c r="I25" i="24"/>
  <c r="K25" s="1"/>
  <c r="N25"/>
  <c r="T25" s="1"/>
  <c r="U25" s="1"/>
  <c r="H25"/>
  <c r="O25" s="1"/>
  <c r="E9" i="20"/>
  <c r="D9"/>
  <c r="C9"/>
  <c r="B9"/>
  <c r="A9" s="1"/>
  <c r="A10" s="1"/>
  <c r="A11" s="1"/>
  <c r="A12" s="1"/>
  <c r="A13" s="1"/>
  <c r="A14" s="1"/>
  <c r="A15" s="1"/>
  <c r="A16" s="1"/>
  <c r="A17" s="1"/>
  <c r="A18" s="1"/>
  <c r="A19" s="1"/>
  <c r="A20" s="1"/>
  <c r="O62" i="29" l="1"/>
  <c r="O17"/>
  <c r="M25" i="24"/>
  <c r="V25" s="1"/>
  <c r="P31" i="13" s="1"/>
  <c r="F26" i="24"/>
  <c r="P56" i="29" l="1"/>
  <c r="P37" i="13"/>
  <c r="P11" i="29"/>
  <c r="I26" i="24"/>
  <c r="K26" s="1"/>
  <c r="N26"/>
  <c r="T26" s="1"/>
  <c r="U26" s="1"/>
  <c r="H26"/>
  <c r="E3" i="20"/>
  <c r="A3"/>
  <c r="E2"/>
  <c r="D2"/>
  <c r="C2"/>
  <c r="F1"/>
  <c r="D1"/>
  <c r="E45" i="19"/>
  <c r="F45" s="1"/>
  <c r="D45"/>
  <c r="B45"/>
  <c r="E44"/>
  <c r="D44"/>
  <c r="C44"/>
  <c r="B44"/>
  <c r="E43"/>
  <c r="D43"/>
  <c r="C43"/>
  <c r="B43"/>
  <c r="E42"/>
  <c r="D42"/>
  <c r="C42"/>
  <c r="B42"/>
  <c r="E41"/>
  <c r="D41"/>
  <c r="B41"/>
  <c r="D40"/>
  <c r="C40"/>
  <c r="B40"/>
  <c r="E39"/>
  <c r="D39"/>
  <c r="B39"/>
  <c r="E38"/>
  <c r="D38"/>
  <c r="C38"/>
  <c r="B38"/>
  <c r="E37"/>
  <c r="D37"/>
  <c r="C37"/>
  <c r="B37"/>
  <c r="F27" i="24" l="1"/>
  <c r="H27" s="1"/>
  <c r="O27" s="1"/>
  <c r="O26"/>
  <c r="P62" i="29"/>
  <c r="P17"/>
  <c r="N27" i="24"/>
  <c r="T27" s="1"/>
  <c r="U27" s="1"/>
  <c r="M26"/>
  <c r="E36" i="19"/>
  <c r="D36"/>
  <c r="B36"/>
  <c r="E35"/>
  <c r="D35"/>
  <c r="B35"/>
  <c r="I27" i="24" l="1"/>
  <c r="K27" s="1"/>
  <c r="V26"/>
  <c r="F28"/>
  <c r="M27"/>
  <c r="V27" s="1"/>
  <c r="E34" i="19"/>
  <c r="D34"/>
  <c r="C34"/>
  <c r="B34"/>
  <c r="A34" s="1"/>
  <c r="A35" s="1"/>
  <c r="A36" s="1"/>
  <c r="A37" s="1"/>
  <c r="A38" s="1"/>
  <c r="A39" s="1"/>
  <c r="A40" s="1"/>
  <c r="A41" s="1"/>
  <c r="A42" s="1"/>
  <c r="A43" s="1"/>
  <c r="A44" s="1"/>
  <c r="A45" s="1"/>
  <c r="I28" i="24" l="1"/>
  <c r="K28" s="1"/>
  <c r="N28"/>
  <c r="T28" s="1"/>
  <c r="U28" s="1"/>
  <c r="H28"/>
  <c r="O28" s="1"/>
  <c r="F30" i="28" l="1"/>
  <c r="F29" i="24"/>
  <c r="M28"/>
  <c r="V28" s="1"/>
  <c r="E28" i="19"/>
  <c r="A28"/>
  <c r="E27"/>
  <c r="D27"/>
  <c r="C27"/>
  <c r="F26"/>
  <c r="D26"/>
  <c r="E20"/>
  <c r="F20" s="1"/>
  <c r="D20"/>
  <c r="B20"/>
  <c r="E19"/>
  <c r="D19"/>
  <c r="C19"/>
  <c r="B19"/>
  <c r="E18"/>
  <c r="D18"/>
  <c r="C18"/>
  <c r="B18"/>
  <c r="E17"/>
  <c r="D17"/>
  <c r="C17"/>
  <c r="B17"/>
  <c r="E16"/>
  <c r="D16"/>
  <c r="B16"/>
  <c r="D15"/>
  <c r="C15"/>
  <c r="B15"/>
  <c r="E14"/>
  <c r="D14"/>
  <c r="B14"/>
  <c r="E13"/>
  <c r="D13"/>
  <c r="C13"/>
  <c r="B13"/>
  <c r="E12"/>
  <c r="D12"/>
  <c r="C12"/>
  <c r="B12"/>
  <c r="I29" i="24" l="1"/>
  <c r="K29" s="1"/>
  <c r="N29"/>
  <c r="T29" s="1"/>
  <c r="U29" s="1"/>
  <c r="H29"/>
  <c r="O29" s="1"/>
  <c r="E11" i="19"/>
  <c r="D11"/>
  <c r="B11"/>
  <c r="E10"/>
  <c r="D10"/>
  <c r="B10"/>
  <c r="F30" i="24" l="1"/>
  <c r="M29"/>
  <c r="V29" s="1"/>
  <c r="E9" i="19"/>
  <c r="D9"/>
  <c r="C9"/>
  <c r="B9"/>
  <c r="A9" s="1"/>
  <c r="A10" s="1"/>
  <c r="A11" s="1"/>
  <c r="A12" s="1"/>
  <c r="A13" s="1"/>
  <c r="A14" s="1"/>
  <c r="A15" s="1"/>
  <c r="A16" s="1"/>
  <c r="A17" s="1"/>
  <c r="A18" s="1"/>
  <c r="A19" s="1"/>
  <c r="A20" s="1"/>
  <c r="I30" i="24" l="1"/>
  <c r="K30" s="1"/>
  <c r="N30"/>
  <c r="T30" s="1"/>
  <c r="U30" s="1"/>
  <c r="H30"/>
  <c r="O30" s="1"/>
  <c r="F31" l="1"/>
  <c r="M30"/>
  <c r="V30" s="1"/>
  <c r="E3" i="19"/>
  <c r="A3"/>
  <c r="E2"/>
  <c r="D2"/>
  <c r="C2"/>
  <c r="F1"/>
  <c r="D1"/>
  <c r="D45" i="9"/>
  <c r="B45"/>
  <c r="D44"/>
  <c r="C44"/>
  <c r="B44"/>
  <c r="D43"/>
  <c r="C43"/>
  <c r="B43"/>
  <c r="D42"/>
  <c r="C42"/>
  <c r="B42"/>
  <c r="D41"/>
  <c r="B41"/>
  <c r="D40"/>
  <c r="C40"/>
  <c r="B40"/>
  <c r="D39"/>
  <c r="B39"/>
  <c r="D38"/>
  <c r="C38"/>
  <c r="B38"/>
  <c r="D37"/>
  <c r="C37"/>
  <c r="B37"/>
  <c r="I31" i="24" l="1"/>
  <c r="K31" s="1"/>
  <c r="N31"/>
  <c r="T31" s="1"/>
  <c r="U31" s="1"/>
  <c r="H31"/>
  <c r="O31" s="1"/>
  <c r="D36" i="9"/>
  <c r="B36"/>
  <c r="D35"/>
  <c r="B35"/>
  <c r="F32" i="24" l="1"/>
  <c r="M31"/>
  <c r="V31" s="1"/>
  <c r="D34" i="9"/>
  <c r="C34"/>
  <c r="B34"/>
  <c r="A34" s="1"/>
  <c r="A35" s="1"/>
  <c r="A36" s="1"/>
  <c r="A37" s="1"/>
  <c r="A38" s="1"/>
  <c r="A39" s="1"/>
  <c r="A40" s="1"/>
  <c r="A41" s="1"/>
  <c r="A42" s="1"/>
  <c r="A43" s="1"/>
  <c r="A44" s="1"/>
  <c r="A45" s="1"/>
  <c r="I32" i="24" l="1"/>
  <c r="K32" s="1"/>
  <c r="N32"/>
  <c r="H32"/>
  <c r="O32" s="1"/>
  <c r="E28" i="9"/>
  <c r="A28"/>
  <c r="E27"/>
  <c r="D27"/>
  <c r="C27"/>
  <c r="F26"/>
  <c r="D26"/>
  <c r="F33" i="24" l="1"/>
  <c r="M32"/>
  <c r="V32" s="1"/>
  <c r="G45" i="22"/>
  <c r="O16" i="46" s="1"/>
  <c r="G20" i="22"/>
  <c r="N16" i="46" s="1"/>
  <c r="G45" i="21"/>
  <c r="M16" i="46" s="1"/>
  <c r="G20" i="21"/>
  <c r="L16" i="46" s="1"/>
  <c r="G45" i="20"/>
  <c r="K16" i="46" s="1"/>
  <c r="G20" i="20"/>
  <c r="J16" i="46" s="1"/>
  <c r="G45" i="19"/>
  <c r="I16" i="46" s="1"/>
  <c r="G20" i="19"/>
  <c r="H16" i="46" s="1"/>
  <c r="G45" i="9"/>
  <c r="G16" i="46" s="1"/>
  <c r="C2" i="9"/>
  <c r="I33" i="24" l="1"/>
  <c r="K33" s="1"/>
  <c r="N33"/>
  <c r="T33" s="1"/>
  <c r="U33" s="1"/>
  <c r="H33"/>
  <c r="O33" s="1"/>
  <c r="A8" i="14"/>
  <c r="E20" i="9"/>
  <c r="F20" s="1"/>
  <c r="E19"/>
  <c r="E18"/>
  <c r="E17"/>
  <c r="E16"/>
  <c r="E14"/>
  <c r="E13"/>
  <c r="E12"/>
  <c r="E11"/>
  <c r="E10"/>
  <c r="E9"/>
  <c r="B2" i="54" s="1"/>
  <c r="D20" i="9"/>
  <c r="D19"/>
  <c r="D18"/>
  <c r="D17"/>
  <c r="D16"/>
  <c r="D15"/>
  <c r="D14"/>
  <c r="D13"/>
  <c r="D12"/>
  <c r="D11"/>
  <c r="D10"/>
  <c r="D9"/>
  <c r="A2" i="54" s="1"/>
  <c r="C19" i="9"/>
  <c r="C18"/>
  <c r="C17"/>
  <c r="C15"/>
  <c r="C13"/>
  <c r="C12"/>
  <c r="C9"/>
  <c r="B20"/>
  <c r="B19"/>
  <c r="B18"/>
  <c r="B17"/>
  <c r="B16"/>
  <c r="B15"/>
  <c r="B14"/>
  <c r="B13"/>
  <c r="B12"/>
  <c r="B11"/>
  <c r="B10"/>
  <c r="B9"/>
  <c r="A9" s="1"/>
  <c r="E3"/>
  <c r="A3"/>
  <c r="E2"/>
  <c r="D2"/>
  <c r="F1"/>
  <c r="A22" s="1"/>
  <c r="D1"/>
  <c r="I10" i="14"/>
  <c r="I11"/>
  <c r="C73" i="29"/>
  <c r="I13" i="14"/>
  <c r="A10" i="9" l="1"/>
  <c r="A47" i="51"/>
  <c r="A22"/>
  <c r="A47" i="50"/>
  <c r="A22"/>
  <c r="A47" i="49"/>
  <c r="A22"/>
  <c r="A47" i="48"/>
  <c r="A22"/>
  <c r="A47" i="47"/>
  <c r="A22"/>
  <c r="C76" i="29"/>
  <c r="C31"/>
  <c r="H15" i="37"/>
  <c r="Q14" i="7"/>
  <c r="C74" i="29"/>
  <c r="Q12" i="7"/>
  <c r="C29" i="36"/>
  <c r="H13" i="37"/>
  <c r="C72" i="29"/>
  <c r="Q10" i="7"/>
  <c r="C27" i="36"/>
  <c r="H11" i="37"/>
  <c r="C69" i="29"/>
  <c r="Q7" i="7"/>
  <c r="C24" i="36"/>
  <c r="H8" i="37"/>
  <c r="C75" i="29"/>
  <c r="Q13" i="7"/>
  <c r="C30" i="36"/>
  <c r="H14" i="37"/>
  <c r="C71" i="29"/>
  <c r="Q9" i="7"/>
  <c r="C26" i="36"/>
  <c r="H10" i="37"/>
  <c r="A9" i="14"/>
  <c r="A10" s="1"/>
  <c r="A5" i="20" s="1"/>
  <c r="A5" i="19"/>
  <c r="A47" i="39"/>
  <c r="A22"/>
  <c r="A23" i="9"/>
  <c r="M33" i="24"/>
  <c r="V33" s="1"/>
  <c r="V34" s="1"/>
  <c r="C30" i="29"/>
  <c r="K14" i="14"/>
  <c r="C49" i="13"/>
  <c r="C16" i="28"/>
  <c r="I46" i="27"/>
  <c r="C28" i="29"/>
  <c r="C47" i="13"/>
  <c r="C14" i="28"/>
  <c r="I44" i="27"/>
  <c r="C26" i="29"/>
  <c r="K10" i="14"/>
  <c r="C45" i="13"/>
  <c r="C12" i="28"/>
  <c r="I42" i="27"/>
  <c r="J10" i="14"/>
  <c r="C48" i="13"/>
  <c r="C15" i="28"/>
  <c r="I45" i="27"/>
  <c r="K13" i="14"/>
  <c r="C29" i="29"/>
  <c r="C46" i="13"/>
  <c r="C13" i="28"/>
  <c r="I43" i="27"/>
  <c r="K11" i="14"/>
  <c r="C27" i="29"/>
  <c r="J11" i="14"/>
  <c r="C24" i="29"/>
  <c r="C43" i="13"/>
  <c r="C10" i="28"/>
  <c r="I40" i="27"/>
  <c r="C50" i="13"/>
  <c r="C17" i="28"/>
  <c r="K15" i="14"/>
  <c r="A11" i="9"/>
  <c r="A12" s="1"/>
  <c r="A13" s="1"/>
  <c r="A14" s="1"/>
  <c r="A15" s="1"/>
  <c r="A16" s="1"/>
  <c r="A17" s="1"/>
  <c r="A18" s="1"/>
  <c r="A19" s="1"/>
  <c r="A20" s="1"/>
  <c r="B5"/>
  <c r="A4"/>
  <c r="A30"/>
  <c r="G20"/>
  <c r="F16" i="46" s="1"/>
  <c r="F16" i="9"/>
  <c r="F9"/>
  <c r="F17"/>
  <c r="F10"/>
  <c r="F13"/>
  <c r="C6"/>
  <c r="F14"/>
  <c r="F18"/>
  <c r="F11"/>
  <c r="F19"/>
  <c r="F12"/>
  <c r="C2" i="54" l="1"/>
  <c r="A48" i="51"/>
  <c r="A23"/>
  <c r="A48" i="50"/>
  <c r="A23"/>
  <c r="A48" i="49"/>
  <c r="A23"/>
  <c r="A48" i="48"/>
  <c r="A23"/>
  <c r="A48" i="47"/>
  <c r="A23"/>
  <c r="A11" i="14"/>
  <c r="A12" s="1"/>
  <c r="K45" i="27"/>
  <c r="J13" i="37"/>
  <c r="J42" i="27"/>
  <c r="I10" i="37"/>
  <c r="K42" i="27"/>
  <c r="J10" i="37"/>
  <c r="A4" i="19"/>
  <c r="A30"/>
  <c r="B5"/>
  <c r="J15" i="37"/>
  <c r="J43" i="27"/>
  <c r="I11" i="37"/>
  <c r="K43" i="27"/>
  <c r="J11" i="37"/>
  <c r="K46" i="27"/>
  <c r="J14" i="37"/>
  <c r="A4" i="20"/>
  <c r="A30"/>
  <c r="B5"/>
  <c r="A48" i="39"/>
  <c r="A23"/>
  <c r="A47" i="22"/>
  <c r="A22"/>
  <c r="A47" i="21"/>
  <c r="A22"/>
  <c r="A22" i="20"/>
  <c r="A47"/>
  <c r="A47" i="19"/>
  <c r="A22"/>
  <c r="A47" i="9"/>
  <c r="A48" i="22"/>
  <c r="A23"/>
  <c r="A48" i="21"/>
  <c r="A23"/>
  <c r="A23" i="20"/>
  <c r="A48"/>
  <c r="A48" i="19"/>
  <c r="A23"/>
  <c r="A48" i="9"/>
  <c r="A29"/>
  <c r="B30"/>
  <c r="F16" i="19"/>
  <c r="F17"/>
  <c r="F13"/>
  <c r="F14"/>
  <c r="F10"/>
  <c r="F13" i="20"/>
  <c r="F12"/>
  <c r="F19"/>
  <c r="F18"/>
  <c r="F11"/>
  <c r="F39" i="9"/>
  <c r="F38"/>
  <c r="F35"/>
  <c r="F36"/>
  <c r="F44"/>
  <c r="C31"/>
  <c r="C6" i="20"/>
  <c r="F30" i="9"/>
  <c r="F4" i="20"/>
  <c r="C6" i="19"/>
  <c r="F12"/>
  <c r="F18"/>
  <c r="F19"/>
  <c r="F11"/>
  <c r="F9"/>
  <c r="F17" i="20"/>
  <c r="F16"/>
  <c r="F14"/>
  <c r="F10"/>
  <c r="F9"/>
  <c r="F37" i="9"/>
  <c r="F43"/>
  <c r="F34"/>
  <c r="F41"/>
  <c r="F42"/>
  <c r="F5" i="20"/>
  <c r="F29" i="9"/>
  <c r="F5" i="19"/>
  <c r="F4"/>
  <c r="A13" i="14" l="1"/>
  <c r="A14" s="1"/>
  <c r="A5" i="22" s="1"/>
  <c r="A5" i="21"/>
  <c r="A29" i="20"/>
  <c r="B30"/>
  <c r="A29" i="19"/>
  <c r="B30"/>
  <c r="C14" i="7"/>
  <c r="C6"/>
  <c r="C7"/>
  <c r="C8"/>
  <c r="C9"/>
  <c r="C10"/>
  <c r="C11"/>
  <c r="C12"/>
  <c r="C13"/>
  <c r="C5"/>
  <c r="A3" i="12"/>
  <c r="D1" i="7"/>
  <c r="D1" i="14"/>
  <c r="B6" i="7"/>
  <c r="B7"/>
  <c r="B8"/>
  <c r="B9"/>
  <c r="B10"/>
  <c r="B11"/>
  <c r="B12"/>
  <c r="B13"/>
  <c r="B14"/>
  <c r="A5"/>
  <c r="F5" s="1"/>
  <c r="M2"/>
  <c r="I2"/>
  <c r="B2"/>
  <c r="A2" i="12"/>
  <c r="B2" i="14"/>
  <c r="F44" i="20"/>
  <c r="F42"/>
  <c r="F38"/>
  <c r="F36"/>
  <c r="F34"/>
  <c r="F42" i="19"/>
  <c r="F41"/>
  <c r="F39"/>
  <c r="F35"/>
  <c r="F34"/>
  <c r="C31"/>
  <c r="F5" i="9"/>
  <c r="F30" i="19"/>
  <c r="F31" i="9"/>
  <c r="F29" i="20"/>
  <c r="F30"/>
  <c r="F31"/>
  <c r="F31" i="19"/>
  <c r="F43" i="20"/>
  <c r="F41"/>
  <c r="F37"/>
  <c r="F39"/>
  <c r="F35"/>
  <c r="F38" i="19"/>
  <c r="F37"/>
  <c r="F44"/>
  <c r="F43"/>
  <c r="F36"/>
  <c r="F6" i="20"/>
  <c r="F29" i="19"/>
  <c r="F6" i="9"/>
  <c r="F6" i="19"/>
  <c r="F4" i="9"/>
  <c r="H13" i="7" l="1"/>
  <c r="G13"/>
  <c r="H11"/>
  <c r="G11"/>
  <c r="H9"/>
  <c r="G9"/>
  <c r="H7"/>
  <c r="G7"/>
  <c r="H14"/>
  <c r="G14"/>
  <c r="H5"/>
  <c r="G5"/>
  <c r="H12"/>
  <c r="G12"/>
  <c r="H10"/>
  <c r="G10"/>
  <c r="H8"/>
  <c r="G8"/>
  <c r="H6"/>
  <c r="G6"/>
  <c r="A4" i="22"/>
  <c r="A30"/>
  <c r="B5"/>
  <c r="A4" i="21"/>
  <c r="A30"/>
  <c r="B5"/>
  <c r="C27" i="7"/>
  <c r="D27"/>
  <c r="A15" i="14"/>
  <c r="I5" i="7"/>
  <c r="A6"/>
  <c r="D37" i="13"/>
  <c r="P1" i="7"/>
  <c r="N1"/>
  <c r="P2" i="14"/>
  <c r="G2"/>
  <c r="F16" i="21"/>
  <c r="F14"/>
  <c r="F13"/>
  <c r="F10"/>
  <c r="F9"/>
  <c r="F14" i="22"/>
  <c r="F13"/>
  <c r="F18"/>
  <c r="F11"/>
  <c r="F17"/>
  <c r="F5" i="21"/>
  <c r="F6"/>
  <c r="C6"/>
  <c r="F12"/>
  <c r="F19"/>
  <c r="F18"/>
  <c r="F17"/>
  <c r="F11"/>
  <c r="F10" i="22"/>
  <c r="F16"/>
  <c r="F9"/>
  <c r="F12"/>
  <c r="F19"/>
  <c r="F5"/>
  <c r="C6"/>
  <c r="F4" i="21"/>
  <c r="F4" i="22"/>
  <c r="G27" i="7" l="1"/>
  <c r="A29" i="21"/>
  <c r="B30"/>
  <c r="B30" i="22"/>
  <c r="A29"/>
  <c r="F6" i="7"/>
  <c r="I6" s="1"/>
  <c r="H27"/>
  <c r="A16" i="14"/>
  <c r="A17" s="1"/>
  <c r="A18" s="1"/>
  <c r="D62" i="29"/>
  <c r="D17"/>
  <c r="A7" i="7"/>
  <c r="F15" i="12"/>
  <c r="F34" i="22"/>
  <c r="F39"/>
  <c r="F37"/>
  <c r="F35"/>
  <c r="F41"/>
  <c r="F36" i="21"/>
  <c r="F44"/>
  <c r="F42"/>
  <c r="F38"/>
  <c r="F35"/>
  <c r="D5" i="19"/>
  <c r="D29" i="21"/>
  <c r="D5"/>
  <c r="F30"/>
  <c r="E6" i="9"/>
  <c r="E6" i="20"/>
  <c r="A31" i="9"/>
  <c r="A6" i="21"/>
  <c r="A31" i="20"/>
  <c r="D5" i="9"/>
  <c r="D4" i="20"/>
  <c r="A31" i="21"/>
  <c r="A31" i="19"/>
  <c r="F30" i="22"/>
  <c r="D4" i="21"/>
  <c r="D29" i="19"/>
  <c r="E31"/>
  <c r="F29" i="21"/>
  <c r="D30"/>
  <c r="E31" i="9"/>
  <c r="F44" i="22"/>
  <c r="F36"/>
  <c r="F42"/>
  <c r="F38"/>
  <c r="F43"/>
  <c r="F43" i="21"/>
  <c r="F41"/>
  <c r="F39"/>
  <c r="F37"/>
  <c r="F34"/>
  <c r="A6" i="20"/>
  <c r="D5"/>
  <c r="D4" i="19"/>
  <c r="E6" i="21"/>
  <c r="A6" i="9"/>
  <c r="D30" i="19"/>
  <c r="F29" i="22"/>
  <c r="C31" i="20"/>
  <c r="D4" i="9"/>
  <c r="D29"/>
  <c r="D30"/>
  <c r="F31" i="21"/>
  <c r="A6" i="19"/>
  <c r="E6"/>
  <c r="C31" i="21"/>
  <c r="E31"/>
  <c r="E31" i="20"/>
  <c r="D29"/>
  <c r="C31" i="22"/>
  <c r="D30" i="20"/>
  <c r="A1" i="54" l="1"/>
  <c r="A19" i="14"/>
  <c r="A20" s="1"/>
  <c r="A5" i="47"/>
  <c r="K16" i="7"/>
  <c r="M16" s="1"/>
  <c r="K18"/>
  <c r="M18" s="1"/>
  <c r="K20"/>
  <c r="M20" s="1"/>
  <c r="K22"/>
  <c r="M22" s="1"/>
  <c r="K24"/>
  <c r="M24" s="1"/>
  <c r="K26"/>
  <c r="M26" s="1"/>
  <c r="K17"/>
  <c r="M17" s="1"/>
  <c r="K19"/>
  <c r="M19" s="1"/>
  <c r="K21"/>
  <c r="M21" s="1"/>
  <c r="K23"/>
  <c r="M23" s="1"/>
  <c r="K25"/>
  <c r="M25" s="1"/>
  <c r="E11" i="46"/>
  <c r="E17" s="1"/>
  <c r="E40" i="51"/>
  <c r="E15"/>
  <c r="E40" i="50"/>
  <c r="E15"/>
  <c r="E40" i="49"/>
  <c r="E15"/>
  <c r="E40" i="48"/>
  <c r="E15"/>
  <c r="E40" i="47"/>
  <c r="E15"/>
  <c r="G17" i="9"/>
  <c r="F13" i="46" s="1"/>
  <c r="G12" i="9"/>
  <c r="F8" i="46" s="1"/>
  <c r="G19" i="9"/>
  <c r="F15" i="46" s="1"/>
  <c r="G13" i="9"/>
  <c r="F9" i="46" s="1"/>
  <c r="G14" i="9"/>
  <c r="F10" i="46" s="1"/>
  <c r="G9" i="9"/>
  <c r="D2" i="54" s="1"/>
  <c r="G18" i="9"/>
  <c r="F14" i="46" s="1"/>
  <c r="G11" i="9"/>
  <c r="F7" i="46" s="1"/>
  <c r="G16" i="9"/>
  <c r="F12" i="46" s="1"/>
  <c r="G19" i="19"/>
  <c r="H15" i="46" s="1"/>
  <c r="G35" i="9"/>
  <c r="G6" i="46" s="1"/>
  <c r="G10" i="19"/>
  <c r="H6" i="46" s="1"/>
  <c r="G18" i="20"/>
  <c r="J14" i="46" s="1"/>
  <c r="G11" i="20"/>
  <c r="J7" i="46" s="1"/>
  <c r="G10" i="20"/>
  <c r="J6" i="46" s="1"/>
  <c r="G11" i="19"/>
  <c r="H7" i="46" s="1"/>
  <c r="G34" i="9"/>
  <c r="G5" i="46" s="1"/>
  <c r="G37" i="9"/>
  <c r="G8" i="46" s="1"/>
  <c r="G14" i="19"/>
  <c r="H10" i="46" s="1"/>
  <c r="G43" i="9"/>
  <c r="G14" i="46" s="1"/>
  <c r="G12" i="20"/>
  <c r="J8" i="46" s="1"/>
  <c r="G13" i="19"/>
  <c r="H9" i="46" s="1"/>
  <c r="G36" i="9"/>
  <c r="G7" i="46" s="1"/>
  <c r="G16" i="20"/>
  <c r="J12" i="46" s="1"/>
  <c r="G17" i="20"/>
  <c r="J13" i="46" s="1"/>
  <c r="G13" i="20"/>
  <c r="J9" i="46" s="1"/>
  <c r="G9" i="20"/>
  <c r="J5" i="46" s="1"/>
  <c r="G17" i="19"/>
  <c r="H13" i="46" s="1"/>
  <c r="G42" i="9"/>
  <c r="G13" i="46" s="1"/>
  <c r="G19" i="20"/>
  <c r="J15" i="46" s="1"/>
  <c r="G39" i="9"/>
  <c r="G10" i="46" s="1"/>
  <c r="G12" i="19"/>
  <c r="H8" i="46" s="1"/>
  <c r="G38" i="9"/>
  <c r="G9" i="46" s="1"/>
  <c r="G16" i="19"/>
  <c r="H12" i="46" s="1"/>
  <c r="G41" i="9"/>
  <c r="G12" i="46" s="1"/>
  <c r="G44" i="9"/>
  <c r="G15" i="46" s="1"/>
  <c r="G18" i="19"/>
  <c r="H14" i="46" s="1"/>
  <c r="G14" i="20"/>
  <c r="J10" i="46" s="1"/>
  <c r="G9" i="19"/>
  <c r="H5" i="46" s="1"/>
  <c r="G35" i="20"/>
  <c r="K6" i="46" s="1"/>
  <c r="G34" i="20"/>
  <c r="K5" i="46" s="1"/>
  <c r="G36" i="19"/>
  <c r="I7" i="46" s="1"/>
  <c r="G42" i="19"/>
  <c r="I13" i="46" s="1"/>
  <c r="G37" i="19"/>
  <c r="I8" i="46" s="1"/>
  <c r="G36" i="20"/>
  <c r="K7" i="46" s="1"/>
  <c r="G39" i="19"/>
  <c r="I10" i="46" s="1"/>
  <c r="G10" i="9"/>
  <c r="F6" i="46" s="1"/>
  <c r="G43" i="20"/>
  <c r="K14" i="46" s="1"/>
  <c r="G35" i="19"/>
  <c r="I6" i="46" s="1"/>
  <c r="G37" i="20"/>
  <c r="K8" i="46" s="1"/>
  <c r="G41" i="20"/>
  <c r="K12" i="46" s="1"/>
  <c r="G34" i="19"/>
  <c r="I5" i="46" s="1"/>
  <c r="G44" i="20"/>
  <c r="K15" i="46" s="1"/>
  <c r="G41" i="19"/>
  <c r="I12" i="46" s="1"/>
  <c r="G43" i="19"/>
  <c r="I14" i="46" s="1"/>
  <c r="G42" i="20"/>
  <c r="K13" i="46" s="1"/>
  <c r="G38" i="20"/>
  <c r="K9" i="46" s="1"/>
  <c r="G44" i="19"/>
  <c r="I15" i="46" s="1"/>
  <c r="G38" i="19"/>
  <c r="I9" i="46" s="1"/>
  <c r="G39" i="20"/>
  <c r="K10" i="46" s="1"/>
  <c r="G16" i="21"/>
  <c r="L12" i="46" s="1"/>
  <c r="G17" i="21"/>
  <c r="L13" i="46" s="1"/>
  <c r="G13" i="21"/>
  <c r="L9" i="46" s="1"/>
  <c r="G16" i="22"/>
  <c r="N12" i="46" s="1"/>
  <c r="G18" i="21"/>
  <c r="L14" i="46" s="1"/>
  <c r="G11" i="21"/>
  <c r="L7" i="46" s="1"/>
  <c r="G12" i="21"/>
  <c r="L8" i="46" s="1"/>
  <c r="G9" i="21"/>
  <c r="L5" i="46" s="1"/>
  <c r="G19" i="21"/>
  <c r="L15" i="46" s="1"/>
  <c r="G14" i="21"/>
  <c r="L10" i="46" s="1"/>
  <c r="G17" i="22"/>
  <c r="N13" i="46" s="1"/>
  <c r="G10" i="21"/>
  <c r="L6" i="46" s="1"/>
  <c r="G41" i="21"/>
  <c r="M12" i="46" s="1"/>
  <c r="G41" i="22"/>
  <c r="O12" i="46" s="1"/>
  <c r="G42" i="22"/>
  <c r="O13" i="46" s="1"/>
  <c r="G42" i="21"/>
  <c r="M13" i="46" s="1"/>
  <c r="G34" i="21"/>
  <c r="G39"/>
  <c r="M10" i="46" s="1"/>
  <c r="G44" i="21"/>
  <c r="M15" i="46" s="1"/>
  <c r="G38" i="21"/>
  <c r="M9" i="46" s="1"/>
  <c r="G36" i="21"/>
  <c r="M7" i="46" s="1"/>
  <c r="G35" i="21"/>
  <c r="M6" i="46" s="1"/>
  <c r="G43" i="21"/>
  <c r="M14" i="46" s="1"/>
  <c r="G37" i="21"/>
  <c r="M8" i="46" s="1"/>
  <c r="A5" i="39"/>
  <c r="F7" i="7"/>
  <c r="I7" s="1"/>
  <c r="E40" i="9"/>
  <c r="F21" i="12"/>
  <c r="E40" i="39"/>
  <c r="E15"/>
  <c r="E15" i="19"/>
  <c r="E15" i="21"/>
  <c r="E15" i="9"/>
  <c r="E15" i="20"/>
  <c r="E15" i="22"/>
  <c r="E40" i="19"/>
  <c r="E40" i="20"/>
  <c r="E40" i="21"/>
  <c r="E40" i="22"/>
  <c r="A8" i="7"/>
  <c r="A31" i="22"/>
  <c r="A6"/>
  <c r="E31"/>
  <c r="E6"/>
  <c r="F31"/>
  <c r="F6"/>
  <c r="D29"/>
  <c r="D4"/>
  <c r="D5"/>
  <c r="D30"/>
  <c r="F5" i="46" l="1"/>
  <c r="F40" i="19"/>
  <c r="F40" i="22"/>
  <c r="F40" i="20"/>
  <c r="F15" i="22"/>
  <c r="F15" i="9"/>
  <c r="F15" i="19"/>
  <c r="F40" i="9"/>
  <c r="F40" i="21"/>
  <c r="F15" i="20"/>
  <c r="F15" i="21"/>
  <c r="A21" i="14"/>
  <c r="A22" s="1"/>
  <c r="A5" i="48"/>
  <c r="B5" i="47"/>
  <c r="A30"/>
  <c r="A4"/>
  <c r="F15"/>
  <c r="E21"/>
  <c r="F15" i="48"/>
  <c r="E21"/>
  <c r="E21" i="49"/>
  <c r="E21" i="50"/>
  <c r="E21" i="51"/>
  <c r="E46" i="47"/>
  <c r="E46" i="48"/>
  <c r="E46" i="49"/>
  <c r="E46" i="50"/>
  <c r="E46" i="51"/>
  <c r="M5" i="46"/>
  <c r="F15" i="39"/>
  <c r="G12" i="22"/>
  <c r="N8" i="46" s="1"/>
  <c r="G10" i="22"/>
  <c r="N6" i="46" s="1"/>
  <c r="G11" i="22"/>
  <c r="N7" i="46" s="1"/>
  <c r="G14" i="22"/>
  <c r="N10" i="46" s="1"/>
  <c r="G9" i="22"/>
  <c r="G13"/>
  <c r="N9" i="46" s="1"/>
  <c r="G18" i="22"/>
  <c r="N14" i="46" s="1"/>
  <c r="G19" i="22"/>
  <c r="N15" i="46" s="1"/>
  <c r="G39" i="22"/>
  <c r="O10" i="46" s="1"/>
  <c r="G36" i="22"/>
  <c r="O7" i="46" s="1"/>
  <c r="G38" i="22"/>
  <c r="O9" i="46" s="1"/>
  <c r="G43" i="22"/>
  <c r="O14" i="46" s="1"/>
  <c r="G35" i="22"/>
  <c r="O6" i="46" s="1"/>
  <c r="G44" i="22"/>
  <c r="O15" i="46" s="1"/>
  <c r="G34" i="22"/>
  <c r="G37"/>
  <c r="O8" i="46" s="1"/>
  <c r="A30" i="39"/>
  <c r="B5"/>
  <c r="A4"/>
  <c r="F8" i="7"/>
  <c r="I8" s="1"/>
  <c r="E21" i="39"/>
  <c r="E46"/>
  <c r="E46" i="22"/>
  <c r="E46" i="20"/>
  <c r="E46" i="9"/>
  <c r="E21" i="22"/>
  <c r="E21" i="9"/>
  <c r="E21" i="19"/>
  <c r="E46" i="21"/>
  <c r="E46" i="19"/>
  <c r="E21" i="20"/>
  <c r="E21" i="21"/>
  <c r="A9" i="7"/>
  <c r="F17" i="47"/>
  <c r="F14"/>
  <c r="F16"/>
  <c r="F11"/>
  <c r="F18"/>
  <c r="F19" i="39"/>
  <c r="F14"/>
  <c r="F13"/>
  <c r="F10"/>
  <c r="F11"/>
  <c r="F6"/>
  <c r="A6" i="47"/>
  <c r="F5" i="39"/>
  <c r="F4" i="47"/>
  <c r="C6"/>
  <c r="A6" i="39"/>
  <c r="F6" i="47"/>
  <c r="E6"/>
  <c r="F16" i="39"/>
  <c r="C6"/>
  <c r="D4" i="47"/>
  <c r="D5"/>
  <c r="D4" i="39"/>
  <c r="F12" i="47"/>
  <c r="F10"/>
  <c r="F13"/>
  <c r="F19"/>
  <c r="F9"/>
  <c r="F17" i="39"/>
  <c r="F12"/>
  <c r="F18"/>
  <c r="F9"/>
  <c r="E6"/>
  <c r="F4"/>
  <c r="D5"/>
  <c r="F5" i="47"/>
  <c r="F40" l="1"/>
  <c r="G16"/>
  <c r="R12" i="46" s="1"/>
  <c r="G13" i="47"/>
  <c r="R9" i="46" s="1"/>
  <c r="G19" i="47"/>
  <c r="R15" i="46" s="1"/>
  <c r="G11" i="47"/>
  <c r="R7" i="46" s="1"/>
  <c r="G18" i="47"/>
  <c r="R14" i="46" s="1"/>
  <c r="G9" i="47"/>
  <c r="R5" i="46" s="1"/>
  <c r="G12" i="47"/>
  <c r="R8" i="46" s="1"/>
  <c r="G17" i="47"/>
  <c r="R13" i="46" s="1"/>
  <c r="G14" i="47"/>
  <c r="R10" i="46" s="1"/>
  <c r="G10" i="47"/>
  <c r="R6" i="46" s="1"/>
  <c r="A23" i="14"/>
  <c r="A24" s="1"/>
  <c r="A5" i="49"/>
  <c r="B30" i="47"/>
  <c r="A29"/>
  <c r="B5" i="48"/>
  <c r="A30"/>
  <c r="A4"/>
  <c r="G16" i="39"/>
  <c r="P12" i="46" s="1"/>
  <c r="O5"/>
  <c r="N5"/>
  <c r="G17" i="39"/>
  <c r="P13" i="46" s="1"/>
  <c r="F40" i="39"/>
  <c r="G18"/>
  <c r="P14" i="46" s="1"/>
  <c r="G14" i="39"/>
  <c r="P10" i="46" s="1"/>
  <c r="G12" i="39"/>
  <c r="P8" i="46" s="1"/>
  <c r="G11" i="39"/>
  <c r="P7" i="46" s="1"/>
  <c r="G19" i="39"/>
  <c r="P15" i="46" s="1"/>
  <c r="G13" i="39"/>
  <c r="P9" i="46" s="1"/>
  <c r="G10" i="39"/>
  <c r="P6" i="46" s="1"/>
  <c r="G9" i="39"/>
  <c r="B30"/>
  <c r="A29"/>
  <c r="F9" i="7"/>
  <c r="I9" s="1"/>
  <c r="A10"/>
  <c r="F41" i="47"/>
  <c r="F36"/>
  <c r="F42"/>
  <c r="F34"/>
  <c r="F39"/>
  <c r="F10" i="48"/>
  <c r="F13"/>
  <c r="F19"/>
  <c r="F9"/>
  <c r="F12"/>
  <c r="F43" i="39"/>
  <c r="F34"/>
  <c r="F42"/>
  <c r="F37"/>
  <c r="F35"/>
  <c r="F29"/>
  <c r="D5" i="48"/>
  <c r="F30" i="39"/>
  <c r="A31"/>
  <c r="F5" i="48"/>
  <c r="A31" i="47"/>
  <c r="F6" i="48"/>
  <c r="F31" i="39"/>
  <c r="F30" i="47"/>
  <c r="E31" i="39"/>
  <c r="D29" i="47"/>
  <c r="D29" i="39"/>
  <c r="F43" i="47"/>
  <c r="F44"/>
  <c r="F37"/>
  <c r="F35"/>
  <c r="F38"/>
  <c r="F16" i="48"/>
  <c r="F11"/>
  <c r="F18"/>
  <c r="F17"/>
  <c r="F14"/>
  <c r="F41" i="39"/>
  <c r="F38"/>
  <c r="F36"/>
  <c r="F44"/>
  <c r="F39"/>
  <c r="F31" i="47"/>
  <c r="F4" i="48"/>
  <c r="E6"/>
  <c r="D30" i="39"/>
  <c r="C31"/>
  <c r="C31" i="47"/>
  <c r="D4" i="48"/>
  <c r="F29" i="47"/>
  <c r="A6" i="48"/>
  <c r="D30" i="47"/>
  <c r="C6" i="48"/>
  <c r="E31" i="47"/>
  <c r="G19" i="48" l="1"/>
  <c r="T15" i="46" s="1"/>
  <c r="G11" i="48"/>
  <c r="T7" i="46" s="1"/>
  <c r="G18" i="48"/>
  <c r="T14" i="46" s="1"/>
  <c r="G9" i="48"/>
  <c r="T5" i="46" s="1"/>
  <c r="G12" i="48"/>
  <c r="T8" i="46" s="1"/>
  <c r="G17" i="48"/>
  <c r="T13" i="46" s="1"/>
  <c r="G14" i="48"/>
  <c r="T10" i="46" s="1"/>
  <c r="G10" i="48"/>
  <c r="T6" i="46" s="1"/>
  <c r="G16" i="48"/>
  <c r="T12" i="46" s="1"/>
  <c r="G13" i="48"/>
  <c r="T9" i="46" s="1"/>
  <c r="G37" i="47"/>
  <c r="S8" i="46" s="1"/>
  <c r="G42" i="47"/>
  <c r="S13" i="46" s="1"/>
  <c r="G34" i="47"/>
  <c r="S5" i="46" s="1"/>
  <c r="G35" i="47"/>
  <c r="S6" i="46" s="1"/>
  <c r="G39" i="47"/>
  <c r="S10" i="46" s="1"/>
  <c r="G38" i="47"/>
  <c r="S9" i="46" s="1"/>
  <c r="G41" i="47"/>
  <c r="S12" i="46" s="1"/>
  <c r="G43" i="47"/>
  <c r="S14" i="46" s="1"/>
  <c r="G44" i="47"/>
  <c r="S15" i="46" s="1"/>
  <c r="G36" i="47"/>
  <c r="S7" i="46" s="1"/>
  <c r="A25" i="14"/>
  <c r="A26" s="1"/>
  <c r="A5" i="50"/>
  <c r="A29" i="48"/>
  <c r="B30"/>
  <c r="F40"/>
  <c r="B5" i="49"/>
  <c r="A30"/>
  <c r="A4"/>
  <c r="F15"/>
  <c r="P5" i="46"/>
  <c r="G41" i="39"/>
  <c r="Q12" i="46" s="1"/>
  <c r="G42" i="39"/>
  <c r="Q13" i="46" s="1"/>
  <c r="G39" i="39"/>
  <c r="Q10" i="46" s="1"/>
  <c r="G43" i="39"/>
  <c r="Q14" i="46" s="1"/>
  <c r="G36" i="39"/>
  <c r="Q7" i="46" s="1"/>
  <c r="G37" i="39"/>
  <c r="Q8" i="46" s="1"/>
  <c r="G44" i="39"/>
  <c r="Q15" i="46" s="1"/>
  <c r="G38" i="39"/>
  <c r="Q9" i="46" s="1"/>
  <c r="G34" i="39"/>
  <c r="G35"/>
  <c r="Q6" i="46" s="1"/>
  <c r="F10" i="7"/>
  <c r="I10" s="1"/>
  <c r="A11"/>
  <c r="F44" i="48"/>
  <c r="F37"/>
  <c r="F35"/>
  <c r="F38"/>
  <c r="F43"/>
  <c r="F11" i="49"/>
  <c r="F18"/>
  <c r="F17"/>
  <c r="F14"/>
  <c r="F16"/>
  <c r="A6"/>
  <c r="D29" i="48"/>
  <c r="D30"/>
  <c r="C6" i="49"/>
  <c r="A31" i="48"/>
  <c r="F5" i="49"/>
  <c r="C31" i="48"/>
  <c r="F31"/>
  <c r="D5" i="49"/>
  <c r="D4"/>
  <c r="F30" i="48"/>
  <c r="E6" i="49"/>
  <c r="F36" i="48"/>
  <c r="F42"/>
  <c r="F34"/>
  <c r="F39"/>
  <c r="F41"/>
  <c r="F13" i="49"/>
  <c r="F19"/>
  <c r="F9"/>
  <c r="F12"/>
  <c r="F10"/>
  <c r="F29" i="48"/>
  <c r="F4" i="49"/>
  <c r="F6"/>
  <c r="E31" i="48"/>
  <c r="G9" i="49" l="1"/>
  <c r="V5" i="46" s="1"/>
  <c r="G12" i="49"/>
  <c r="V8" i="46" s="1"/>
  <c r="G17" i="49"/>
  <c r="V13" i="46" s="1"/>
  <c r="G14" i="49"/>
  <c r="V10" i="46" s="1"/>
  <c r="G10" i="49"/>
  <c r="V6" i="46" s="1"/>
  <c r="G16" i="49"/>
  <c r="V12" i="46" s="1"/>
  <c r="G13" i="49"/>
  <c r="V9" i="46" s="1"/>
  <c r="G19" i="49"/>
  <c r="V15" i="46" s="1"/>
  <c r="G11" i="49"/>
  <c r="V7" i="46" s="1"/>
  <c r="G18" i="49"/>
  <c r="V14" i="46" s="1"/>
  <c r="G35" i="48"/>
  <c r="U6" i="46" s="1"/>
  <c r="G39" i="48"/>
  <c r="U10" i="46" s="1"/>
  <c r="G38" i="48"/>
  <c r="U9" i="46" s="1"/>
  <c r="G41" i="48"/>
  <c r="U12" i="46" s="1"/>
  <c r="G43" i="48"/>
  <c r="U14" i="46" s="1"/>
  <c r="G44" i="48"/>
  <c r="U15" i="46" s="1"/>
  <c r="G36" i="48"/>
  <c r="U7" i="46" s="1"/>
  <c r="G37" i="48"/>
  <c r="U8" i="46" s="1"/>
  <c r="G42" i="48"/>
  <c r="U13" i="46" s="1"/>
  <c r="G34" i="48"/>
  <c r="U5" i="46" s="1"/>
  <c r="A29" i="49"/>
  <c r="B30"/>
  <c r="F40"/>
  <c r="A27" i="14"/>
  <c r="A5" i="51"/>
  <c r="B5" i="50"/>
  <c r="A30"/>
  <c r="A4"/>
  <c r="F15"/>
  <c r="Q5" i="46"/>
  <c r="F11" i="7"/>
  <c r="I11" s="1"/>
  <c r="A12"/>
  <c r="F35" i="49"/>
  <c r="F38"/>
  <c r="F43"/>
  <c r="F44"/>
  <c r="F37"/>
  <c r="F9" i="50"/>
  <c r="F12"/>
  <c r="F10"/>
  <c r="F13"/>
  <c r="F19"/>
  <c r="C31" i="49"/>
  <c r="E31"/>
  <c r="F31"/>
  <c r="D29"/>
  <c r="F29"/>
  <c r="E6" i="50"/>
  <c r="F5"/>
  <c r="D30" i="49"/>
  <c r="F30"/>
  <c r="A31"/>
  <c r="F4" i="50"/>
  <c r="D4"/>
  <c r="F34" i="49"/>
  <c r="F39"/>
  <c r="F41"/>
  <c r="F36"/>
  <c r="F42"/>
  <c r="F18" i="50"/>
  <c r="F17"/>
  <c r="F14"/>
  <c r="F16"/>
  <c r="F11"/>
  <c r="F6"/>
  <c r="A6"/>
  <c r="D5"/>
  <c r="C6"/>
  <c r="G14" l="1"/>
  <c r="X10" i="46" s="1"/>
  <c r="G10" i="50"/>
  <c r="X6" i="46" s="1"/>
  <c r="G16" i="50"/>
  <c r="X12" i="46" s="1"/>
  <c r="G13" i="50"/>
  <c r="X9" i="46" s="1"/>
  <c r="G19" i="50"/>
  <c r="X15" i="46" s="1"/>
  <c r="G11" i="50"/>
  <c r="X7" i="46" s="1"/>
  <c r="G18" i="50"/>
  <c r="X14" i="46" s="1"/>
  <c r="G9" i="50"/>
  <c r="X5" i="46" s="1"/>
  <c r="G12" i="50"/>
  <c r="X8" i="46" s="1"/>
  <c r="G17" i="50"/>
  <c r="X13" i="46" s="1"/>
  <c r="G38" i="49"/>
  <c r="W9" i="46" s="1"/>
  <c r="G41" i="49"/>
  <c r="W12" i="46" s="1"/>
  <c r="G43" i="49"/>
  <c r="W14" i="46" s="1"/>
  <c r="G44" i="49"/>
  <c r="W15" i="46" s="1"/>
  <c r="G36" i="49"/>
  <c r="W7" i="46" s="1"/>
  <c r="G37" i="49"/>
  <c r="W8" i="46" s="1"/>
  <c r="G42" i="49"/>
  <c r="W13" i="46" s="1"/>
  <c r="G34" i="49"/>
  <c r="W5" i="46" s="1"/>
  <c r="G35" i="49"/>
  <c r="W6" i="46" s="1"/>
  <c r="G39" i="49"/>
  <c r="W10" i="46" s="1"/>
  <c r="B30" i="50"/>
  <c r="A29"/>
  <c r="F40"/>
  <c r="B5" i="51"/>
  <c r="A30"/>
  <c r="A4"/>
  <c r="F15"/>
  <c r="F12" i="7"/>
  <c r="I12" s="1"/>
  <c r="A13"/>
  <c r="F17" i="51"/>
  <c r="F14"/>
  <c r="F16"/>
  <c r="F11"/>
  <c r="F18"/>
  <c r="F39" i="50"/>
  <c r="F41"/>
  <c r="F36"/>
  <c r="F42"/>
  <c r="F34"/>
  <c r="E6" i="51"/>
  <c r="E31" i="50"/>
  <c r="C6" i="51"/>
  <c r="D4"/>
  <c r="F31" i="50"/>
  <c r="D29"/>
  <c r="F4" i="51"/>
  <c r="A31" i="50"/>
  <c r="F12" i="51"/>
  <c r="F10"/>
  <c r="F13"/>
  <c r="F19"/>
  <c r="F9"/>
  <c r="F38" i="50"/>
  <c r="F43"/>
  <c r="F44"/>
  <c r="F37"/>
  <c r="F35"/>
  <c r="F5" i="51"/>
  <c r="F29" i="50"/>
  <c r="F6" i="51"/>
  <c r="A6"/>
  <c r="D30" i="50"/>
  <c r="D5" i="51"/>
  <c r="C31" i="50"/>
  <c r="F30"/>
  <c r="G43" l="1"/>
  <c r="Y14" i="46" s="1"/>
  <c r="G44" i="50"/>
  <c r="Y15" i="46" s="1"/>
  <c r="G36" i="50"/>
  <c r="Y7" i="46" s="1"/>
  <c r="G37" i="50"/>
  <c r="Y8" i="46" s="1"/>
  <c r="G42" i="50"/>
  <c r="Y13" i="46" s="1"/>
  <c r="G34" i="50"/>
  <c r="Y5" i="46" s="1"/>
  <c r="G35" i="50"/>
  <c r="Y6" i="46" s="1"/>
  <c r="G39" i="50"/>
  <c r="Y10" i="46" s="1"/>
  <c r="G38" i="50"/>
  <c r="Y9" i="46" s="1"/>
  <c r="G41" i="50"/>
  <c r="Y12" i="46" s="1"/>
  <c r="G16" i="51"/>
  <c r="Z12" i="46" s="1"/>
  <c r="G13" i="51"/>
  <c r="Z9" i="46" s="1"/>
  <c r="G19" i="51"/>
  <c r="Z15" i="46" s="1"/>
  <c r="G11" i="51"/>
  <c r="Z7" i="46" s="1"/>
  <c r="G18" i="51"/>
  <c r="Z14" i="46" s="1"/>
  <c r="G9" i="51"/>
  <c r="Z5" i="46" s="1"/>
  <c r="G12" i="51"/>
  <c r="Z8" i="46" s="1"/>
  <c r="G17" i="51"/>
  <c r="Z13" i="46" s="1"/>
  <c r="G14" i="51"/>
  <c r="Z10" i="46" s="1"/>
  <c r="G10" i="51"/>
  <c r="Z6" i="46" s="1"/>
  <c r="A29" i="51"/>
  <c r="B30"/>
  <c r="F40"/>
  <c r="F13" i="7"/>
  <c r="I13" s="1"/>
  <c r="A14"/>
  <c r="F14" s="1"/>
  <c r="F41" i="51"/>
  <c r="F36"/>
  <c r="F42"/>
  <c r="F34"/>
  <c r="F39"/>
  <c r="F31"/>
  <c r="D30"/>
  <c r="E31"/>
  <c r="F29"/>
  <c r="F43"/>
  <c r="F44"/>
  <c r="F37"/>
  <c r="F35"/>
  <c r="F38"/>
  <c r="A31"/>
  <c r="F30"/>
  <c r="C31"/>
  <c r="D29"/>
  <c r="G37" l="1"/>
  <c r="AA8" i="46" s="1"/>
  <c r="G42" i="51"/>
  <c r="AA13" i="46" s="1"/>
  <c r="G34" i="51"/>
  <c r="AA5" i="46" s="1"/>
  <c r="G35" i="51"/>
  <c r="AA6" i="46" s="1"/>
  <c r="G39" i="51"/>
  <c r="AA10" i="46" s="1"/>
  <c r="G38" i="51"/>
  <c r="AA9" i="46" s="1"/>
  <c r="G41" i="51"/>
  <c r="AA12" i="46" s="1"/>
  <c r="G43" i="51"/>
  <c r="AA14" i="46" s="1"/>
  <c r="G44" i="51"/>
  <c r="AA15" i="46" s="1"/>
  <c r="G36" i="51"/>
  <c r="AA7" i="46" s="1"/>
  <c r="I14" i="7"/>
  <c r="A15"/>
  <c r="K15"/>
  <c r="M15" s="1"/>
  <c r="K11"/>
  <c r="M11" s="1"/>
  <c r="K7"/>
  <c r="M7" s="1"/>
  <c r="K12"/>
  <c r="M12" s="1"/>
  <c r="K9"/>
  <c r="M9" s="1"/>
  <c r="K14"/>
  <c r="M14" s="1"/>
  <c r="K13"/>
  <c r="M13" s="1"/>
  <c r="K10"/>
  <c r="M10" s="1"/>
  <c r="K8"/>
  <c r="M8" s="1"/>
  <c r="K6"/>
  <c r="M6" s="1"/>
  <c r="K5"/>
  <c r="M5" s="1"/>
  <c r="D28" i="22"/>
  <c r="D28" i="21"/>
  <c r="D28" i="9"/>
  <c r="D3" i="22"/>
  <c r="D28" i="19"/>
  <c r="D3"/>
  <c r="D28" i="20"/>
  <c r="D3"/>
  <c r="D3" i="21"/>
  <c r="D3" i="9"/>
  <c r="F15" i="7" l="1"/>
  <c r="A16"/>
  <c r="D3" i="39"/>
  <c r="A17" i="7" l="1"/>
  <c r="F16"/>
  <c r="I16" s="1"/>
  <c r="I15"/>
  <c r="J50" i="13"/>
  <c r="K31" i="36" s="1"/>
  <c r="A18" i="7" l="1"/>
  <c r="F17"/>
  <c r="I17" s="1"/>
  <c r="J76" i="29"/>
  <c r="J31"/>
  <c r="M17" i="28"/>
  <c r="J48" i="13"/>
  <c r="J43"/>
  <c r="K24" i="36" s="1"/>
  <c r="J42" i="13"/>
  <c r="J46"/>
  <c r="J72" i="29" s="1"/>
  <c r="J47" i="13"/>
  <c r="K28" i="36" s="1"/>
  <c r="J45" i="13"/>
  <c r="K26" i="36" s="1"/>
  <c r="J44" i="13"/>
  <c r="J49"/>
  <c r="K30" i="36" s="1"/>
  <c r="J41" i="13"/>
  <c r="L17" i="28"/>
  <c r="A19" i="7" l="1"/>
  <c r="F18"/>
  <c r="I18" s="1"/>
  <c r="J63" i="13"/>
  <c r="J67" i="29"/>
  <c r="K22" i="36"/>
  <c r="J70" i="29"/>
  <c r="K25" i="36"/>
  <c r="M13" i="28"/>
  <c r="K27" i="36"/>
  <c r="J68" i="29"/>
  <c r="K23" i="36"/>
  <c r="M15" i="28"/>
  <c r="K29" i="36"/>
  <c r="J25" i="29"/>
  <c r="M9" i="28"/>
  <c r="M11"/>
  <c r="J23" i="29"/>
  <c r="J74"/>
  <c r="M8" i="28"/>
  <c r="J27" i="29"/>
  <c r="J29"/>
  <c r="J22"/>
  <c r="M10" i="28"/>
  <c r="J69" i="29"/>
  <c r="J24"/>
  <c r="L13" i="28"/>
  <c r="I27" i="29"/>
  <c r="I72"/>
  <c r="L10" i="28"/>
  <c r="I69" i="29"/>
  <c r="I24"/>
  <c r="L8" i="28"/>
  <c r="I67" i="29"/>
  <c r="I22"/>
  <c r="L11" i="28"/>
  <c r="I25" i="29"/>
  <c r="I70"/>
  <c r="L14" i="28"/>
  <c r="I73" i="29"/>
  <c r="I28"/>
  <c r="L9" i="28"/>
  <c r="I23" i="29"/>
  <c r="I68"/>
  <c r="L15" i="28"/>
  <c r="I29" i="29"/>
  <c r="I74"/>
  <c r="L16" i="28"/>
  <c r="I75" i="29"/>
  <c r="I30"/>
  <c r="L12" i="28"/>
  <c r="I71" i="29"/>
  <c r="I26"/>
  <c r="A20" i="7" l="1"/>
  <c r="F19"/>
  <c r="I19" s="1"/>
  <c r="K44" i="36"/>
  <c r="M12" i="28"/>
  <c r="J71" i="29"/>
  <c r="J26"/>
  <c r="I89"/>
  <c r="I44"/>
  <c r="L30" i="28"/>
  <c r="A21" i="7" l="1"/>
  <c r="F20"/>
  <c r="I20" s="1"/>
  <c r="J73" i="29"/>
  <c r="J28"/>
  <c r="M14" i="28"/>
  <c r="D3" i="47"/>
  <c r="D3" i="48"/>
  <c r="D28" i="47"/>
  <c r="D28" i="39"/>
  <c r="D28" i="48"/>
  <c r="A22" i="7" l="1"/>
  <c r="F21"/>
  <c r="I21" s="1"/>
  <c r="M30" i="28"/>
  <c r="J44" i="29"/>
  <c r="J89"/>
  <c r="M16" i="28"/>
  <c r="J75" i="29"/>
  <c r="J30"/>
  <c r="F56"/>
  <c r="Q56" s="1"/>
  <c r="Q62" s="1"/>
  <c r="D3" i="49"/>
  <c r="A23" i="7" l="1"/>
  <c r="F22"/>
  <c r="I22" s="1"/>
  <c r="F11" i="29"/>
  <c r="Q11" s="1"/>
  <c r="Q17" s="1"/>
  <c r="F37" i="13"/>
  <c r="A24" i="7" l="1"/>
  <c r="F23"/>
  <c r="I23" s="1"/>
  <c r="F62" i="29"/>
  <c r="F17"/>
  <c r="D3" i="50"/>
  <c r="D28" i="49"/>
  <c r="A25" i="7" l="1"/>
  <c r="F24"/>
  <c r="I24" s="1"/>
  <c r="D28" i="50"/>
  <c r="A26" i="7" l="1"/>
  <c r="F25"/>
  <c r="D3" i="51"/>
  <c r="D28"/>
  <c r="F26" i="7" l="1"/>
  <c r="I26" s="1"/>
  <c r="I25"/>
  <c r="F27" l="1"/>
  <c r="I27"/>
  <c r="J17" s="1"/>
  <c r="L17" s="1"/>
  <c r="N17" s="1"/>
  <c r="O17" s="1"/>
  <c r="R17" s="1"/>
  <c r="J20"/>
  <c r="L20" s="1"/>
  <c r="N20" s="1"/>
  <c r="O20" s="1"/>
  <c r="R20" s="1"/>
  <c r="J9"/>
  <c r="L9" s="1"/>
  <c r="N9" s="1"/>
  <c r="O9" s="1"/>
  <c r="R9" s="1"/>
  <c r="J23"/>
  <c r="L23" s="1"/>
  <c r="N23" s="1"/>
  <c r="O23" s="1"/>
  <c r="R23" s="1"/>
  <c r="J22"/>
  <c r="L22" s="1"/>
  <c r="N22" s="1"/>
  <c r="O22" s="1"/>
  <c r="R22" s="1"/>
  <c r="J14"/>
  <c r="L14" s="1"/>
  <c r="N14" s="1"/>
  <c r="O14" s="1"/>
  <c r="R14" s="1"/>
  <c r="J8"/>
  <c r="L8" s="1"/>
  <c r="N8" s="1"/>
  <c r="O8" s="1"/>
  <c r="R8" s="1"/>
  <c r="J13"/>
  <c r="L13" s="1"/>
  <c r="N13" s="1"/>
  <c r="O13" s="1"/>
  <c r="R13" s="1"/>
  <c r="J21"/>
  <c r="L21" s="1"/>
  <c r="N21" s="1"/>
  <c r="O21" s="1"/>
  <c r="R21" s="1"/>
  <c r="J18"/>
  <c r="L18" s="1"/>
  <c r="N18" s="1"/>
  <c r="O18" s="1"/>
  <c r="R18" s="1"/>
  <c r="J6"/>
  <c r="L6" s="1"/>
  <c r="N6" s="1"/>
  <c r="O6" s="1"/>
  <c r="R6" s="1"/>
  <c r="P47" i="13"/>
  <c r="P73" i="29" s="1"/>
  <c r="H47" i="13"/>
  <c r="P50"/>
  <c r="P76" i="29" s="1"/>
  <c r="H50" i="13"/>
  <c r="I31" i="36" s="1"/>
  <c r="P45" i="13"/>
  <c r="S12" i="28" s="1"/>
  <c r="H45" i="13"/>
  <c r="P42"/>
  <c r="P23" i="29" s="1"/>
  <c r="H42" i="13"/>
  <c r="P48"/>
  <c r="P74" i="29" s="1"/>
  <c r="H48" i="13"/>
  <c r="P43"/>
  <c r="S10" i="28" s="1"/>
  <c r="H43" i="13"/>
  <c r="P46"/>
  <c r="S13" i="28" s="1"/>
  <c r="H46" i="13"/>
  <c r="P49"/>
  <c r="P30" i="29" s="1"/>
  <c r="H49" i="13"/>
  <c r="P44"/>
  <c r="P70" i="29" s="1"/>
  <c r="H44" i="13"/>
  <c r="P51"/>
  <c r="S18" i="28" s="1"/>
  <c r="H51" i="13"/>
  <c r="I32" i="36" s="1"/>
  <c r="P41" i="13"/>
  <c r="S8" i="28" s="1"/>
  <c r="H41" i="13"/>
  <c r="O28" i="14"/>
  <c r="G51" i="13"/>
  <c r="G46"/>
  <c r="G47"/>
  <c r="G49"/>
  <c r="G50"/>
  <c r="H31" i="36" s="1"/>
  <c r="G41" i="13"/>
  <c r="G43"/>
  <c r="G45"/>
  <c r="G42"/>
  <c r="G48"/>
  <c r="G44"/>
  <c r="J15" i="7" l="1"/>
  <c r="L15" s="1"/>
  <c r="N15" s="1"/>
  <c r="O15" s="1"/>
  <c r="R15" s="1"/>
  <c r="J10"/>
  <c r="L10" s="1"/>
  <c r="N10" s="1"/>
  <c r="O10" s="1"/>
  <c r="R10" s="1"/>
  <c r="J25"/>
  <c r="L25" s="1"/>
  <c r="N25" s="1"/>
  <c r="O25" s="1"/>
  <c r="R25" s="1"/>
  <c r="J12"/>
  <c r="L12" s="1"/>
  <c r="N12" s="1"/>
  <c r="O12" s="1"/>
  <c r="R12" s="1"/>
  <c r="J7"/>
  <c r="L7" s="1"/>
  <c r="N7" s="1"/>
  <c r="O7" s="1"/>
  <c r="R7" s="1"/>
  <c r="J5"/>
  <c r="J24"/>
  <c r="L24" s="1"/>
  <c r="N24" s="1"/>
  <c r="O24" s="1"/>
  <c r="R24" s="1"/>
  <c r="J16"/>
  <c r="L16" s="1"/>
  <c r="N16" s="1"/>
  <c r="O16" s="1"/>
  <c r="R16" s="1"/>
  <c r="J19"/>
  <c r="L19" s="1"/>
  <c r="N19" s="1"/>
  <c r="O19" s="1"/>
  <c r="R19" s="1"/>
  <c r="J11"/>
  <c r="L11" s="1"/>
  <c r="N11" s="1"/>
  <c r="O11" s="1"/>
  <c r="R11" s="1"/>
  <c r="J26"/>
  <c r="L26" s="1"/>
  <c r="N26" s="1"/>
  <c r="O26" s="1"/>
  <c r="R26" s="1"/>
  <c r="L5"/>
  <c r="N5" s="1"/>
  <c r="O5" s="1"/>
  <c r="R5" s="1"/>
  <c r="G77" i="29"/>
  <c r="H32" i="36"/>
  <c r="S14" i="28"/>
  <c r="P6" i="7"/>
  <c r="P18"/>
  <c r="P21"/>
  <c r="P13"/>
  <c r="P8"/>
  <c r="P14"/>
  <c r="P22"/>
  <c r="P23"/>
  <c r="P9"/>
  <c r="P20"/>
  <c r="P17"/>
  <c r="P15"/>
  <c r="P10"/>
  <c r="P25"/>
  <c r="P12"/>
  <c r="P7"/>
  <c r="P24"/>
  <c r="P16"/>
  <c r="P19"/>
  <c r="P11"/>
  <c r="P26"/>
  <c r="P24" i="29"/>
  <c r="P22"/>
  <c r="S9" i="28"/>
  <c r="P75" i="29"/>
  <c r="P68"/>
  <c r="S17" i="28"/>
  <c r="P67" i="29"/>
  <c r="S16" i="28"/>
  <c r="P69" i="29"/>
  <c r="P31"/>
  <c r="P29"/>
  <c r="P26"/>
  <c r="P28"/>
  <c r="P63" i="13"/>
  <c r="P25" i="29"/>
  <c r="P27"/>
  <c r="P77"/>
  <c r="S11" i="28"/>
  <c r="P72" i="29"/>
  <c r="P32"/>
  <c r="S15" i="28"/>
  <c r="P71" i="29"/>
  <c r="H77"/>
  <c r="K18" i="28"/>
  <c r="H32" i="29"/>
  <c r="I25" i="36"/>
  <c r="K11" i="28"/>
  <c r="H70" i="29"/>
  <c r="H25"/>
  <c r="I27" i="36"/>
  <c r="K13" i="28"/>
  <c r="H72" i="29"/>
  <c r="H27"/>
  <c r="I29" i="36"/>
  <c r="K15" i="28"/>
  <c r="H74" i="29"/>
  <c r="H29"/>
  <c r="I26" i="36"/>
  <c r="H71" i="29"/>
  <c r="K12" i="28"/>
  <c r="H26" i="29"/>
  <c r="I28" i="36"/>
  <c r="H73" i="29"/>
  <c r="K14" i="28"/>
  <c r="H28" i="29"/>
  <c r="H67"/>
  <c r="H63" i="13"/>
  <c r="K8" i="28"/>
  <c r="I22" i="36"/>
  <c r="H22" i="29"/>
  <c r="I30" i="36"/>
  <c r="H75" i="29"/>
  <c r="K16" i="28"/>
  <c r="H30" i="29"/>
  <c r="I24" i="36"/>
  <c r="H69" i="29"/>
  <c r="K10" i="28"/>
  <c r="H24" i="29"/>
  <c r="I23" i="36"/>
  <c r="K9" i="28"/>
  <c r="H68" i="29"/>
  <c r="H23"/>
  <c r="H31"/>
  <c r="H76"/>
  <c r="K17" i="28"/>
  <c r="G31" i="29"/>
  <c r="G76"/>
  <c r="G32"/>
  <c r="J18" i="28"/>
  <c r="G63" i="13"/>
  <c r="H25" i="36"/>
  <c r="J11" i="28"/>
  <c r="G70" i="29"/>
  <c r="G25"/>
  <c r="H29" i="36"/>
  <c r="J15" i="28"/>
  <c r="G74" i="29"/>
  <c r="G29"/>
  <c r="H23" i="36"/>
  <c r="J9" i="28"/>
  <c r="G68" i="29"/>
  <c r="G23"/>
  <c r="H26" i="36"/>
  <c r="G71" i="29"/>
  <c r="J12" i="28"/>
  <c r="G26" i="29"/>
  <c r="H24" i="36"/>
  <c r="G69" i="29"/>
  <c r="J10" i="28"/>
  <c r="G24" i="29"/>
  <c r="H22" i="36"/>
  <c r="G67" i="29"/>
  <c r="J8" i="28"/>
  <c r="G22" i="29"/>
  <c r="J17" i="28"/>
  <c r="H28" i="36"/>
  <c r="J14" i="28"/>
  <c r="G28" i="29"/>
  <c r="G73"/>
  <c r="H30" i="36"/>
  <c r="G75" i="29"/>
  <c r="J16" i="28"/>
  <c r="G30" i="29"/>
  <c r="H27" i="36"/>
  <c r="G27" i="29"/>
  <c r="J13" i="28"/>
  <c r="G72" i="29"/>
  <c r="G15" i="48"/>
  <c r="G15" i="21"/>
  <c r="G40" i="50"/>
  <c r="G40" i="39"/>
  <c r="G40" i="19"/>
  <c r="G15" i="49"/>
  <c r="G15" i="22"/>
  <c r="G40" i="51"/>
  <c r="G40" i="47"/>
  <c r="G40" i="20"/>
  <c r="G15" i="50"/>
  <c r="G15" i="39"/>
  <c r="G15" i="19"/>
  <c r="G40" i="48"/>
  <c r="G40" i="21"/>
  <c r="G15" i="51"/>
  <c r="G15" i="47"/>
  <c r="G15" i="20"/>
  <c r="G40" i="49"/>
  <c r="G40" i="22"/>
  <c r="G40" i="9"/>
  <c r="R27" i="7" l="1"/>
  <c r="P5"/>
  <c r="L11" i="46"/>
  <c r="L17" s="1"/>
  <c r="G21" i="21"/>
  <c r="AB12" i="14" s="1"/>
  <c r="Q11" i="46"/>
  <c r="Q17" s="1"/>
  <c r="G46" i="39"/>
  <c r="AB17" i="14" s="1"/>
  <c r="G21" i="19"/>
  <c r="AB8" i="14" s="1"/>
  <c r="H11" i="46"/>
  <c r="H17" s="1"/>
  <c r="G21" i="51"/>
  <c r="AB26" i="14" s="1"/>
  <c r="Z11" i="46"/>
  <c r="Z17" s="1"/>
  <c r="P11"/>
  <c r="P17" s="1"/>
  <c r="G21" i="39"/>
  <c r="AB16" i="14" s="1"/>
  <c r="U11" i="46"/>
  <c r="U17" s="1"/>
  <c r="G46" i="48"/>
  <c r="AB21" i="14" s="1"/>
  <c r="X11" i="46"/>
  <c r="X17" s="1"/>
  <c r="G21" i="50"/>
  <c r="AB24" i="14" s="1"/>
  <c r="G46" i="22"/>
  <c r="AB15" i="14" s="1"/>
  <c r="O11" i="46"/>
  <c r="O17" s="1"/>
  <c r="G21" i="22"/>
  <c r="AB14" i="14" s="1"/>
  <c r="N11" i="46"/>
  <c r="N17" s="1"/>
  <c r="S11"/>
  <c r="S17" s="1"/>
  <c r="G46" i="47"/>
  <c r="AB19" i="14" s="1"/>
  <c r="AA11" i="46"/>
  <c r="AA17" s="1"/>
  <c r="G46" i="51"/>
  <c r="AB27" i="14" s="1"/>
  <c r="T11" i="46"/>
  <c r="T17" s="1"/>
  <c r="G21" i="48"/>
  <c r="AB20" i="14" s="1"/>
  <c r="Y11" i="46"/>
  <c r="Y17" s="1"/>
  <c r="G46" i="50"/>
  <c r="AB25" i="14" s="1"/>
  <c r="M11" i="46"/>
  <c r="M17" s="1"/>
  <c r="G46" i="21"/>
  <c r="AB13" i="14" s="1"/>
  <c r="K11" i="46"/>
  <c r="K17" s="1"/>
  <c r="G46" i="20"/>
  <c r="AB11" i="14" s="1"/>
  <c r="G21" i="47"/>
  <c r="AB18" i="14" s="1"/>
  <c r="R11" i="46"/>
  <c r="R17" s="1"/>
  <c r="G21" i="20"/>
  <c r="AB10" i="14" s="1"/>
  <c r="J11" i="46"/>
  <c r="J17" s="1"/>
  <c r="W11"/>
  <c r="W17" s="1"/>
  <c r="G46" i="49"/>
  <c r="AB23" i="14" s="1"/>
  <c r="G46" i="19"/>
  <c r="AB9" i="14" s="1"/>
  <c r="E44" i="13" s="1"/>
  <c r="I11" i="46"/>
  <c r="I17" s="1"/>
  <c r="G21" i="49"/>
  <c r="AB22" i="14" s="1"/>
  <c r="V11" i="46"/>
  <c r="V17" s="1"/>
  <c r="G46" i="9"/>
  <c r="AB7" i="14" s="1"/>
  <c r="G11" i="46"/>
  <c r="G17" s="1"/>
  <c r="E61" i="13"/>
  <c r="E54"/>
  <c r="S30" i="28"/>
  <c r="P44" i="29"/>
  <c r="P89"/>
  <c r="H44"/>
  <c r="H89"/>
  <c r="K30" i="28"/>
  <c r="I44" i="36"/>
  <c r="H44"/>
  <c r="J30" i="28"/>
  <c r="G44" i="29"/>
  <c r="G89"/>
  <c r="G15" i="9"/>
  <c r="P27" i="7" l="1"/>
  <c r="F58" i="13"/>
  <c r="D58"/>
  <c r="F46"/>
  <c r="D46"/>
  <c r="F48"/>
  <c r="D48"/>
  <c r="F60"/>
  <c r="D60"/>
  <c r="F55"/>
  <c r="D55"/>
  <c r="F62"/>
  <c r="D62"/>
  <c r="F54"/>
  <c r="D54"/>
  <c r="F59"/>
  <c r="D59"/>
  <c r="F56"/>
  <c r="D56"/>
  <c r="F51"/>
  <c r="D51"/>
  <c r="F52"/>
  <c r="D52"/>
  <c r="F47"/>
  <c r="D47"/>
  <c r="F42"/>
  <c r="D42"/>
  <c r="F57"/>
  <c r="D57"/>
  <c r="F44"/>
  <c r="D44"/>
  <c r="F45"/>
  <c r="D45"/>
  <c r="F53"/>
  <c r="D53"/>
  <c r="F49"/>
  <c r="D49"/>
  <c r="F50"/>
  <c r="D50"/>
  <c r="F61"/>
  <c r="D61"/>
  <c r="F43"/>
  <c r="D43"/>
  <c r="E35" i="29"/>
  <c r="E80"/>
  <c r="E42"/>
  <c r="E87"/>
  <c r="E45" i="13"/>
  <c r="H12" i="28" s="1"/>
  <c r="E49" i="13"/>
  <c r="F30" i="36" s="1"/>
  <c r="E50" i="13"/>
  <c r="F31" i="36" s="1"/>
  <c r="E43" i="13"/>
  <c r="F24" i="36" s="1"/>
  <c r="E46" i="13"/>
  <c r="E27" i="29" s="1"/>
  <c r="E60" i="13"/>
  <c r="E86" i="29" s="1"/>
  <c r="E51" i="13"/>
  <c r="F32" i="36" s="1"/>
  <c r="E48" i="13"/>
  <c r="E29" i="29" s="1"/>
  <c r="L27" i="31"/>
  <c r="M27" s="1"/>
  <c r="E59" i="13"/>
  <c r="E85" i="29" s="1"/>
  <c r="E62" i="13"/>
  <c r="E88" i="29" s="1"/>
  <c r="L36" i="31"/>
  <c r="M36" s="1"/>
  <c r="E52" i="13"/>
  <c r="E78" i="29" s="1"/>
  <c r="L31" i="31"/>
  <c r="M31" s="1"/>
  <c r="L26"/>
  <c r="M26" s="1"/>
  <c r="L28"/>
  <c r="M28" s="1"/>
  <c r="E47" i="13"/>
  <c r="F28" i="36" s="1"/>
  <c r="L39" i="31"/>
  <c r="M39" s="1"/>
  <c r="L40"/>
  <c r="M40" s="1"/>
  <c r="L42"/>
  <c r="M42" s="1"/>
  <c r="L34"/>
  <c r="M34" s="1"/>
  <c r="E58" i="13"/>
  <c r="E84" i="29" s="1"/>
  <c r="E56" i="13"/>
  <c r="L32" i="31"/>
  <c r="M32" s="1"/>
  <c r="L35"/>
  <c r="M35" s="1"/>
  <c r="L38"/>
  <c r="M38" s="1"/>
  <c r="E55" i="13"/>
  <c r="E81" i="29" s="1"/>
  <c r="G21" i="9"/>
  <c r="AB6" i="14" s="1"/>
  <c r="F11" i="46"/>
  <c r="F17" s="1"/>
  <c r="E53" i="13"/>
  <c r="E79" i="29" s="1"/>
  <c r="E57" i="13"/>
  <c r="E83" i="29" s="1"/>
  <c r="E42" i="13"/>
  <c r="F23" i="36" s="1"/>
  <c r="L22" i="31"/>
  <c r="M22" s="1"/>
  <c r="L29"/>
  <c r="M29" s="1"/>
  <c r="L24"/>
  <c r="M24" s="1"/>
  <c r="L30"/>
  <c r="M30" s="1"/>
  <c r="L25"/>
  <c r="M25" s="1"/>
  <c r="L23"/>
  <c r="M23" s="1"/>
  <c r="L37"/>
  <c r="M37" s="1"/>
  <c r="L33"/>
  <c r="M33" s="1"/>
  <c r="L41"/>
  <c r="M41" s="1"/>
  <c r="H26" i="28"/>
  <c r="F43" i="36"/>
  <c r="H21" i="28"/>
  <c r="F35" i="36"/>
  <c r="H28" i="28"/>
  <c r="F42" i="36"/>
  <c r="H9" i="28"/>
  <c r="F25" i="36"/>
  <c r="E25" i="29"/>
  <c r="E70"/>
  <c r="H11" i="28"/>
  <c r="H17"/>
  <c r="E71" i="29" l="1"/>
  <c r="H10" i="28"/>
  <c r="E73" i="29"/>
  <c r="F27" i="36"/>
  <c r="F26"/>
  <c r="H16" i="28"/>
  <c r="E69" i="29"/>
  <c r="H15" i="28"/>
  <c r="E30" i="29"/>
  <c r="F39" i="36"/>
  <c r="F41"/>
  <c r="F69" i="29"/>
  <c r="F24"/>
  <c r="G24" i="36"/>
  <c r="I10" i="28"/>
  <c r="F87" i="29"/>
  <c r="F42"/>
  <c r="I28" i="28"/>
  <c r="G42" i="36"/>
  <c r="G31"/>
  <c r="I17" i="28"/>
  <c r="F31" i="29"/>
  <c r="F76"/>
  <c r="I16" i="28"/>
  <c r="F75" i="29"/>
  <c r="G30" i="36"/>
  <c r="F30" i="29"/>
  <c r="F79"/>
  <c r="F34"/>
  <c r="I20" i="28"/>
  <c r="G34" i="36"/>
  <c r="G26"/>
  <c r="F71" i="29"/>
  <c r="F26"/>
  <c r="I12" i="28"/>
  <c r="G25" i="36"/>
  <c r="F70" i="29"/>
  <c r="I11" i="28"/>
  <c r="F25" i="29"/>
  <c r="F83"/>
  <c r="F38"/>
  <c r="I24" i="28"/>
  <c r="G38" i="36"/>
  <c r="I9" i="28"/>
  <c r="F23" i="29"/>
  <c r="G23" i="36"/>
  <c r="F68" i="29"/>
  <c r="G28" i="36"/>
  <c r="F73" i="29"/>
  <c r="F28"/>
  <c r="I14" i="28"/>
  <c r="F78" i="29"/>
  <c r="F33"/>
  <c r="I19" i="28"/>
  <c r="G33" i="36"/>
  <c r="G32"/>
  <c r="F32" i="29"/>
  <c r="F77"/>
  <c r="I18" i="28"/>
  <c r="F82" i="29"/>
  <c r="F37"/>
  <c r="I23" i="28"/>
  <c r="G37" i="36"/>
  <c r="F85" i="29"/>
  <c r="F40"/>
  <c r="I26" i="28"/>
  <c r="G40" i="36"/>
  <c r="F80" i="29"/>
  <c r="F35"/>
  <c r="I21" i="28"/>
  <c r="G35" i="36"/>
  <c r="F88" i="29"/>
  <c r="F43"/>
  <c r="I29" i="28"/>
  <c r="G43" i="36"/>
  <c r="F81" i="29"/>
  <c r="F36"/>
  <c r="I22" i="28"/>
  <c r="G36" i="36"/>
  <c r="F86" i="29"/>
  <c r="F41"/>
  <c r="I27" i="28"/>
  <c r="G41" i="36"/>
  <c r="G29"/>
  <c r="I15" i="28"/>
  <c r="F29" i="29"/>
  <c r="F74"/>
  <c r="G27" i="36"/>
  <c r="I13" i="28"/>
  <c r="F27" i="29"/>
  <c r="F72"/>
  <c r="F84"/>
  <c r="F39"/>
  <c r="I25" i="28"/>
  <c r="G39" i="36"/>
  <c r="T21" i="28"/>
  <c r="F41" i="13"/>
  <c r="D41"/>
  <c r="E24" i="36"/>
  <c r="G10" i="28"/>
  <c r="D69" i="29"/>
  <c r="Q69" s="1"/>
  <c r="D24"/>
  <c r="E42" i="36"/>
  <c r="Q42" s="1"/>
  <c r="D87" i="29"/>
  <c r="D42"/>
  <c r="Q42" s="1"/>
  <c r="D76"/>
  <c r="G17" i="28"/>
  <c r="T17" s="1"/>
  <c r="E31" i="36"/>
  <c r="Q31" s="1"/>
  <c r="D31" i="29"/>
  <c r="E30" i="36"/>
  <c r="G16" i="28"/>
  <c r="D30" i="29"/>
  <c r="D75"/>
  <c r="E34" i="36"/>
  <c r="D79" i="29"/>
  <c r="D34"/>
  <c r="E26" i="36"/>
  <c r="D26" i="29"/>
  <c r="D71"/>
  <c r="Q71" s="1"/>
  <c r="G12" i="28"/>
  <c r="E25" i="36"/>
  <c r="Q25" s="1"/>
  <c r="G11" i="28"/>
  <c r="D25" i="29"/>
  <c r="D70"/>
  <c r="E38" i="36"/>
  <c r="D83" i="29"/>
  <c r="Q83" s="1"/>
  <c r="D38"/>
  <c r="G9" i="28"/>
  <c r="D23" i="29"/>
  <c r="E23" i="36"/>
  <c r="D68" i="29"/>
  <c r="E28" i="36"/>
  <c r="Q28" s="1"/>
  <c r="G14" i="28"/>
  <c r="D73" i="29"/>
  <c r="D28"/>
  <c r="E33" i="36"/>
  <c r="D78" i="29"/>
  <c r="Q78" s="1"/>
  <c r="D33"/>
  <c r="E32" i="36"/>
  <c r="Q32" s="1"/>
  <c r="D32" i="29"/>
  <c r="D77"/>
  <c r="G18" i="28"/>
  <c r="E37" i="36"/>
  <c r="D82" i="29"/>
  <c r="D37"/>
  <c r="E40" i="36"/>
  <c r="D85" i="29"/>
  <c r="D40"/>
  <c r="E35" i="36"/>
  <c r="D80" i="29"/>
  <c r="D35"/>
  <c r="Q35" s="1"/>
  <c r="E43" i="36"/>
  <c r="D88" i="29"/>
  <c r="Q88" s="1"/>
  <c r="D43"/>
  <c r="G19" i="28"/>
  <c r="E36" i="36"/>
  <c r="D81" i="29"/>
  <c r="Q81" s="1"/>
  <c r="D36"/>
  <c r="E41" i="36"/>
  <c r="Q41" s="1"/>
  <c r="D86" i="29"/>
  <c r="D41"/>
  <c r="D74"/>
  <c r="D29"/>
  <c r="G15" i="28"/>
  <c r="E29" i="36"/>
  <c r="G13" i="28"/>
  <c r="D27" i="29"/>
  <c r="Q27" s="1"/>
  <c r="E27" i="36"/>
  <c r="D72" i="29"/>
  <c r="E39" i="36"/>
  <c r="D84" i="29"/>
  <c r="Q84" s="1"/>
  <c r="D39"/>
  <c r="Q73"/>
  <c r="Q27" i="36"/>
  <c r="Q26"/>
  <c r="T11" i="28"/>
  <c r="T9"/>
  <c r="T28"/>
  <c r="T26"/>
  <c r="Q23" i="36"/>
  <c r="Q79" i="29"/>
  <c r="Q85"/>
  <c r="Q29"/>
  <c r="Q86"/>
  <c r="Q24" i="36"/>
  <c r="Q30"/>
  <c r="Q87" i="29"/>
  <c r="Q80"/>
  <c r="H23" i="28"/>
  <c r="T23" s="1"/>
  <c r="E82" i="29"/>
  <c r="Q82" s="1"/>
  <c r="F38" i="36"/>
  <c r="E38" i="29"/>
  <c r="F36" i="36"/>
  <c r="E36" i="29"/>
  <c r="F37" i="36"/>
  <c r="E37" i="29"/>
  <c r="F33" i="36"/>
  <c r="E33" i="29"/>
  <c r="H29" i="28"/>
  <c r="T29" s="1"/>
  <c r="E43" i="29"/>
  <c r="F34" i="36"/>
  <c r="E34" i="29"/>
  <c r="H25" i="28"/>
  <c r="T25" s="1"/>
  <c r="E39" i="29"/>
  <c r="F40" i="36"/>
  <c r="E40" i="29"/>
  <c r="H27" i="28"/>
  <c r="T27" s="1"/>
  <c r="E41" i="29"/>
  <c r="E24"/>
  <c r="F29" i="36"/>
  <c r="Q29" s="1"/>
  <c r="E75" i="29"/>
  <c r="H20" i="28"/>
  <c r="E26" i="29"/>
  <c r="Q26" s="1"/>
  <c r="E31"/>
  <c r="Q31" s="1"/>
  <c r="E76"/>
  <c r="H19" i="28"/>
  <c r="T19" s="1"/>
  <c r="H14"/>
  <c r="E72" i="29"/>
  <c r="E77"/>
  <c r="Q77" s="1"/>
  <c r="H22" i="28"/>
  <c r="T22" s="1"/>
  <c r="E28" i="29"/>
  <c r="Q28" s="1"/>
  <c r="H13" i="28"/>
  <c r="H18"/>
  <c r="E32" i="29"/>
  <c r="H24" i="28"/>
  <c r="T24" s="1"/>
  <c r="E74" i="29"/>
  <c r="E68"/>
  <c r="AB28" i="14"/>
  <c r="E23" i="29"/>
  <c r="L21" i="31"/>
  <c r="E41" i="13"/>
  <c r="E67" i="29" s="1"/>
  <c r="T16" i="28" l="1"/>
  <c r="Q43" i="36"/>
  <c r="Q35"/>
  <c r="Q25" i="29"/>
  <c r="T10" i="28"/>
  <c r="Q23" i="29"/>
  <c r="Q68"/>
  <c r="T18" i="28"/>
  <c r="T14"/>
  <c r="Q76" i="29"/>
  <c r="Q75"/>
  <c r="Q24"/>
  <c r="Q40" i="36"/>
  <c r="Q34"/>
  <c r="Q33"/>
  <c r="Q37"/>
  <c r="Q36"/>
  <c r="Q38"/>
  <c r="Q74" i="29"/>
  <c r="Q32"/>
  <c r="T13" i="28"/>
  <c r="Q72" i="29"/>
  <c r="Q41"/>
  <c r="Q40"/>
  <c r="Q39"/>
  <c r="Q34"/>
  <c r="Q43"/>
  <c r="Q33"/>
  <c r="Q37"/>
  <c r="Q36"/>
  <c r="Q38"/>
  <c r="Q39" i="36"/>
  <c r="T15" i="28"/>
  <c r="Q70" i="29"/>
  <c r="T12" i="28"/>
  <c r="Q30" i="29"/>
  <c r="F63" i="13"/>
  <c r="G22" i="36"/>
  <c r="G44" s="1"/>
  <c r="I8" i="28"/>
  <c r="F22" i="29"/>
  <c r="F67"/>
  <c r="D22"/>
  <c r="D63" i="13"/>
  <c r="G8" i="28"/>
  <c r="D67" i="29"/>
  <c r="E22" i="36"/>
  <c r="E44" s="1"/>
  <c r="Q67" i="29"/>
  <c r="F22" i="36"/>
  <c r="H8" i="28"/>
  <c r="T8" s="1"/>
  <c r="E22" i="29"/>
  <c r="Q22" s="1"/>
  <c r="M21" i="31"/>
  <c r="M43" s="1"/>
  <c r="L43"/>
  <c r="E63" i="13"/>
  <c r="H30" i="28" s="1"/>
  <c r="Q44" i="29" l="1"/>
  <c r="Q89"/>
  <c r="G30" i="28"/>
  <c r="D44" i="29"/>
  <c r="D89"/>
  <c r="G20" i="28"/>
  <c r="T20" s="1"/>
  <c r="T30" s="1"/>
  <c r="F89" i="29"/>
  <c r="I30" i="28"/>
  <c r="F44" i="29"/>
  <c r="E89"/>
  <c r="E44"/>
  <c r="F44" i="36"/>
  <c r="Q22"/>
  <c r="Q44" s="1"/>
</calcChain>
</file>

<file path=xl/comments1.xml><?xml version="1.0" encoding="utf-8"?>
<comments xmlns="http://schemas.openxmlformats.org/spreadsheetml/2006/main">
  <authors>
    <author>Fotis Tsiridis</author>
  </authors>
  <commentList>
    <comment ref="A1" authorId="0">
      <text>
        <r>
          <rPr>
            <b/>
            <sz val="9"/>
            <color indexed="81"/>
            <rFont val="Tahoma"/>
            <family val="2"/>
            <charset val="161"/>
          </rPr>
          <t>Fotis Tsiridis:</t>
        </r>
        <r>
          <rPr>
            <sz val="9"/>
            <color indexed="81"/>
            <rFont val="Tahoma"/>
            <family val="2"/>
            <charset val="161"/>
          </rPr>
          <t xml:space="preserve">
Αν δεν έχετε Αυτόνομη Θέρμανση, μπορείτε να πάρετε τη ΝΕΑ έκδοση, για Πολυκατοικίες ΧΩΡΙΣ αυτονομία, σύμφωνα με το Νόμο του 1985.</t>
        </r>
      </text>
    </comment>
    <comment ref="A2" authorId="0">
      <text>
        <r>
          <rPr>
            <b/>
            <sz val="9"/>
            <color indexed="81"/>
            <rFont val="Tahoma"/>
            <family val="2"/>
            <charset val="161"/>
          </rPr>
          <t>Fotis Tsiridis:</t>
        </r>
        <r>
          <rPr>
            <sz val="9"/>
            <color indexed="81"/>
            <rFont val="Tahoma"/>
            <family val="2"/>
            <charset val="161"/>
          </rPr>
          <t xml:space="preserve">
1)Κόκκινες Καρτέλες, για Μηνιαία Καταχώριση Στοιχείων.
2)Μπλε Καρτέλες, για Εκτύπωση Μηνιαίων Κοινοχρήστων.
3)Πράσινες Καρτέλες, για Αρχική Καταχώριση Στοιχείων.
4)Γκρι Καρτέλες, αν χρειαστούν &amp; Βοηθητικά.</t>
        </r>
      </text>
    </comment>
  </commentList>
</comments>
</file>

<file path=xl/comments2.xml><?xml version="1.0" encoding="utf-8"?>
<comments xmlns="http://schemas.openxmlformats.org/spreadsheetml/2006/main">
  <authors>
    <author>Fotis Tsiridis</author>
    <author>Fotis</author>
  </authors>
  <commentList>
    <comment ref="L20" authorId="0">
      <text>
        <r>
          <rPr>
            <b/>
            <sz val="9"/>
            <color indexed="81"/>
            <rFont val="Tahoma"/>
            <family val="2"/>
            <charset val="161"/>
          </rPr>
          <t>Fotis Tsiridis:</t>
        </r>
        <r>
          <rPr>
            <sz val="9"/>
            <color indexed="81"/>
            <rFont val="Tahoma"/>
            <family val="2"/>
            <charset val="161"/>
          </rPr>
          <t xml:space="preserve">
Έξοδα μήνα, συν Αξία Πετρελαίου που κάηκε, συν Αύξηση Παγίου αν υπάρχει.</t>
        </r>
      </text>
    </comment>
    <comment ref="D21" authorId="0">
      <text>
        <r>
          <rPr>
            <b/>
            <sz val="9"/>
            <color indexed="81"/>
            <rFont val="Tahoma"/>
            <family val="2"/>
            <charset val="161"/>
          </rPr>
          <t>Fotis Tsiridis:</t>
        </r>
        <r>
          <rPr>
            <sz val="9"/>
            <color indexed="81"/>
            <rFont val="Tahoma"/>
            <family val="2"/>
            <charset val="161"/>
          </rPr>
          <t xml:space="preserve">
Ειδική Επικόλληση εδώ με επιλογή μόνο Τιμές.</t>
        </r>
      </text>
    </comment>
    <comment ref="N21" authorId="0">
      <text>
        <r>
          <rPr>
            <b/>
            <sz val="9"/>
            <color indexed="81"/>
            <rFont val="Tahoma"/>
            <family val="2"/>
            <charset val="161"/>
          </rPr>
          <t>Fotis Tsiridis:</t>
        </r>
        <r>
          <rPr>
            <sz val="9"/>
            <color indexed="81"/>
            <rFont val="Tahoma"/>
            <family val="2"/>
            <charset val="161"/>
          </rPr>
          <t xml:space="preserve">
Ειδική Επικόλληση στο Κελί Εσόδων του 1ου Διαμερίσματος του μήνα των τρεχόντων Κοινοχρήστων, με επιλογή μόνο Τιμές.
π.χ. για τον Ιανουάριο του 2010, Ειδική Επικόλληση, Τιμές, στο Κελί D21.</t>
        </r>
      </text>
    </comment>
    <comment ref="K194" authorId="0">
      <text>
        <r>
          <rPr>
            <b/>
            <sz val="9"/>
            <color indexed="81"/>
            <rFont val="Tahoma"/>
            <family val="2"/>
            <charset val="161"/>
          </rPr>
          <t>Fotis Tsiridis:</t>
        </r>
        <r>
          <rPr>
            <sz val="9"/>
            <color indexed="81"/>
            <rFont val="Tahoma"/>
            <family val="2"/>
            <charset val="161"/>
          </rPr>
          <t xml:space="preserve">
Κελί με Κόκκινο Φόντο π.χ. G195 (Πάγιο Αποθεματικό, Μείον Αξία Πετρελαίου, Μείον Ολοκληρωμένο Ταμείο), Μείον Προβλεπόμενο Υπόλοιπο.</t>
        </r>
      </text>
    </comment>
    <comment ref="L194" authorId="1">
      <text>
        <r>
          <rPr>
            <b/>
            <sz val="9"/>
            <color indexed="81"/>
            <rFont val="Tahoma"/>
            <charset val="1"/>
          </rPr>
          <t>Fotis:</t>
        </r>
        <r>
          <rPr>
            <sz val="9"/>
            <color indexed="81"/>
            <rFont val="Tahoma"/>
            <charset val="1"/>
          </rPr>
          <t xml:space="preserve">
Συνολικά Προβλεπόμενα Έσοδα, Μείον Συνολικά Ολοκληρωμένα Έσοδα, Μείον Αξία Πετρελαίου.</t>
        </r>
      </text>
    </comment>
    <comment ref="M194" authorId="1">
      <text>
        <r>
          <rPr>
            <b/>
            <sz val="9"/>
            <color indexed="81"/>
            <rFont val="Tahoma"/>
            <charset val="1"/>
          </rPr>
          <t>Fotis:</t>
        </r>
        <r>
          <rPr>
            <sz val="9"/>
            <color indexed="81"/>
            <rFont val="Tahoma"/>
            <charset val="1"/>
          </rPr>
          <t xml:space="preserve">
Συνολικά Προβλεπόμενα ΕΞΟΔΑ, Μείον Συνολικά Ολοκληρωμένα ΕΞΟΔΑ, Μείον Πάγιο Αποθεματικό.</t>
        </r>
      </text>
    </comment>
    <comment ref="N194" authorId="0">
      <text>
        <r>
          <rPr>
            <b/>
            <sz val="9"/>
            <color indexed="81"/>
            <rFont val="Tahoma"/>
            <family val="2"/>
            <charset val="161"/>
          </rPr>
          <t>Fotis Tsiridis:</t>
        </r>
        <r>
          <rPr>
            <sz val="9"/>
            <color indexed="81"/>
            <rFont val="Tahoma"/>
            <family val="2"/>
            <charset val="161"/>
          </rPr>
          <t xml:space="preserve">
Οφειλές Ενοίκων Μείον Προβλεπόμενα ΕΞΟΔΑ.</t>
        </r>
      </text>
    </comment>
  </commentList>
</comments>
</file>

<file path=xl/comments3.xml><?xml version="1.0" encoding="utf-8"?>
<comments xmlns="http://schemas.openxmlformats.org/spreadsheetml/2006/main">
  <authors>
    <author>Fotis Tsiridis</author>
  </authors>
  <commentList>
    <comment ref="F13" authorId="0">
      <text>
        <r>
          <rPr>
            <b/>
            <sz val="9"/>
            <color indexed="81"/>
            <rFont val="Tahoma"/>
            <family val="2"/>
            <charset val="161"/>
          </rPr>
          <t>Fotis Tsiridis:</t>
        </r>
        <r>
          <rPr>
            <sz val="9"/>
            <color indexed="81"/>
            <rFont val="Tahoma"/>
            <family val="2"/>
            <charset val="161"/>
          </rPr>
          <t xml:space="preserve">
Καταχωρήστε εδώ τα Λίτρα του Πετρελαίου που είχε πιθανόν η Δεξαμενή αρχικά και ελέγξτε το κελί N12 αν έχει το σωστό ύψος σε cm.</t>
        </r>
      </text>
    </comment>
  </commentList>
</comments>
</file>

<file path=xl/comments4.xml><?xml version="1.0" encoding="utf-8"?>
<comments xmlns="http://schemas.openxmlformats.org/spreadsheetml/2006/main">
  <authors>
    <author>Fotis</author>
    <author>Fotis Tsiridis</author>
  </authors>
  <commentList>
    <comment ref="P4" authorId="0">
      <text>
        <r>
          <rPr>
            <b/>
            <sz val="9"/>
            <color indexed="81"/>
            <rFont val="Tahoma"/>
            <family val="2"/>
            <charset val="161"/>
          </rPr>
          <t>Fotis:</t>
        </r>
        <r>
          <rPr>
            <sz val="9"/>
            <color indexed="81"/>
            <rFont val="Tahoma"/>
            <family val="2"/>
            <charset val="161"/>
          </rPr>
          <t xml:space="preserve">
εi*1000</t>
        </r>
      </text>
    </comment>
    <comment ref="AA4" authorId="0">
      <text>
        <r>
          <rPr>
            <b/>
            <sz val="9"/>
            <color indexed="81"/>
            <rFont val="Tahoma"/>
            <family val="2"/>
            <charset val="161"/>
          </rPr>
          <t>Fotis:</t>
        </r>
        <r>
          <rPr>
            <sz val="9"/>
            <color indexed="81"/>
            <rFont val="Tahoma"/>
            <family val="2"/>
            <charset val="161"/>
          </rPr>
          <t xml:space="preserve">
εi*1000</t>
        </r>
      </text>
    </comment>
    <comment ref="R6" authorId="1">
      <text>
        <r>
          <rPr>
            <b/>
            <sz val="9"/>
            <color indexed="81"/>
            <rFont val="Tahoma"/>
            <family val="2"/>
            <charset val="161"/>
          </rPr>
          <t>Fotis Tsiridis:</t>
        </r>
        <r>
          <rPr>
            <sz val="9"/>
            <color indexed="81"/>
            <rFont val="Tahoma"/>
            <family val="2"/>
            <charset val="161"/>
          </rPr>
          <t xml:space="preserve">
Αν συμπληρώσουμε τη Μελέτη, γράφουμε: =Μελέτη!T6
και το "σέρνουμε" κάτω.</t>
        </r>
      </text>
    </comment>
    <comment ref="S6" authorId="1">
      <text>
        <r>
          <rPr>
            <b/>
            <sz val="9"/>
            <color indexed="81"/>
            <rFont val="Tahoma"/>
            <family val="2"/>
            <charset val="161"/>
          </rPr>
          <t>Fotis Tsiridis:</t>
        </r>
        <r>
          <rPr>
            <sz val="9"/>
            <color indexed="81"/>
            <rFont val="Tahoma"/>
            <family val="2"/>
            <charset val="161"/>
          </rPr>
          <t xml:space="preserve">
Αν συμπληρώσουμε τη Μελέτη, γράφουμε: =Μελέτη!J6
και το "σέρνουμε" κάτω.</t>
        </r>
      </text>
    </comment>
    <comment ref="T6" authorId="0">
      <text>
        <r>
          <rPr>
            <b/>
            <sz val="9"/>
            <color indexed="81"/>
            <rFont val="Tahoma"/>
            <charset val="1"/>
          </rPr>
          <t>Fotis:</t>
        </r>
        <r>
          <rPr>
            <sz val="9"/>
            <color indexed="81"/>
            <rFont val="Tahoma"/>
            <charset val="1"/>
          </rPr>
          <t xml:space="preserve">
Αν χρησιμοποιούμε τους ίδιους Συντελεστές Κοινοχρήστων, γράφουμε: =V6
και το "σέρνουμε" κάτω.</t>
        </r>
      </text>
    </comment>
    <comment ref="U6" authorId="0">
      <text>
        <r>
          <rPr>
            <b/>
            <sz val="9"/>
            <color indexed="81"/>
            <rFont val="Tahoma"/>
            <charset val="1"/>
          </rPr>
          <t>Fotis:</t>
        </r>
        <r>
          <rPr>
            <sz val="9"/>
            <color indexed="81"/>
            <rFont val="Tahoma"/>
            <charset val="1"/>
          </rPr>
          <t xml:space="preserve">
Αν χρησιμοποιούμε τους ίδιους Συντελεστές Κοινοχρήστων, γράφουμε: =V6
και το "σέρνουμε" κάτω.</t>
        </r>
      </text>
    </comment>
    <comment ref="B30" authorId="1">
      <text>
        <r>
          <rPr>
            <b/>
            <sz val="9"/>
            <color indexed="81"/>
            <rFont val="Tahoma"/>
            <family val="2"/>
            <charset val="161"/>
          </rPr>
          <t>Fotis Tsiridis:</t>
        </r>
        <r>
          <rPr>
            <sz val="9"/>
            <color indexed="81"/>
            <rFont val="Tahoma"/>
            <family val="2"/>
            <charset val="161"/>
          </rPr>
          <t xml:space="preserve">
Ποσοστό Συμμετοχής.
Π.χ. 0 (μηδέν) για Συμμετοχή 0% που είναι Απαλλαγή 100%.</t>
        </r>
      </text>
    </comment>
    <comment ref="C30" authorId="1">
      <text>
        <r>
          <rPr>
            <b/>
            <sz val="9"/>
            <color indexed="81"/>
            <rFont val="Tahoma"/>
            <family val="2"/>
            <charset val="161"/>
          </rPr>
          <t>Fotis Tsiridis:</t>
        </r>
        <r>
          <rPr>
            <sz val="9"/>
            <color indexed="81"/>
            <rFont val="Tahoma"/>
            <family val="2"/>
            <charset val="161"/>
          </rPr>
          <t xml:space="preserve">
Επιλογή στη στήλη 3, των Διαμερισμάτων που έχουν κάποια μικρότερη Συμμετοχή (π.χ. 50% ή 0%), με "ΝΑΙ".</t>
        </r>
      </text>
    </comment>
  </commentList>
</comments>
</file>

<file path=xl/comments5.xml><?xml version="1.0" encoding="utf-8"?>
<comments xmlns="http://schemas.openxmlformats.org/spreadsheetml/2006/main">
  <authors>
    <author>Fotis Tsiridis</author>
  </authors>
  <commentList>
    <comment ref="E3" authorId="0">
      <text>
        <r>
          <rPr>
            <b/>
            <sz val="9"/>
            <color indexed="81"/>
            <rFont val="Tahoma"/>
            <family val="2"/>
            <charset val="161"/>
          </rPr>
          <t>Fotis Tsiridis:</t>
        </r>
        <r>
          <rPr>
            <sz val="9"/>
            <color indexed="81"/>
            <rFont val="Tahoma"/>
            <family val="2"/>
            <charset val="161"/>
          </rPr>
          <t xml:space="preserve">
Ποσοστό ΜΕΙΩΣΗΣ του Πάγιου Θέρμανσης fi*εi, ανά Διαμέρισμα.
Κενό ή 0 (μηδέν), αν δεν υπάρχει Μείωση.</t>
        </r>
      </text>
    </comment>
    <comment ref="G27" authorId="0">
      <text>
        <r>
          <rPr>
            <b/>
            <sz val="9"/>
            <color indexed="81"/>
            <rFont val="Tahoma"/>
            <family val="2"/>
            <charset val="161"/>
          </rPr>
          <t>Fotis Tsiridis:</t>
        </r>
        <r>
          <rPr>
            <sz val="9"/>
            <color indexed="81"/>
            <rFont val="Tahoma"/>
            <family val="2"/>
            <charset val="161"/>
          </rPr>
          <t xml:space="preserve">
Ποσοστό Αυτονομίας, δηλαδή Συνολικό Ποσοστό Κατανομής Δαπάνης Θέρμανσης, ασχέτως ωρών. Το παλιό περιβόητο 30%, εδώ είναι το αρχικό της Μηχανολογικής Μελέτης.</t>
        </r>
      </text>
    </comment>
    <comment ref="H27" authorId="0">
      <text>
        <r>
          <rPr>
            <b/>
            <sz val="9"/>
            <color indexed="81"/>
            <rFont val="Tahoma"/>
            <family val="2"/>
            <charset val="161"/>
          </rPr>
          <t>Fotis Tsiridis:</t>
        </r>
        <r>
          <rPr>
            <sz val="9"/>
            <color indexed="81"/>
            <rFont val="Tahoma"/>
            <family val="2"/>
            <charset val="161"/>
          </rPr>
          <t xml:space="preserve">
Ποσοστό Αυτονομίας, δηλαδή Συνολικό Ποσοστό Κατανομής Δαπάνης Θέρμανσης, ασχέτως ωρών. Το παλιό περιβόητο 30%, που εδώ είναι το τελικό, μετά τις απαλλαγές και την ανακατανομή των Χιλιοστών όσων απαλλάσσονται, σε βάρος των υπολοίπων.</t>
        </r>
      </text>
    </comment>
  </commentList>
</comments>
</file>

<file path=xl/comments6.xml><?xml version="1.0" encoding="utf-8"?>
<comments xmlns="http://schemas.openxmlformats.org/spreadsheetml/2006/main">
  <authors>
    <author>Fotis</author>
  </authors>
  <commentList>
    <comment ref="F9" authorId="0">
      <text>
        <r>
          <rPr>
            <b/>
            <sz val="9"/>
            <color indexed="81"/>
            <rFont val="Tahoma"/>
            <family val="2"/>
            <charset val="161"/>
          </rPr>
          <t>Fotis:</t>
        </r>
        <r>
          <rPr>
            <sz val="9"/>
            <color indexed="81"/>
            <rFont val="Tahoma"/>
            <family val="2"/>
            <charset val="161"/>
          </rPr>
          <t xml:space="preserve">
Καρτέλα "Διαμερίσματα", Στήλη 14.</t>
        </r>
      </text>
    </comment>
    <comment ref="F10" authorId="0">
      <text>
        <r>
          <rPr>
            <b/>
            <sz val="9"/>
            <color indexed="81"/>
            <rFont val="Tahoma"/>
            <family val="2"/>
            <charset val="161"/>
          </rPr>
          <t>Fotis:</t>
        </r>
        <r>
          <rPr>
            <sz val="9"/>
            <color indexed="81"/>
            <rFont val="Tahoma"/>
            <family val="2"/>
            <charset val="161"/>
          </rPr>
          <t xml:space="preserve">
Καρτέλα "Διαμερίσματα", Στήλη 14.</t>
        </r>
      </text>
    </comment>
    <comment ref="F11" authorId="0">
      <text>
        <r>
          <rPr>
            <b/>
            <sz val="9"/>
            <color indexed="81"/>
            <rFont val="Tahoma"/>
            <family val="2"/>
            <charset val="161"/>
          </rPr>
          <t>Fotis:</t>
        </r>
        <r>
          <rPr>
            <sz val="9"/>
            <color indexed="81"/>
            <rFont val="Tahoma"/>
            <family val="2"/>
            <charset val="161"/>
          </rPr>
          <t xml:space="preserve">
Καρτέλα "Διαμερίσματα", Στήλη 14.</t>
        </r>
      </text>
    </comment>
    <comment ref="F12" authorId="0">
      <text>
        <r>
          <rPr>
            <b/>
            <sz val="9"/>
            <color indexed="81"/>
            <rFont val="Tahoma"/>
            <family val="2"/>
            <charset val="161"/>
          </rPr>
          <t>Fotis:</t>
        </r>
        <r>
          <rPr>
            <sz val="9"/>
            <color indexed="81"/>
            <rFont val="Tahoma"/>
            <family val="2"/>
            <charset val="161"/>
          </rPr>
          <t xml:space="preserve">
Καρτέλα "Διαμερίσματα", Στήλη 12.</t>
        </r>
      </text>
    </comment>
    <comment ref="F13" authorId="0">
      <text>
        <r>
          <rPr>
            <b/>
            <sz val="9"/>
            <color indexed="81"/>
            <rFont val="Tahoma"/>
            <family val="2"/>
            <charset val="161"/>
          </rPr>
          <t>Fotis:</t>
        </r>
        <r>
          <rPr>
            <sz val="9"/>
            <color indexed="81"/>
            <rFont val="Tahoma"/>
            <family val="2"/>
            <charset val="161"/>
          </rPr>
          <t xml:space="preserve">
Καρτέλα "Διαμερίσματα", Στήλη 13.</t>
        </r>
      </text>
    </comment>
    <comment ref="F14" authorId="0">
      <text>
        <r>
          <rPr>
            <b/>
            <sz val="9"/>
            <color indexed="81"/>
            <rFont val="Tahoma"/>
            <family val="2"/>
            <charset val="161"/>
          </rPr>
          <t>Fotis:</t>
        </r>
        <r>
          <rPr>
            <sz val="9"/>
            <color indexed="81"/>
            <rFont val="Tahoma"/>
            <family val="2"/>
            <charset val="161"/>
          </rPr>
          <t xml:space="preserve">
Καρτέλα "Διαμερίσματα", Στήλη 13.</t>
        </r>
      </text>
    </comment>
    <comment ref="F16" authorId="0">
      <text>
        <r>
          <rPr>
            <b/>
            <sz val="9"/>
            <color indexed="81"/>
            <rFont val="Tahoma"/>
            <family val="2"/>
            <charset val="161"/>
          </rPr>
          <t>Fotis:</t>
        </r>
        <r>
          <rPr>
            <sz val="9"/>
            <color indexed="81"/>
            <rFont val="Tahoma"/>
            <family val="2"/>
            <charset val="161"/>
          </rPr>
          <t xml:space="preserve">
Καρτέλα "Διαμερίσματα", Στήλη 16.</t>
        </r>
      </text>
    </comment>
    <comment ref="F17" authorId="0">
      <text>
        <r>
          <rPr>
            <b/>
            <sz val="9"/>
            <color indexed="81"/>
            <rFont val="Tahoma"/>
            <family val="2"/>
            <charset val="161"/>
          </rPr>
          <t>Fotis:</t>
        </r>
        <r>
          <rPr>
            <sz val="9"/>
            <color indexed="81"/>
            <rFont val="Tahoma"/>
            <family val="2"/>
            <charset val="161"/>
          </rPr>
          <t xml:space="preserve">
Καρτέλα "Διαμερίσματα", Στήλη 13.</t>
        </r>
      </text>
    </comment>
    <comment ref="F18" authorId="0">
      <text>
        <r>
          <rPr>
            <b/>
            <sz val="9"/>
            <color indexed="81"/>
            <rFont val="Tahoma"/>
            <family val="2"/>
            <charset val="161"/>
          </rPr>
          <t>Fotis:</t>
        </r>
        <r>
          <rPr>
            <sz val="9"/>
            <color indexed="81"/>
            <rFont val="Tahoma"/>
            <family val="2"/>
            <charset val="161"/>
          </rPr>
          <t xml:space="preserve">
Καρτέλα "Διαμερίσματα", Στήλη 13.</t>
        </r>
      </text>
    </comment>
    <comment ref="F19" authorId="0">
      <text>
        <r>
          <rPr>
            <b/>
            <sz val="9"/>
            <color indexed="81"/>
            <rFont val="Tahoma"/>
            <family val="2"/>
            <charset val="161"/>
          </rPr>
          <t>Fotis:</t>
        </r>
        <r>
          <rPr>
            <sz val="9"/>
            <color indexed="81"/>
            <rFont val="Tahoma"/>
            <family val="2"/>
            <charset val="161"/>
          </rPr>
          <t xml:space="preserve">
Καρτέλα "Διαμερίσματα", Στήλη 13.</t>
        </r>
      </text>
    </comment>
    <comment ref="F20" authorId="0">
      <text>
        <r>
          <rPr>
            <b/>
            <sz val="9"/>
            <color indexed="81"/>
            <rFont val="Tahoma"/>
            <family val="2"/>
            <charset val="161"/>
          </rPr>
          <t>Fotis:</t>
        </r>
        <r>
          <rPr>
            <sz val="9"/>
            <color indexed="81"/>
            <rFont val="Tahoma"/>
            <family val="2"/>
            <charset val="161"/>
          </rPr>
          <t xml:space="preserve">
Σε ίσα μέρη.</t>
        </r>
      </text>
    </comment>
  </commentList>
</comments>
</file>

<file path=xl/comments7.xml><?xml version="1.0" encoding="utf-8"?>
<comments xmlns="http://schemas.openxmlformats.org/spreadsheetml/2006/main">
  <authors>
    <author>Fotis Tsiridis</author>
  </authors>
  <commentList>
    <comment ref="D2" authorId="0">
      <text>
        <r>
          <rPr>
            <b/>
            <sz val="9"/>
            <color indexed="81"/>
            <rFont val="Tahoma"/>
            <family val="2"/>
            <charset val="161"/>
          </rPr>
          <t>Fotis Tsiridis:</t>
        </r>
        <r>
          <rPr>
            <sz val="9"/>
            <color indexed="81"/>
            <rFont val="Tahoma"/>
            <family val="2"/>
            <charset val="161"/>
          </rPr>
          <t xml:space="preserve">
Στο μεγάλο κείμενο, Αλλαγή Σειράς γίνεται με ALT+ENTER.</t>
        </r>
      </text>
    </comment>
  </commentList>
</comments>
</file>

<file path=xl/comments8.xml><?xml version="1.0" encoding="utf-8"?>
<comments xmlns="http://schemas.openxmlformats.org/spreadsheetml/2006/main">
  <authors>
    <author>Fotis</author>
  </authors>
  <commentList>
    <comment ref="A4" authorId="0">
      <text>
        <r>
          <rPr>
            <b/>
            <sz val="9"/>
            <color indexed="81"/>
            <rFont val="Tahoma"/>
            <family val="2"/>
            <charset val="161"/>
          </rPr>
          <t>Fotis:</t>
        </r>
        <r>
          <rPr>
            <sz val="9"/>
            <color indexed="81"/>
            <rFont val="Tahoma"/>
            <family val="2"/>
            <charset val="161"/>
          </rPr>
          <t xml:space="preserve">
Παράδειγμα Καμπυλότητας σε mm: 70mm=7cm=0,07m</t>
        </r>
      </text>
    </comment>
    <comment ref="E4" authorId="0">
      <text>
        <r>
          <rPr>
            <b/>
            <sz val="9"/>
            <color indexed="81"/>
            <rFont val="Tahoma"/>
            <family val="2"/>
            <charset val="161"/>
          </rPr>
          <t>Fotis:</t>
        </r>
        <r>
          <rPr>
            <sz val="9"/>
            <color indexed="81"/>
            <rFont val="Tahoma"/>
            <family val="2"/>
            <charset val="161"/>
          </rPr>
          <t xml:space="preserve">
Η μόνη στήλη σε cm.</t>
        </r>
      </text>
    </comment>
  </commentList>
</comments>
</file>

<file path=xl/comments9.xml><?xml version="1.0" encoding="utf-8"?>
<comments xmlns="http://schemas.openxmlformats.org/spreadsheetml/2006/main">
  <authors>
    <author>Fotis</author>
  </authors>
  <commentList>
    <comment ref="E3" authorId="0">
      <text>
        <r>
          <rPr>
            <b/>
            <sz val="9"/>
            <color indexed="81"/>
            <rFont val="Tahoma"/>
            <family val="2"/>
            <charset val="161"/>
          </rPr>
          <t>Fotis:</t>
        </r>
        <r>
          <rPr>
            <sz val="9"/>
            <color indexed="81"/>
            <rFont val="Tahoma"/>
            <family val="2"/>
            <charset val="161"/>
          </rPr>
          <t xml:space="preserve">
Το Συμβατικό Ύψος για ορθογώνια Δεξαμενή (που βρίσκουμε εδώ), το γράφουμε στη στήλη S της Καρτέλας "Πετρέλαιο".</t>
        </r>
      </text>
    </comment>
    <comment ref="A4" authorId="0">
      <text>
        <r>
          <rPr>
            <b/>
            <sz val="9"/>
            <color indexed="81"/>
            <rFont val="Tahoma"/>
            <family val="2"/>
            <charset val="161"/>
          </rPr>
          <t>Fotis:</t>
        </r>
        <r>
          <rPr>
            <sz val="9"/>
            <color indexed="81"/>
            <rFont val="Tahoma"/>
            <family val="2"/>
            <charset val="161"/>
          </rPr>
          <t xml:space="preserve">
Αλλάζουμε 1 φορά (αν χρειαστεί), τα μεγέθη στα γκρι κελιά (με τα κόκκινα νούμερα).</t>
        </r>
      </text>
    </comment>
    <comment ref="A5" authorId="0">
      <text>
        <r>
          <rPr>
            <b/>
            <sz val="9"/>
            <color indexed="81"/>
            <rFont val="Tahoma"/>
            <family val="2"/>
            <charset val="161"/>
          </rPr>
          <t>Fotis:</t>
        </r>
        <r>
          <rPr>
            <sz val="9"/>
            <color indexed="81"/>
            <rFont val="Tahoma"/>
            <family val="2"/>
            <charset val="161"/>
          </rPr>
          <t xml:space="preserve">
Γράφουμε Ύψος μεταξύ των 2 τιμών εκατέρωθεν, δηλαδή από 9,5 μέχρι 17,5.</t>
        </r>
      </text>
    </comment>
  </commentList>
</comments>
</file>

<file path=xl/comments10.xml><?xml version="1.0" encoding="utf-8"?>
<comments xmlns="http://schemas.openxmlformats.org/spreadsheetml/2006/main">
  <authors>
    <author>Fotis Tsiridis</author>
  </authors>
  <commentList>
    <comment ref="O4" authorId="0">
      <text>
        <r>
          <rPr>
            <b/>
            <sz val="9"/>
            <color indexed="81"/>
            <rFont val="Tahoma"/>
            <family val="2"/>
            <charset val="161"/>
          </rPr>
          <t>Fotis Tsiridis:</t>
        </r>
        <r>
          <rPr>
            <sz val="9"/>
            <color indexed="81"/>
            <rFont val="Tahoma"/>
            <family val="2"/>
            <charset val="161"/>
          </rPr>
          <t xml:space="preserve">
Βάζουμε 0,06 αν οι ΚΕΝΤΡΙΚΕΣ σωληνώσεις διέρχονται από το κλιμακοστάσιο.</t>
        </r>
      </text>
    </comment>
    <comment ref="AA6" authorId="0">
      <text>
        <r>
          <rPr>
            <b/>
            <sz val="9"/>
            <color indexed="81"/>
            <rFont val="Tahoma"/>
            <family val="2"/>
            <charset val="161"/>
          </rPr>
          <t>Fotis Tsiridis:</t>
        </r>
        <r>
          <rPr>
            <sz val="9"/>
            <color indexed="81"/>
            <rFont val="Tahoma"/>
            <family val="2"/>
            <charset val="161"/>
          </rPr>
          <t xml:space="preserve">
π ή δ για Πυλωτή ή Δώμα αντίστοιχα.</t>
        </r>
      </text>
    </comment>
  </commentList>
</comments>
</file>

<file path=xl/comments11.xml><?xml version="1.0" encoding="utf-8"?>
<comments xmlns="http://schemas.openxmlformats.org/spreadsheetml/2006/main">
  <authors>
    <author>Fotis Tsiridis</author>
  </authors>
  <commentList>
    <comment ref="B19" authorId="0">
      <text>
        <r>
          <rPr>
            <b/>
            <sz val="9"/>
            <color indexed="81"/>
            <rFont val="Tahoma"/>
            <family val="2"/>
            <charset val="161"/>
          </rPr>
          <t>Fotis Tsiridis:</t>
        </r>
        <r>
          <rPr>
            <sz val="9"/>
            <color indexed="81"/>
            <rFont val="Tahoma"/>
            <family val="2"/>
            <charset val="161"/>
          </rPr>
          <t xml:space="preserve">
Τον κάλεσα με SMS από 30-6-2009, λόγω διακοπής λειτουργίας (κούρσες).</t>
        </r>
      </text>
    </comment>
  </commentList>
</comments>
</file>

<file path=xl/sharedStrings.xml><?xml version="1.0" encoding="utf-8"?>
<sst xmlns="http://schemas.openxmlformats.org/spreadsheetml/2006/main" count="1252" uniqueCount="618">
  <si>
    <t>fi</t>
  </si>
  <si>
    <t>εi</t>
  </si>
  <si>
    <t>Ωi</t>
  </si>
  <si>
    <t>fi*εi</t>
  </si>
  <si>
    <t>Ωi*εi</t>
  </si>
  <si>
    <t>Σ(Ωi*εi)</t>
  </si>
  <si>
    <t>Σ(fi*εi)</t>
  </si>
  <si>
    <t>(Ωi*εi)/Σ(Ωi*εi)</t>
  </si>
  <si>
    <t>1-Σ(fi*εi)</t>
  </si>
  <si>
    <t>[(Ωi*εi)/Σ(Ωi*εi)]*[1-Σ(fi*εi)]</t>
  </si>
  <si>
    <t>πi</t>
  </si>
  <si>
    <t>Διαμέρισμα</t>
  </si>
  <si>
    <t>Α1</t>
  </si>
  <si>
    <t>Α2</t>
  </si>
  <si>
    <t>Β1</t>
  </si>
  <si>
    <t>Γ1</t>
  </si>
  <si>
    <t>Γ2</t>
  </si>
  <si>
    <t>Δ1</t>
  </si>
  <si>
    <t>Δ2</t>
  </si>
  <si>
    <t>Ε1</t>
  </si>
  <si>
    <t>Πετρέλαιο που κάηκε</t>
  </si>
  <si>
    <t>Λίτρα</t>
  </si>
  <si>
    <t>Κόστος</t>
  </si>
  <si>
    <t>ΣΥΝΟΛΑ</t>
  </si>
  <si>
    <t>Α/Α</t>
  </si>
  <si>
    <t>1ος</t>
  </si>
  <si>
    <t>2ος</t>
  </si>
  <si>
    <t>3ος</t>
  </si>
  <si>
    <t>Όροφος</t>
  </si>
  <si>
    <t>Ιδιοκτήτης</t>
  </si>
  <si>
    <t>Κατηγορία</t>
  </si>
  <si>
    <t>Εμβαδόν</t>
  </si>
  <si>
    <t>Αιτιολογία</t>
  </si>
  <si>
    <t>Χιλιοστά</t>
  </si>
  <si>
    <t>Ανελκυστήρας</t>
  </si>
  <si>
    <t>Έξοδα Κήπου</t>
  </si>
  <si>
    <t>Έξοδα Ιδιοκτητών</t>
  </si>
  <si>
    <t>Λοιπά Έξοδα</t>
  </si>
  <si>
    <t>Θέρμανση</t>
  </si>
  <si>
    <t>Γενικά Κοινόχρηστα</t>
  </si>
  <si>
    <t>Κωδικός</t>
  </si>
  <si>
    <t>Α3</t>
  </si>
  <si>
    <t>Ζ1</t>
  </si>
  <si>
    <t>Συντήρηση Πολυκατοικίας</t>
  </si>
  <si>
    <t>Πάγιο Αποθεματικό</t>
  </si>
  <si>
    <t>ΔΕΗ Κοινόχρηστων Χώρων</t>
  </si>
  <si>
    <t>Καθαρισμός Κοινόχρηστων Χώρων</t>
  </si>
  <si>
    <t>Υλικά Αναλώσιμα (Λάμπες κλπ)</t>
  </si>
  <si>
    <t>Συντήρηση Ανελκυστήρα</t>
  </si>
  <si>
    <t>Συντήρηση Κήπου</t>
  </si>
  <si>
    <t>Συντήρηση Καυστήρα</t>
  </si>
  <si>
    <t>Η1</t>
  </si>
  <si>
    <t>Η2</t>
  </si>
  <si>
    <t>Διαχείριση</t>
  </si>
  <si>
    <t>Αμοιβή Διαχειριστή</t>
  </si>
  <si>
    <t>Έκδοση Κοινοχρήστων</t>
  </si>
  <si>
    <t>Πληρωτέο Ποσό</t>
  </si>
  <si>
    <t>Κ Ο Ι Ν Ο Χ Ρ Η Σ Τ Α :</t>
  </si>
  <si>
    <t>Ολική Δαπάνη</t>
  </si>
  <si>
    <t>Τηλέφωνο:</t>
  </si>
  <si>
    <t>τ.μ.</t>
  </si>
  <si>
    <t>Ιδιοκτήτης:</t>
  </si>
  <si>
    <t>Ένοικος:</t>
  </si>
  <si>
    <t>Σ  Υ  Ν  Ο  Λ  Α</t>
  </si>
  <si>
    <t>Στοιχείο</t>
  </si>
  <si>
    <t>Έτος</t>
  </si>
  <si>
    <t>Μήνας</t>
  </si>
  <si>
    <t>Θέση</t>
  </si>
  <si>
    <t>Διεύθυνση</t>
  </si>
  <si>
    <t>4ος</t>
  </si>
  <si>
    <t>Είδος Κτιρίου</t>
  </si>
  <si>
    <t>Πολυκατοικία :</t>
  </si>
  <si>
    <t>Είδος Εκτύπωσης</t>
  </si>
  <si>
    <t>Επεξεργασία</t>
  </si>
  <si>
    <t>Διαχειριστής</t>
  </si>
  <si>
    <t>Δ Α Π Α Ν Ε Σ :</t>
  </si>
  <si>
    <t>Δ Ι Α Μ Ε Ρ Ι Σ Μ Α Τ Α :</t>
  </si>
  <si>
    <t>ΑΥΤΟΝΟΜΗ  ΘΕΡΜΑΝΣΗ:</t>
  </si>
  <si>
    <t>Ένοικος</t>
  </si>
  <si>
    <t>Τηλέφωνο</t>
  </si>
  <si>
    <t>Κινητό</t>
  </si>
  <si>
    <t>Ανελκ</t>
  </si>
  <si>
    <t>Θέρμ</t>
  </si>
  <si>
    <t>Κοιν</t>
  </si>
  <si>
    <t>Συντελεστές</t>
  </si>
  <si>
    <t>Όνομα</t>
  </si>
  <si>
    <t>Όροφος :</t>
  </si>
  <si>
    <t>Επεξεργασία: Φ.Τσιρίδης, 6977-66.66.99</t>
  </si>
  <si>
    <t>ΩΡΕΣ   ΛΕΙΤΟΥΡΓΙΑΣ   ΑΝΑ   ΔΙΑΜΕΡΙΣΜΑ   &amp;   ΜΗΝΑ</t>
  </si>
  <si>
    <t>Μετρητής</t>
  </si>
  <si>
    <t>Ώρες</t>
  </si>
  <si>
    <t>Μετρητές  &amp;  Ώρες:</t>
  </si>
  <si>
    <t>Σ Υ Ν Ο Λ Α</t>
  </si>
  <si>
    <t>Δεξαμενή Πετρελαίου</t>
  </si>
  <si>
    <t>Μήκος</t>
  </si>
  <si>
    <t>Πλάτος</t>
  </si>
  <si>
    <t>Ύψος</t>
  </si>
  <si>
    <t>ΜχΠ</t>
  </si>
  <si>
    <t>ΜχΠχΥ</t>
  </si>
  <si>
    <t>Όγκος σε Λίτρα</t>
  </si>
  <si>
    <t>Διαστάσεις σε Μέτρα</t>
  </si>
  <si>
    <t>Εμβαδόν m2</t>
  </si>
  <si>
    <t>Όγκος m3</t>
  </si>
  <si>
    <t>Λίτρα ανά cm</t>
  </si>
  <si>
    <t>Αγορά</t>
  </si>
  <si>
    <t>ΝΕΟ Υπόλοιπο</t>
  </si>
  <si>
    <t>Προμήθεια</t>
  </si>
  <si>
    <t>Προμηθευτής</t>
  </si>
  <si>
    <t>Απόδειξη Λιαν.Πώλ.</t>
  </si>
  <si>
    <t>ΝΈΟ</t>
  </si>
  <si>
    <t>Πετρέλαιο που Κάηκε</t>
  </si>
  <si>
    <t>σε Λίτρα</t>
  </si>
  <si>
    <t>Ύψος ΝΈΟ</t>
  </si>
  <si>
    <t>Μείωση Ύψους</t>
  </si>
  <si>
    <t>Προη- γούμενο</t>
  </si>
  <si>
    <t>Κόστος Αγοράς σε €</t>
  </si>
  <si>
    <t>Προηγ. Υπόλοιπο</t>
  </si>
  <si>
    <t>Υπολογισμός Κόστους Πετρελαίου που Κάηκε για την Κατανομή στα Κοινόχρηστα</t>
  </si>
  <si>
    <t>Ποσότητα (Λίτρα)</t>
  </si>
  <si>
    <t>http://lavrio.web.officelive.com/kinohrista.aspx</t>
  </si>
  <si>
    <t>Εταιρεία Πετρελαίου</t>
  </si>
  <si>
    <t>Ύψος Δεξαμενής σε cm</t>
  </si>
  <si>
    <t>Νεάπολη - ΛΑΥΡΙΟ.</t>
  </si>
  <si>
    <t>Μελέτη</t>
  </si>
  <si>
    <t>Qολ</t>
  </si>
  <si>
    <t>Kcal/h</t>
  </si>
  <si>
    <t>Qfi</t>
  </si>
  <si>
    <t>Qai</t>
  </si>
  <si>
    <t>Vi</t>
  </si>
  <si>
    <t>m3</t>
  </si>
  <si>
    <t>Qi</t>
  </si>
  <si>
    <t>Fεξi</t>
  </si>
  <si>
    <t>Fπαρi</t>
  </si>
  <si>
    <t>m2</t>
  </si>
  <si>
    <t>σFi</t>
  </si>
  <si>
    <t>ωi</t>
  </si>
  <si>
    <t>xi</t>
  </si>
  <si>
    <t>Fi</t>
  </si>
  <si>
    <t>y</t>
  </si>
  <si>
    <t>zi</t>
  </si>
  <si>
    <r>
      <t>1</t>
    </r>
    <r>
      <rPr>
        <sz val="8"/>
        <rFont val="Calibri"/>
        <family val="2"/>
        <charset val="161"/>
        <scheme val="minor"/>
      </rPr>
      <t>η Στήλη</t>
    </r>
  </si>
  <si>
    <t>Si</t>
  </si>
  <si>
    <t>Πεδ%</t>
  </si>
  <si>
    <t>Β.Βασιλείου &amp; Κόδρου,</t>
  </si>
  <si>
    <t>xi+y+zi</t>
  </si>
  <si>
    <t>qB:</t>
  </si>
  <si>
    <t>Qbολ:</t>
  </si>
  <si>
    <t>Μηχανολογική Μελέτη :</t>
  </si>
  <si>
    <t>Qfi+Qai</t>
  </si>
  <si>
    <t>(4+5)</t>
  </si>
  <si>
    <t>Ύψος Ορόφου:</t>
  </si>
  <si>
    <t>(8/Σ8)</t>
  </si>
  <si>
    <t>(10/11)</t>
  </si>
  <si>
    <t>(14+16+17)</t>
  </si>
  <si>
    <t>(13-18)</t>
  </si>
  <si>
    <t>(19*9)</t>
  </si>
  <si>
    <t>(9*100)</t>
  </si>
  <si>
    <t>(7*qB+6)</t>
  </si>
  <si>
    <t>Πδλ</t>
  </si>
  <si>
    <t>%</t>
  </si>
  <si>
    <t>πυλωτή</t>
  </si>
  <si>
    <t>π</t>
  </si>
  <si>
    <t>ή δώμα</t>
  </si>
  <si>
    <t>ΜΟ €/Λίτρο</t>
  </si>
  <si>
    <t>ΝΕΟΥ</t>
  </si>
  <si>
    <t>Με ΜΟ Τιμής</t>
  </si>
  <si>
    <t>Δια-φορά</t>
  </si>
  <si>
    <t>Έλεγχος Παρα-λαβής</t>
  </si>
  <si>
    <t>Μπορείτε να βλέπετε ΑΝΑΛΥΤΙΚΑ τα Κοινόχρηστα της Πολυκατοικίας, στην Ιστοσελίδα:</t>
  </si>
  <si>
    <t>Κοινόχρ. Μήνα</t>
  </si>
  <si>
    <t>Ένοικος, Ενοικιαστής ή Σύζυγος</t>
  </si>
  <si>
    <t>Παράδοση-Παραλαβή Χρημάτων, Πετρελαίου Δεξαμενής &amp; ταυτόχρονα Ενδείξεων Μετρητών Αυτόνομης Θέρμανσης.</t>
  </si>
  <si>
    <t>Διαχείριση Πολυκατοικίας &amp; Έκδοση Κοινοχρήστων.</t>
  </si>
  <si>
    <t>Υπογραφές</t>
  </si>
  <si>
    <t>Έσοδα</t>
  </si>
  <si>
    <t>Έξοδα</t>
  </si>
  <si>
    <t>Υπόλοιπο</t>
  </si>
  <si>
    <t>Συντελεστές Κοινοχρήστων, Ανελκυστήρα &amp; Αυτόνομης Θέρμανσης με Ωρομετρητές και Ενδείξεις Μετρητών.</t>
  </si>
  <si>
    <t>Οι φωτογραφίες βγήκανε στις 28-1-2009 στις 13.45' και τα αρχεία τους βρίσκονται στην Ιστοσελίδα http://lavrio.web.officelive.com/kinohrista.aspx για να τα ελέγξετε.</t>
  </si>
  <si>
    <t>Ποσό</t>
  </si>
  <si>
    <t>Κωδ</t>
  </si>
  <si>
    <t>Διαμ</t>
  </si>
  <si>
    <t>ΣΥΝΟΛΟ ΠΛΗΡΩΤΕΟ</t>
  </si>
  <si>
    <r>
      <rPr>
        <b/>
        <sz val="36"/>
        <color rgb="FFFF0000"/>
        <rFont val="Calibri"/>
        <family val="2"/>
        <charset val="161"/>
        <scheme val="minor"/>
      </rPr>
      <t>Κοινόχρηστα</t>
    </r>
    <r>
      <rPr>
        <b/>
        <sz val="36"/>
        <color rgb="FF002060"/>
        <rFont val="Calibri"/>
        <family val="2"/>
        <charset val="161"/>
        <scheme val="minor"/>
      </rPr>
      <t xml:space="preserve">
</t>
    </r>
    <r>
      <rPr>
        <b/>
        <sz val="24"/>
        <color rgb="FF002060"/>
        <rFont val="Calibri"/>
        <family val="2"/>
        <charset val="161"/>
        <scheme val="minor"/>
      </rPr>
      <t>μέχρι  &amp;  Ιανουάριο  2009</t>
    </r>
    <r>
      <rPr>
        <b/>
        <sz val="36"/>
        <color rgb="FF002060"/>
        <rFont val="Calibri"/>
        <family val="2"/>
        <charset val="161"/>
        <scheme val="minor"/>
      </rPr>
      <t xml:space="preserve">
</t>
    </r>
    <r>
      <rPr>
        <b/>
        <sz val="12"/>
        <color rgb="FF002060"/>
        <rFont val="Calibri"/>
        <family val="2"/>
        <charset val="161"/>
        <scheme val="minor"/>
      </rPr>
      <t>(Πετρέλαιο μέχρι 7-1-2009)</t>
    </r>
  </si>
  <si>
    <t>Στις</t>
  </si>
  <si>
    <t>και ώρα</t>
  </si>
  <si>
    <t>έγινε Συνέλευση ενοίκων της Πολυκατοικίας, στο διαμέρισμα</t>
  </si>
  <si>
    <t>του κ.</t>
  </si>
  <si>
    <t>Α.Ενοικιάδη.</t>
  </si>
  <si>
    <t>Παρόντες ήταν οι ένοικοι των διαμερισμάτων:</t>
  </si>
  <si>
    <t>‰</t>
  </si>
  <si>
    <t>Δηλαδή το</t>
  </si>
  <si>
    <t>Α1, Β1, Β2, Γ1, Γ2 &amp; Δ1.</t>
  </si>
  <si>
    <t>βάσει Κανονισμού Πολυκατοικίας.</t>
  </si>
  <si>
    <t xml:space="preserve">Αποφασίστηκε: </t>
  </si>
  <si>
    <t>ομόφωνα, η ανάθεση της Διαχείρισης της Πολυκατοικίας, στον κ.Φ.Διαχειριστίδη του Β3, με Μηνιαία αμοιβή 60€.</t>
  </si>
  <si>
    <t>Από Υπόλοιπο Ταμείου Διαχείρισης Πολυκατοικίας, στις 6-2-2009</t>
  </si>
  <si>
    <t>Οφειλή Πληρωμής Λογαριασμού ΝΕΡΟΥ, για τον Φεβρουάριο 2009</t>
  </si>
  <si>
    <t>Οφειλή Πληρωμής Συντηρητή Ανελκυστήρα, για τον Φεβρουάριο 2009</t>
  </si>
  <si>
    <t>Οφειλή Πληρωμής Διαχειριστή, για τον Φεβρουάριο 2009</t>
  </si>
  <si>
    <t>Από Οφειλόμενα Κοινόχρηστα 4 Ενοίκων</t>
  </si>
  <si>
    <t>Περιγραφή  Οικονομικών  Δοσοληψιών  Διαχείρισης, για τον ΙΣΟΛΟΓΙΣΜΟ</t>
  </si>
  <si>
    <t>Σ  Υ  Ν  Ο  Λ  Α   (Εσόδων, Εξόδων &amp; Μηδενικού Υπόλοιπου ΙΣΟΛΟΓΙΣΜΟΥ)</t>
  </si>
  <si>
    <t>Π  Ρ  Α  Κ  Τ  Ι  Κ  Ο</t>
  </si>
  <si>
    <t>Β2</t>
  </si>
  <si>
    <t>Εκκίνησης</t>
  </si>
  <si>
    <t>Μεταβλητή Κοινοχρήστων</t>
  </si>
  <si>
    <t>Κοινόχρηστα</t>
  </si>
  <si>
    <t>Πληρωμή Καθαρίστριας, για τον Φεβρουάριο 2009</t>
  </si>
  <si>
    <t>Πληρωμή Λογαριασμού ΔΕΗ-κοινοχρήστων, Φεβρουαρίου 2009</t>
  </si>
  <si>
    <t>Οφειλή ΠΑΓΙΟΥ αποθεματικού, στους Ενοίκους της Πολυκατοικίας, 1.000 €</t>
  </si>
  <si>
    <t>Από Πετρέλαιο Δεξαμενής, ύψους 91 εκατοστών που υπολείπεται (91*7,75*0,425)</t>
  </si>
  <si>
    <t>Κόστος σε €</t>
  </si>
  <si>
    <t>Προηγ. Υπόλοιπ</t>
  </si>
  <si>
    <t>Συνολ. Υπόλοιπ.</t>
  </si>
  <si>
    <t>Λίτρου ΝΕΟΥ</t>
  </si>
  <si>
    <t>ΜΟ/Λ Άκαυστου</t>
  </si>
  <si>
    <t>Κάηκαν</t>
  </si>
  <si>
    <t>Νέο Ύψος Δεξαμενής</t>
  </si>
  <si>
    <t>Απλήρωτο</t>
  </si>
  <si>
    <t>Ημερομηνίες Μετρήσεων</t>
  </si>
  <si>
    <t>Έλεγχος Κόστους Πετρελαίου που Αγοράστηκε:</t>
  </si>
  <si>
    <t>σε σχέση με το Κόστος Πετρελαίου που Χρεώθηκε στους Ενοίκους + το Απλήρωτο Υπόλοιπο της Δεξαμενής:</t>
  </si>
  <si>
    <t>Στην Αρχή &amp; όποτε υπάρχει Αλλαγή</t>
  </si>
  <si>
    <t>Πότε Χρειάζεται</t>
  </si>
  <si>
    <t>Επιστροφή   στην   ΠΛΟΗΓΗΣΗ</t>
  </si>
  <si>
    <t>Στην Αρχή &amp; κάθε Χρόνο</t>
  </si>
  <si>
    <t>Μετά τον 1ο Χρόνο, δημιουργήστε Αντίγραφο του αρχείου Excel &amp; επιλέξτε Νέο Έτος και Μήνα Εκκίνησης.</t>
  </si>
  <si>
    <t>Επιλογή Έτους &amp; Μήνα Εκκίνησης, για την Παρακολούθηση &amp; Εκτύπωση των Κοινοχρήστων μιας Πολυκατοικίας.</t>
  </si>
  <si>
    <t>Ημερομηνία</t>
  </si>
  <si>
    <t>Τροποποίηση-Καταχώριση Διαστάσεων Δεξαμενής Πετρελαίου στα Λευκά Κελιά του Πίνακα (πάνω αριστερά).</t>
  </si>
  <si>
    <t>Στην Αρχή μόνο</t>
  </si>
  <si>
    <t>Τροποποίηση Στοιχείων Πρακτικού Παράδοσης-Παραλαβής Διαχείρισης (αν επιθυμείτε, για αποφυγή προβλημάτων) στα Λευκά Κελιά.</t>
  </si>
  <si>
    <t>Στην Αρχή, ο Νέος Διαχειριστής</t>
  </si>
  <si>
    <t>Στο Τέλος κάθε Μήνα</t>
  </si>
  <si>
    <t>Καταχώριση Στοιχείων Παραλαβής Πετρελαίου (αν υπάρχει) &amp; Καταχώρηση Ύψους Δεξαμενής Πετρελαίου στις 28 του μήνα.</t>
  </si>
  <si>
    <t>Καταχώριση Ενδείξεων Ωρομετρητών Αυτόνομης Θέρμανσης στις 28 του μήνα.</t>
  </si>
  <si>
    <t>Αιτιολογία Δαπάνης</t>
  </si>
  <si>
    <t>Κοινοχρ.</t>
  </si>
  <si>
    <t>Καταχώριση Κοινόχρηστων Δαπανών του μήνα που τελειώνει, στα Λευκά Κελιά του μεσαίου Πίνακα.</t>
  </si>
  <si>
    <t>Κάθε Μήνα</t>
  </si>
  <si>
    <t>Καταχώριση Στοιχείων Μηχανολόγου (Qολ-Qfi-Qai-Fεξi-Fπαρi &amp; ύψος ορόφου) για Δημιουργία ή Έλεγχο Μηχανολογικής Μελέτης (fi &amp; εi) &amp; Αυτόνομης Θέρμανσης.</t>
  </si>
  <si>
    <t>Στην Αρχή, αν λείπουν ή το θέλετε</t>
  </si>
  <si>
    <t>Καταχώριση Στοιχείων Διαμερισμάτων (Ιδιοκτήτης, Ένοικος, Εμβαδόν, Όροφος, Συντελεστές-Χιλιοστά κλπ) στα Λευκά Κελιά του Πίνακα.</t>
  </si>
  <si>
    <t>Τροποποίηση-Καταχώριση Γενικών Στοιχείων (Διαχειριστής, Διεύθυνση, Πετρελαιάς κλπ) στα Πράσινα (ανοιχτά) Κελιά του Πίνακα.</t>
  </si>
  <si>
    <t>Στην Αρχή &amp; αν υπάρχει Αλλαγή</t>
  </si>
  <si>
    <t>Τροποποίηση (αν χρειάζεται) Κατηγοριών &amp; Υποκατηγοριών Κοινόχρηστων Δαπανών (ΔΕΗ, Νερό, Καθαριότητα κλπ) στα Λευκά Κελιά του Πίνακα.</t>
  </si>
  <si>
    <t>Καταχώριση Σχολίων-Πληροφοριών προς τους Ενοίκους, που θα εμφανίζονται στις 2 τελευταίες σειρές του Μηνιαίου Εντύπου Κοινοχρήστων.</t>
  </si>
  <si>
    <t>Κάθε Μήνα, αν το θέλετε</t>
  </si>
  <si>
    <t>Μετακίνηση στην Έντυπη Κατάσταση Συνολικών Μηνιαίων Κοινοχρήστων, (ανά Ένοικο), για ΕΚΤΥΠΩΣΗ, για τον Πίνακα Ανακοινώσεων.</t>
  </si>
  <si>
    <t>Μετακίνηση στις Καρτέλες με τα Ατομικά Μηνιαία Κοινόχρηστα των Ενοίκων, για ΕΚΤΥΠΩΣΗ, για τα Διαμερίσματα 1&amp;2.</t>
  </si>
  <si>
    <t>Μετακίνηση στις Καρτέλες με τα Ατομικά Μηνιαία Κοινόχρηστα των Ενοίκων, για ΕΚΤΥΠΩΣΗ, για τα Διαμερίσματα 3&amp;4.</t>
  </si>
  <si>
    <t>Μετακίνηση στις Καρτέλες με τα Ατομικά Μηνιαία Κοινόχρηστα των Ενοίκων, για ΕΚΤΥΠΩΣΗ, για τα Διαμερίσματα 5&amp;6.</t>
  </si>
  <si>
    <t>Μετακίνηση στις Καρτέλες με τα Ατομικά Μηνιαία Κοινόχρηστα των Ενοίκων, για ΕΚΤΥΠΩΣΗ, για τα Διαμερίσματα 7&amp;8.</t>
  </si>
  <si>
    <t>ΤΑΜΕΙΟ   ΔΙΑΧΕΙΡΙΣΗΣ   ΠΟΛΥΚΑΤΟΙΚΙΑΣ</t>
  </si>
  <si>
    <t>Περιγραφή  Οικονομικών  Δοσοληψιών  Διαχείρισης</t>
  </si>
  <si>
    <t>Προβλεπόμενα</t>
  </si>
  <si>
    <t>ΝΑΙ</t>
  </si>
  <si>
    <t>Ολοκληρωμένα</t>
  </si>
  <si>
    <t>ΟΧΙ</t>
  </si>
  <si>
    <t>Αγορά Πετρελαίου, 1.000 Λίτρα</t>
  </si>
  <si>
    <t>ΠΑΡΑΔΟΣΗ</t>
  </si>
  <si>
    <t>Με την Απόφαση της Συνέλευσης των Ενοίκων της Πολυκατοικίας, που έγινε στις ….../..…/2010, Παρέλαβε τη Διαχείριση ο κ.Φ.Διαχειριστίδης.</t>
  </si>
  <si>
    <t>Υποχρεούται επίσης να Πληρώνει τις Δαπάνες των Κοινοχρήστων της Πολυκατοικίας, από τον ίδιο μήνα, συμπεριλαμβανομένου.</t>
  </si>
  <si>
    <t>Από προηγούμενο Διαχειριστή, Πάγιο-Αποθεματικό Πολυκατοικίας, στο Νέο Διαχειριστή</t>
  </si>
  <si>
    <t>Με την Παραλαβή της Διαχείρισης, στις ….../..…/2010, θα εισπράξει το Πάγιο-Αποθεματικό 1.000 €, που πλήρωσαν οι Ένοικοι στον προηγούμενο Διαχειριστή.</t>
  </si>
  <si>
    <t>Οφειλή ΠΑΓΙΟΥ-αποθεματικού, σε Επόμ.Διαχειριστή ή σε Ενοίκους Πολυκατοικίας (1.000+200)</t>
  </si>
  <si>
    <t>……………</t>
  </si>
  <si>
    <t>Πληρωμή Αναλώσιμων (Πυροσβεστήρας, Σκάλα, Μικροεξαρτήματα, Οικονομικές Λάμπες κλπ)</t>
  </si>
  <si>
    <r>
      <t>Από Οφειλόμενα των Ενοίκων για το Υπόλοιπο Πετρέλαιο Δεξαμενής των 80 cm</t>
    </r>
    <r>
      <rPr>
        <sz val="8"/>
        <color rgb="FFFF0000"/>
        <rFont val="Calibri"/>
        <family val="2"/>
        <charset val="161"/>
        <scheme val="minor"/>
      </rPr>
      <t xml:space="preserve"> (-1 Στρογγυλ.)</t>
    </r>
  </si>
  <si>
    <t>Αναλαμβάνει να Εισπράττει τα Κοινόχρηστα, από τους Ενοίκους της Πολυκατοικίας, από το μήνα Ιανουάριο του 2009, συμπεριλαμβανομένου.</t>
  </si>
  <si>
    <t>Τέλος, ο Νέος Διαχειριστής, οφείλει να Πληρώσει στον προηγούμενο Διαχειριστή, το υπόλοιπο της Δεξαμενής, ύψους 40 cm, (342 € απλήρωτα από 28-12-2008).</t>
  </si>
  <si>
    <t>Σε προηγούμενο Διαχ/στή για Υφιστάμενο Πετρέλαιο Δεξαμενής 40 cm, (απλήρωτο από 28-12-08)</t>
  </si>
  <si>
    <t>Πληρωμή Λογαριασμού ΔΕΗ-κοινοχρήστων μέχρι 19-1-2009, (ΕΝΑΝΤΙ)</t>
  </si>
  <si>
    <t>Πληρωμή Συντηρητή Ανελκυστήρα, για τον Ιανουάριο 2009</t>
  </si>
  <si>
    <t>Πληρωμή Συντηρητή Κήπου, για τον Ιανουάριο 2009</t>
  </si>
  <si>
    <t>Πληρωμή Καθαρίστριας, για τον Ιανουάριο 2009</t>
  </si>
  <si>
    <t>Πληρωμή Έκδοσης Κοινοχρήστων, για τον Ιανουάριο 2009</t>
  </si>
  <si>
    <t>Πληρωμή Διαχειριστή, για τον Ιανουάριο 2009</t>
  </si>
  <si>
    <t>Πληρωμή Κοινόχρηστου-ΝΕΡΟΥ μέχρι 10-1-2009</t>
  </si>
  <si>
    <t>Από Είσπραξη Κοινοχρήστων Ιανουαρίου 2009. Ένοικος: Ιδιοκτήτης-1, Α1</t>
  </si>
  <si>
    <t>Από Είσπραξη Κοινοχρήστων Ιανουαρίου 2009. Ένοικος: Ιδιοκτήτης-2, Α2</t>
  </si>
  <si>
    <t>Από 20-11-2009 μου αναθέσατε τη Διαχείριση της Πολυκατοικίας σας.
Αμέσως, φρόντισα για την τοποθέτηση Μετροσωλήνα δίπλα στη Δεξαμενή Πετρελαίου, για την αποφυγή λαθών και για την εδραίωση της Αξιοπιστίας μεταξύ μας.
Σε κάθε παραλαβή Πετρελαίου, γίνεται φωτογράφηση του Μετροσωλήνα ΠΡΙΝ &amp; ΜΕΤΑ, με ένδειξη Ημερομηνίας &amp; Ώρας.
Όπως φαίνεται στα Αναλώσιμα, η τοποθέτηση του Μετροσωλήνα στοίχισε 65 €, (25 € για εξαρτήματα &amp; 40 € για Υδραυλικό), λόγω πατέντας, (από σεβασμό στα χρήματά σας).
Διαφορετικά, με έτοιμο Μετροσωλήνα του εμπορίου, θα στοίχιζε 162 € τουλάχιστον, (22 € για εξαρτήματα, 100 € για έτοιμο Μετροσωλήνα &amp; 40 € για Υδραυλικό).
Επίσης, για το Κουτί των Διαφημιστικών, (όσο και αν έψαξα), έβλεπα μόνο Μεταλλικά με 1 θέση &amp; με 50 € τουλάχιστον και προτίμησα το 3θέσιο πλαστικό ΣΤΑΝΤ που τοποθέτησα με μετατροπή, μόνο με 9 €.
Ακόμη, στο τέλος του Μήνα, γίνεται φωτογράφηση του Μετροσωλήνα και των Ωρομετρητών της Αυτόνομης Θέρμανσης, για την αποφυγή διαφωνιών.
Τοποθετήθηκε, (όπως είδατε), πλαστικό κουτί για τα Διαφημιστικά έντυπα, ώστε να αποφύγουμε το χάλι του διασκορπισμού τους και να μην είναι λερωμένα αν αποφασίσει κάποιος να πάρει ένα Διαφημιστικό.
Τοποθετήθηκαν πλαστικά προστατευτικά στις γωνίες των παραθύρων του κλιμακοστασίου, για την αποφυγή ατυχήματος.
Τοποθετήθηκε Κρεμάστρα Λάστιχου Νερού &amp; Ηλιακά Χριστουγεννιάτικα Λαμπάκια, αντικαταστάθηκαν καμένες λάμπες, ελέγχθηκαν οι Πόρτες Εισόδου κλπ.
Σύντομα θα Σκαναριστούν και θα εκτυπωθούν, οι Αποδείξεις των Κοινόχρηστων Δαπανών Νοεμβρίου, Καταστάσεις Αναλώσιμων &amp; Ταμείου Διαχείρισης, καθώς και φωτογραφίες Μετρήσεων, για να αναρτηθούν στον Πίνακα Ανακοινώσεων.
Η Πληρωμή των Κοινοχρήστων, μέχρι και τον Αύγουστο του 2009, θα γίνεται στον προηγούμενο Διαχειριστή κ.Καρβούνη Χάρη.
Η Πληρωμή των Κοινοχρήστων, Νοεμβρίου 2009 (Σεπτεμβρίου-Οκτωβρίου-Νοεμβρίου 2009) &amp; εφεξής, μπορεί να γίνεται με Κατάθεση στον Λογαριασμό 110-89.01.86-49 της Εθνικής Τράπεζας, στο όνομα Τσιρίδης Φώτης.
Θα είναι χρήσιμο, να γράφετε το Ονοματεπώνυμό σας και τον Μήνα των Κοινοχρήστων, στην Αιτιολογία της Κατάθεσης, (ειδικά αν το ποσό των Κοινοχρήστων σας συμπίπτει με το ποσό άλλου Ενοίκου).
Επίσης, θα έχετε την δυνατότητα της Πληρωμής των Κοινοχρήστων, κάθε 2η &amp; 3η Κυριακή του Μήνα, από 6-7 μμ, στην Πυλωτή της Πολυκατοικίας, Αναφλύστου &amp; Κωνσταντίνου, (εκτός απροόπτου).
Παρακαλώ να με ενημερώνετε για Προβλήματα ή Εκκρεμότητες της Πολυκατοικίας σας &amp; να μου κάνετε Παρατηρήσεις ή Προτάσεις για το βέλτιστο αποτέλεσμα.
Με τιμή, ο Νέος Διαχειριστής.</t>
  </si>
  <si>
    <t>Όπως φαίνεται, από το αντίγραφο του Ταμείου στο Ισόγειο, οφείλουμε στον προηγούμενο Διαχειριστή 967,20 € για Δαπάνες που πλήρωσε μέχρι και τον Οκτώβριο 2009.
Ακόμη και όταν πληρώσετε ΟΛΟΙ και αυτά τα Κοινόχρηστα (του Δεκεμβρίου 2009, με το 3ο Πάγιο των 400 €), μέχρι το τέλος περίπου του Ιανουαρίου 2010, μένει στη δεξαμενή Απλήρωτο Πετρέλαιο 489 €. Επίσης πρέπει να αγοράσουμε πάλι Πετρέλαιο ~575 € και να πληρωθούν οι Νέες Δαπάνες του Ιανουαρίου (ΔΕΗ, Καθαριότητα κλπ). Άρα έχουμε ΕΞΟΔΑ 967+489+575+300+250=2.581 περίπου και θα έχουμε ΕΣΟΔΑ 2.076. Δηλαδή 2.581-2.076=505 € περίπου Έλλειμα, που σημαίνει ότι θα καθυστερήσουμε να εξοφλήσουμε τον προηγούμενο Διαχειριστή, αφού δεν μπορούμε να καθυστερήσουμε π.χ. τη ΔΕΗ ή το Πετρέλαιο.
Κανονικά, θα έπρεπε να υπάρχει ένας Πυροσβεστήρας ανά όροφο. Ζουν περίπου 30 άνθρωποι στην Πολυκατοικία &amp; ένα λάθος ή μια παράλειψη ενός, μπορεί να θέσει σε κίνδυνο την Ζωή ή την περιουσία όλων. Νομικά υπεύθυνος είναι ο Διαχειριστής. Ξεκίνησα λοιπόν, με έναν Πυροσβεστήρα στην κεντρική Είσοδο.
Επίσης, επειδή δεν είναι δυνατόν να κουβαλάω σκάλα, 5 οικοδομικά τετράγωνα ή να πληρώνουμε (π.χ. Ηλεκτρολόγο) κάθε φορά, ακόμη και για μικρομερεμέτια (π.χ. αντικατάσταση καμένης λάμπας), αγόρασα μια αλουμινένια σκάλα με θέση για εργαλεία.
Για την αποφυγή Παραπόνων και για τη διατήρηση ή δημιουργία κλίματος αμοιβαίου Σεβασμού, Παράκληση να ελέγχετε το από κάτω μπαλκόνι, πριν ρίξετε νερά ή ξεσκονίσετε πάνω στα πλυμένα του γείτονα.
Έγινε σύσταση στον Συντηρητή του Ανελκυστήρα και λάδωσε-τέντωσε τους μηχανισμούς στις πόρτες όλων των ορόφων. Παρ' όλα αυτά, βγαίνοντας από τον Ανελκυστήρα, χρειάζεται να αφήνετε την πόρτα να κλείνει μόνη της με μεγάλο άνοιγμα. Διαφορετικά δεν θα κλείνει καλά και θα ταλαιπωρούνται οι επόμενοι, που θα αναγκάζονται να ανέβουν σκάλες 2-5 ορόφων, κουβαλώντας συνήθως βαριά αντικείμενα.
Παρακαλώ να μην τοποθετείτε αντικείμενα στο υπόγειο Γκαράζ, σε θέση Πάρκιν που δε σας ανήκει.
Για να μην υπάρχουν παρεξηγήσεις, σας ενημερώνω ότι ο λαμπτήρας οροφής έξω από την κεντρική είσοδο, που αλλάζει χρώματα (λόγω εορτών), καταναλώνει μόνο 1 (ένα) Watt &amp; τα Χριστουγεννιάτικα λαμπάκια είναι Οικολογικά-Ηλιακά.
Επειδή μου ζητήθηκε, σας ενημερώνω ότι ο Λογαριασμός για την Πληρωμή των Κοινοχρήστων 110-89.01.86-49 της Εθνικής Τράπεζας, (στο όνομα Τσιρίδης Φώτης), έχει SWIFT (BIC) : ETHNGRAA &amp; IVAN: GR86 0110 1100 0000 1108 9018 649.
Ο  Διαχειριστής.</t>
  </si>
  <si>
    <t>*Αντικαθίστανται τμηματικά καμένοι Λαμπτήρες ή Λαμπτήρες Πυρακτώσεως με Οικονομικούς ή LED, με στόχο την προστασία του Περιβάλλοντος και την σημαντική μείωση του λογαρισμού της ΔΕΗ.     Πληροφοριακά, η απόσβεση της δαπάνης τους γίνεται αποδεδειγμένα σε 2 μέχρι 5 μήνες περίπου. Με συγκεκριμένα στοιχεία ενός χρόνου, στην Πολυκατοικία που μένω, έγινε μείωση του Λογαριασμού της ΔΕΗ κατά 60% (υπερκαλύπτοντας σημαντικά τα έξοδα αντικατάστασης των Λαμπτήρων).
*Επανήλθαν σε κατακόρυφη θέση, με αντηρίδες, τα δέντρα ανάμεσα στις 2 Πολυκατοικίες.
*Τοποθετήθηκαν πλαστικοποιημένες Πινακίδες, με τα ονόματα των οδών και τους αριθμούς της Πολυκατοικίας, (λόγω αδυναμίας του Δήμου), για την αποφυγή λαθών στη διακίνηση της αλληλογραφίας σας.
*Παρεπιπτόντως, όταν ανέλαβα πριν 2 περίπου μήνες, το Γραμματοκιβώτιό σας ήταν πλήρες αλληλογραφίας των Ενοίκων της Πολυκατοικίας σας, "εμπλουτισμένο" με αλληλογραφία της διπλανής Πολυκατοικίας και άλλων άγνωστων παραληπτών, ενώ βρέθηκαν φάκελοι δικοί σας στο Γραμματοκιβώτιο της διπλανής Πολυκατοικίας.
Ήδη με το σύστημα επισήμανσης αλληλογραφίας με VELCRO δίπλα στα ονόματά σας, με τη μεταφορά εκατέρωθεν των λάθος φακέλων και τις επισκέψεις στα ΕΛΤΑ, το Γραμματοκιβώτιό σας είναι ΑΔΕΙΟ.     Παρακαλώ λοιπόν, όταν παίρνετε την αλληλογραφία σας, να επισημαίνετε με VELCRO τα ονόματα των υπολοίπων γειτόνων σας που έχουν αλληλογραφία.
*Επειδή ρωτήθηκα, σας ενημερώνω ότι το Πάγιο Αποθεματικό (των 1.200 €), είναι σαν Προκαταβολή των Ενοίκων:
1) για το Πετρέλαιο που μένει πάντα ΑΠΛΗΡΩΤΟ στη Δεξαμενή Πετρελαίου, στο τέλος κάθε μήνα, (με τη φωτογράφηση Ωρομετρητών &amp; Μετροσωλήνα, π.χ. 522 € στο τέλος Ιανουαρίου 2010)
2) για τις Κοινόχρηστες δαπάνες που πληρώνονται από την αρχή μέχρι το τέλος κάθε μήνα (όπως ΔΕΗ, ΔΕΥΑΤΗΛ, συντήρηση Ανελκυστήρα, Καθαριότητα, Κήπος, Διαχείριση, έκτακτα ή αναλώσιμα κλπ, π.χ. 540 € για όλο τον Ιανουάριο 2010)
3) για δαπάνες (πλην πετρελαίου) που προκύπτουν τον επόμενο μήνα (π.χ. 2ο/2010), πριν εισπραχθούν αρκετά Κοινόχρηστα (π.χ. 1ου/2010) ή λόγω τυχόν (αιτιολογημένης) καθυστέρησης είσπραξης παλαιότερων Κοινοχρήστων (π.χ. 12ου/2009)
4) για πιθανή ΝΕΑ προμήθεια πετρελαίου (αναλόγως του καιρού και της χρήσης), αξίας 570 με 600 € περίπου.
Επειδή όλες οι ανωτέρω δαπάνες επιβαρύνουν τους Ενοίκους και πληρώνονται τελικά από αυτούς, ΠΙΣΤΕΥΩ ότι το Πάγιο Αποθεματικό πληρώνεται από τον Ένοικο-Ενοικιαστή, ο οποίος λογικά θα το εισπράξει από τον Ιδιοκτήτη όταν φύγει και φυσικά θα προπληρώσει ο Νέος Ένοικος-Ενοικιαστής.     Βέβαια αυτή είναι απλά η γνώμη μου και στην πράξη μπορεί να τακτοποιηθεί διαφορετικά μεταξύ Ιδιοκτήτη &amp; Ενοικιαστή, ανάλογα με τη συμφωνία τους.
*Τέλος, υπάρχει η δυνατότητα πληρωμής των Κοινοχρήστων, (αν έχετε κάρτα Cash της Εθνικής Τράπεζας), από το αριστερό εκ των 2 ATM, με μετρητά (χωρίς φάκελο) και άμεση δική σας επιβεβαίωση του ποσού.</t>
  </si>
  <si>
    <t>Οι Δαπάνες Θέρμανσης, υπολογίζονται σύμφωνα με το Π.Δ. 27-9/7-11-85 (ΦΕΚ-631 Δ').</t>
  </si>
  <si>
    <t>Ο καθαρισμός των Κοινόχρηστων χώρων Απριλίου, περιλαμβάνει &amp; Δώρο Πάσχα.</t>
  </si>
  <si>
    <t>Αναλώσιμα: Οικονομικές Λάμπες-Προβολείς Κήπου, Δεντράκια-Χώμα Κήπου, Αντισκωριακό κλπ.</t>
  </si>
  <si>
    <t>Άρα, πληρώνουν ποσοστό Θέρμανσης &amp; Διαμερίσματα Κλειστά ή Χωρίς Ώρες.</t>
  </si>
  <si>
    <t>Η συντήρηση του Ανελκυστήρα, από 55€*12μήνες, έγινε 55€*8μήνες.</t>
  </si>
  <si>
    <t>Περιμένω ΝΕΕΣ παρατηρήσεις-προτάσεις-απορίες, αφού διαβάσετε ΠΙΣΩ.</t>
  </si>
  <si>
    <t>1η Γραμμή Εμπρός, Κάτω από Κοινόχρηστα Διαμερίσματος</t>
  </si>
  <si>
    <t>2η Γραμμή Εμπρός, Κάτω από Κοινόχρηστα Διαμερίσματος</t>
  </si>
  <si>
    <t>Αναλυτική Ενημέρωση, για ΕΚΤΥΠΩΣΗ πίσω από τα Κοινόχρηστα Διαμερισμάτων (πριν κοπούν)</t>
  </si>
  <si>
    <t>Καταχώριση Αναλυτικής Ενημέρωσης προς τους Ενοίκους, που θα Εκτυπώνετε στο πίσω μέρος του Μηνιαίου Εντύπου Κοινοχρήστων.</t>
  </si>
  <si>
    <t>Όποιο Μήνα θέλετε</t>
  </si>
  <si>
    <t>Μετακίνηση στην Καρτέλα με την Αναλυτική Ενημέρωση προς τους Ενοίκους, για ΕΚΤΥΠΩΣΗ, πίσω από το Μηνιαίο Έντυπο Κοινοχρήστων.</t>
  </si>
  <si>
    <t>Καταχώριση Προβλεπόμενων ΕΣΟΔΩΝ &amp; ΕΞΟΔΩΝ στο Ταμείο Διαχείρισης Πολυκατοικίας &amp; Τσεκάρισμα όταν Ολοκληρώνονται.</t>
  </si>
  <si>
    <t>Για κάθε Έσοδο ή Έξοδο</t>
  </si>
  <si>
    <t>Π     Λ     Ο     Η     Γ     Η     Σ     Η</t>
  </si>
  <si>
    <t>ΑΝΤΕΓΡΑΨΕ ΤΑ ΚΕΛΙΑ ΑΡΙΣΤΕΡΑ</t>
  </si>
  <si>
    <t>Η τοποθέτηση 1 Πυροσβεστήρα Αφρού 6 λίτρων στο Ισόγειο, στοιχίζει ~50 €.</t>
  </si>
  <si>
    <t>Αν έχετε αντίρρηση, να το δηλώσετε κατά την πληρωμή αυτού του μήνα.</t>
  </si>
  <si>
    <t>Τα 60 € στη Συντήρηση Κήπου, είναι για την αγορά 2 δενδρυλλίων &amp; Σπόρου Γκαζόν.</t>
  </si>
  <si>
    <t>Με αίτημα στο Συντ.Ανελκ., έγινε Ασφάλιση για Σωμ.Βλάβες &amp; Υλ.Ζημίες 45.000 €.</t>
  </si>
  <si>
    <t>Ο Λογαριασμός της ΔΕΗ, για 2η φορά από το Νοέμβριο του 2008, ήρθε Αρνητικός (-36€).</t>
  </si>
  <si>
    <t>Συνεχίζουμε με Φωτοκύτταρα &amp; Αντικατάσταση των Λαμπτήρων με Οικονομικές.</t>
  </si>
  <si>
    <t>Τα Αναλώσιμα είναι Χριστουγεν.Λαμπάκια Ηλιακά, Μονωτικό, Οικον.Προβολείς &amp; Λάμπες.</t>
  </si>
  <si>
    <t>Τελευταία ΥΠΕΝΘΥΜΙΣΗ για την Ετήσια Συνέλευση Ιδιοκτητών &amp; Ενοικιαστών,</t>
  </si>
  <si>
    <t>στις 17-1-2010, Κυριακή, στις 5 το απόγευμα, στο Διαμέρισμα Β3.</t>
  </si>
  <si>
    <t>Όπως βλέπετε, τον τελευταίο χρόνο, ο κήπος χειροτερεύει διαρκώς.
Χάλασε σχεδόν το γκαζόν, γέμισε μεγάλα χόρτα, χάλασαν κάποια φωτιστικά, ξεράθηκαν τα 2 ωραία δεντράκια της οδού Βασιλείου, χάλασε η ξύλινη χαμηλή περίφραξη στον ακάλυπτο, πρασίνισε και γέμισε χιλιάδες κουνούπια η στέρνα, έσπασαν οι μεντεσέδες του μεταλλικού καλύμματος των ρολογιών του νερού, κινδυνεύει να καεί η αντλία νερού όταν εξατμίζεται το νερό, δεν υπάρχει τρόπος καθαρισμού της στέρνας για λόγους υγείας κλπ.
Όπως ενημερωθήκατε από τον προηγούμενο μήνα, η αμοιβή του διαχειριστή για τους μήνες Απρίλιο και Μάιο 2009, κάλυψε την αρχική επείγουσα αποκατάσταση του κήπου.
Ήδη σε προφορικές συζητήσεις, συμφωνούν οι περισσότεροι να έχουμε μόνιμα Κηπουρό.
Προσφέρθηκε ο ιδιοκτήτης &amp; ένοικος του Β2 διαμερίσματος, κύριος Ψαρογιάννης Μιχάλης, έναντι μηνιαίας αμοιβής 60 €.
Παρακαλώ, αν έχετε αντίρρηση, να το αναφέρετε κατά την πληρωμή των Κοινοχρήστων Ιουνίου.</t>
  </si>
  <si>
    <t>ΑΣΧΕΤΟ με τη Διαχείριση και τα Κοινόχρηστα:
Λόγω των προβλημάτων που παρουσιάστηκαν πέρυσι το Χειμώνα με τα Τζάκια, σε κάποια Διαμερίσματα, (κακό "τράβηγμα" μερικές φορές, κάπνισμα στο σαλόνι κλπ), ειδικά όταν είναι Νοτιάς, μετά από συζητήσεις με μερικούς ενοίκους και έρευνα, σκεφθήκαμε ότι πρέπει να βάλουμε το περιστρεφόμενο "καπέλο" στην κορυφή της καμινάδας.
Μάθαμε λοιπόν ότι για 1 "καπέλο" ανοξείδωτο, με 2 ρουλεμάν, με πατούρα, με προέκταση σωλήνα για να χωρέσει δίπλα στα άλλα, για αφαίρεση της υφιστάμενης πλάκας, κόψιμο των 4 τσιμεντένιων προεξοχών και τοποθέτησή του, χρειάζονται 70 € συνολικά χωρίς ΦΠΑ.
Αν και όποιος ενδιαφέρεται, μπορεί να ενημερώσει κατά την πληρωμή Κοινοχρήστων, για να τα παραγγείλουμε μαζικά και να τοποθετηθούν πριν το Χειμώνα.
Επαναλαμβάνω ότι, δεν έχει σχέση με τη Διαχείριση και τα Κοινόχρηστα και ο καθένας, που θέλει να συμμετάσχει, θα πληρώσει ξεχωριστά.</t>
  </si>
  <si>
    <t>Μετά τη Συμφωνία σχεδόν όλων για τα "καπέλα" στις Καμινάδες
&amp; επειδή χρειάζεται προπληρωμή, παρακαλώ μαζί με τα Κοινόχρηστα Αυγούστου 2009 (&amp; πάντως μέχρι και 2 Οκτωβρίου 2009),
να πληρώσετε &amp; τα 70 €, για να προλάβουμε να κάνουμε την προμήθεια και την τοποθέτησή τους πριν την επόμενη χρήση.
Η πληρωμή θα γίνει με ξεχωριστή Ονομαστική Κατάσταση, ανεξάρτητα από τα Κοινόχρηστα.
Η προ νέας ετήσιας χρήσης, Συντήρηση του Καυστήρα που ήθελα να κάνω,
δεν χρειάζεται για φέτος σύμφωνα με τον Κατασκευαστή κύριο Χ.Καρβούνη, (που ήταν και Διαχειριστής μέχρι 31-12-2008),
λόγω της προηγούμενης Συντήρησης που έγινε προς το τέλος του 2008.
Οπότε, θα γίνει με φροντίδα του και χωρίς καμιά χρέωση για την Πολυκατοικία μας,
Έλεγχος και Ρύθμιση του Καυστήρα πριν την Χειμερινή λειτουργία του.</t>
  </si>
  <si>
    <t>Έγινε η προμήθεια και μέσα στο 1ο 15θήμερο του Νοεμβρίου, θα εγκατασταθούν τα "καπέλα" στις Καμινάδες των Τζακιών, (των Ιδιοκτητών που συμφώνησαν και πλήρωσαν τα 70 €).
Η Πολυκατοικία μας έχει (για τους Κοινόχρηστους χώρους) συνολικά τα εξής Φωτιστικά:
1) Σπότ οροφής στον  Ανελκυστήρα: Τεμάχια 4*40W=160 Watt, αντικαθίστανται σταδιακά με 4*2=8 Watt
2) Προβολείς Κήπου: Τεμάχια 7*60W=420 Watt, αντικαθίστανται σταδιακά με 7*10=70 Watt
3) Λάμπες Ασφαλείας Φθορίου: Τεμάχια 7, δεν αντικαθίστανται
4) Προβολείς Πυλωτής &amp; Πάρκιν, με Φωτοκύτταρα: Τεμάχια 7*150W=1.050 Watt, αντικαθίστανται σταδιακά με 7*11=77 Watt
5) Προβολάκια Οροφής Πυλωτής: Τεμάχια 12*60W=720 Watt, αντικαθίστανται σταδιακά με (4*10=40 Watt &amp; 8*2=16 Watt) 56 Watt Συνολικά
6) Απλές Λάμπες Ορόφων, Εισόδου &amp; Δώματος: Τεμάχια 14*60W=840 Watt, αντικαθίστανται σταδιακά με 14*10=140 Watt
ΣΥΝΟΛΙΚΑ για όλη την Πολυκατοικία, έχουμε 3.190 Watt, τα οποία θα μειωθούν τελικά στα 351 Watt (Οικονομία 89%).
Πληροφορίες για Εξοικονόμηση Ενέργειας &amp; Προστασία Περιβάλλοντος: http://www.kathimerini.gr/4Dcgi/4dcgi/_w_articles_kathcommon_1_04/04/2008_1287326</t>
  </si>
  <si>
    <t>Ολοκληρώθηκε στο 1ο 10ήμερο του Νοεμβρίου η εγκατάσταση των "καπέλων" στις Καμινάδες των Τζακιών, (των Ιδιοκτητών που συμφώνησαν και πλήρωσαν τα 70 €) &amp; ακολούθησε η στεγανοποίησή τους.
Τοποθετήθηκαν πλαστικά προστατευτικά στις γωνίες των παραθύρων του κλιμακοστασίου, για την αποφυγή ατυχήματος.
Στις 17-1-2009 μου αναθέσατε τη Διαχείριση της Πολυκατοικίας μας και σύντομα συμπληρώνεται 1 χρόνος.
Οπότε την ίδια ημερομηνία, 17-1-2010, Κυριακή, στις 5 το απόγευμα, σας καλώ για την Ετήσια Συνέλευση Ιδιοκτητών &amp; Ενοικιαστών.
Θέματα Συνέλευσης:
1) Ενημέρωση για όσα έγιναν εντός του 2009.
2) Οικονομικός Απολογισμός του 2009.
3) Πρόταση για Αλλαγή Διαχειριστή για το 2010.
4) Ενημέρωση για εκκρεμότητες που προτείνονται για τακτοποίηση εντός του 2010.
5) Οποιαδήποτε πρόταση Ενοίκου.</t>
  </si>
  <si>
    <t>ΕΤΗΣΙΑ  ΣΥΝΕΛΕΥΣΗ  ΙΔΙΟΚΤΗΤΩΝ  &amp;  ΕΝΟΙΚΙΑΣΤΩΝ
Στις 17-1-2009 μου αναθέσατε τη Διαχείριση της Πολυκατοικίας μας και σύντομα συμπληρώνεται 1 χρόνος.
Οπότε την ίδια ημερομηνία, 17-1-2010, Κυριακή, στις 5 το απόγευμα, σας καλώ για την Ετήσια Συνέλευση Ιδιοκτητών &amp; Ενοικιαστών.
Θέματα Συνέλευσης:
1) Ενημέρωση για όσα έγιναν εντός του 2009.
2) Οικονομικός Απολογισμός του 2009.
3) Πρόταση για Αλλαγή Διαχειριστή για το 2010.
4) Ενημέρωση για εκκρεμότητες που προτείνονται για τακτοποίηση εντός του 2010.
5) Οποιαδήποτε πρόταση Ενοίκου.</t>
  </si>
  <si>
    <t>Η Ετήσια  Συνέλευση  Ιδιοκτητών  &amp;  Ενοικιαστών, που έγινε στις 17-1-2010, ενέκρινε τον Απολογισμό 2009 και τον Προγραμματισμό του 2010 &amp; αποφάσισε να συνεχίσει ο ίδιος Διαχειριστής.
Εφαρμόζοντας λοιπόν την απόφαση της Συνέλευσης, έκανα αλλαγή του ενιαίου ηλεκτρονικού Κωδικού Κεντρικής Εισόδου, με "κωδικοποιημένο" Κωδικό Συνδυασμό, ανεξάρτητο για κάθε Διαμέρισμα, για φιλτράρισμα των μη Ενοίκων.
Θα ενημερωθούν οι Ιδιοκτήτες μεμονωμένα με SMS, για τον Κωδικό τους &amp; παρακαλούνται να ενημερώσουν τα μέλη της οικογένειάς τους και τους τυχόν Ενοικιαστές τους.
Ο παλιός Κωδικός θα σταματήσει να λειτουργεί, δυο 24ωρα μετά το SMS, αλλά θα μπορείτε να χρησιμοποιήτε το Νέο Κωδικό αμέσως μόλις τον μάθετε.
Παρουσιάστηκε πρόβλημα στη θέρμανση, εντοπίστηκε στο συνδετήριο σπυράλ του μετροσωλήνα της δεξαμενής πετρελαίου, αποκαταστάθηκε και έγινε προμήθεια πετρελαίου 1.000 λίτρων αξίας 570 €.</t>
  </si>
  <si>
    <r>
      <rPr>
        <b/>
        <sz val="14"/>
        <color rgb="FFFF0000"/>
        <rFont val="Calibri"/>
        <family val="2"/>
        <charset val="161"/>
        <scheme val="minor"/>
      </rPr>
      <t>Καταχώριση Σχολίων-Πληροφοριών προς τους Ενοίκους, (στις Στήλες 2 &amp; 3), που θα εμφανίζονται στις 2 τελευταίες σειρές του Μηνιαίου Εντύπου Κοινοχρήστων (αν το θέλετε).</t>
    </r>
    <r>
      <rPr>
        <b/>
        <sz val="14"/>
        <color theme="1"/>
        <rFont val="Calibri"/>
        <family val="2"/>
        <charset val="161"/>
        <scheme val="minor"/>
      </rPr>
      <t xml:space="preserve">
Καταχώριση Αναλυτικής Ενημέρωσης προς τους Ενοίκους, (στη Στήλη 4), που θα Εκτυπώνετε στο πίσω μέρος του Μηνιαίου Εντύπου Κοινοχρήστων (αν χρειάζεται και το θέλετε).
</t>
    </r>
    <r>
      <rPr>
        <b/>
        <sz val="14"/>
        <color rgb="FF002060"/>
        <rFont val="Calibri"/>
        <family val="2"/>
        <charset val="161"/>
        <scheme val="minor"/>
      </rPr>
      <t>Παρακάτω θα βρείτε δικά μου παραδείγματα Σχολίων &amp; Αναλυτικής Ενημέρωσης (ανακατεμένα).</t>
    </r>
    <r>
      <rPr>
        <b/>
        <sz val="14"/>
        <color theme="1"/>
        <rFont val="Calibri"/>
        <family val="2"/>
        <charset val="161"/>
        <scheme val="minor"/>
      </rPr>
      <t xml:space="preserve">
</t>
    </r>
    <r>
      <rPr>
        <b/>
        <sz val="14"/>
        <color rgb="FFFF0000"/>
        <rFont val="Calibri"/>
        <family val="2"/>
        <charset val="161"/>
        <scheme val="minor"/>
      </rPr>
      <t>Μην ξεχάσετε να Διορθώσετε-Καταχωρίσετε τα δικά σας Σχόλια (στις Στήλες 2 &amp; 3) ή τουλάχιστον να τα σβήσετε.</t>
    </r>
  </si>
  <si>
    <t>ΚΑΤΑΣΤΑΣΗ   ΑΝΑΛΩΣΙΜΩΝ   ΠΟΛΥΚΑΤΟΙΚΙΑΣ</t>
  </si>
  <si>
    <t>Πλαστικό κουτί Διαφημιστικών</t>
  </si>
  <si>
    <t>Κρεμάστρα Λάστιχου Νερού &amp; μεταλλικό μέτρο για δεξαμενή πετρελαίου</t>
  </si>
  <si>
    <t>Προστατευτικά για επικίνδυνες γωνίες παραθύρων κλιμακοστασίου</t>
  </si>
  <si>
    <t>Χριστουγεννιάτικα Λαμπάκια Ηλιακά &amp; Διακοσμητικό</t>
  </si>
  <si>
    <t>ΑΜΟΙΒΗ Υδραυλικού για τοποθέτηση Μετροσωλήνα Δεξαμενής Πετρελαίου</t>
  </si>
  <si>
    <t>Τρυπάνι 8άρι &amp; Γωνίες-Βύσματα για Κρεμάστρα Λάστιχου (Α+Β πολυκ.) 4,00/2</t>
  </si>
  <si>
    <t>2 Βάνες Μετροσωλήνα &amp; 2 Ασφάλειες &amp; 2 Λαστιχάκια Φίλτρου (Α+Β πολυκ.) 9,99/2</t>
  </si>
  <si>
    <t>2 Ανταλλακτικά για Λάστιχο &amp; 2 για Βρύση (Α+Β πολυκ.) 4,00/2</t>
  </si>
  <si>
    <t>Πινέζες για Πίνακα Ανακοινώσεων (Α+Β πολυκ.) 2,50/2</t>
  </si>
  <si>
    <t>Αλφαδολάστιχο 5m, Εξαρτήματα 1/2'' &amp; Σφικτήρες για Μετροσωλήνα (Α+Β πολυκ.) 4,80/2</t>
  </si>
  <si>
    <t>Προστατευτικά για επικίνδυνες γωνίες παραθύρων κλιμακοστασίου (Α+Β πολυκ.) 4,50/2</t>
  </si>
  <si>
    <t>Κόλλα Glass για Κουτί Διαφημιστικών, Αντάπτορας &amp; Διακόπτης (Α+Β πολυκ.) 9,74/2</t>
  </si>
  <si>
    <t>1/2'' Σπυράλ 2*120cm, 2 Γωνίες, 4 Μαστοί, 2 Τάφ &amp; 4 Κολλάρα (Α+Β πολυκ.) 28,00/2</t>
  </si>
  <si>
    <t>Χρέωση στα Κοινόχρηστα Νοεμβρίου 2009, για Είσπραξη από Ενοίκους</t>
  </si>
  <si>
    <t>Λάμπες</t>
  </si>
  <si>
    <t>Λάμπες LED χρωματιστές για Χριστούγεννα-Πρωτοχρονιά (Α+Β πολυκ.) 29,39/2</t>
  </si>
  <si>
    <t>Οικονομική Λάμπα</t>
  </si>
  <si>
    <t>Οικονομική Λάμπα 24 W</t>
  </si>
  <si>
    <t>Πυροσβεστήρας, Σκάλα, Ανιχνευτής CO &amp; Μικροεξαρτήματα Μερεμετιών 155,80/2</t>
  </si>
  <si>
    <t>Χρέωση στα Κοινόχρηστα Δεκεμβρίου 2009, για Είσπραξη από Ενοίκους</t>
  </si>
  <si>
    <t>Κλειδιά Γραμματοκιβωτίου 5,50/2</t>
  </si>
  <si>
    <t>Προβολάκια Κήπου Οικονομικά 30,55/2</t>
  </si>
  <si>
    <t>Σφουγγαρίστρες 6,85/2</t>
  </si>
  <si>
    <t>Αντισκωριακό &amp; Γάντια Καθαριότητας 13,09/2</t>
  </si>
  <si>
    <t>Δέντρα Κήπου &amp; Χώμα 75,00/2</t>
  </si>
  <si>
    <t>Χρέωση στα Κοινόχρηστα Ιανουαρίου 2010, για Είσπραξη από Ενοίκους</t>
  </si>
  <si>
    <t>Επίσκεψη</t>
  </si>
  <si>
    <t>Ημέρες</t>
  </si>
  <si>
    <t>Μ.Ο.</t>
  </si>
  <si>
    <t>Διαφορά</t>
  </si>
  <si>
    <t>Επισκέψεις</t>
  </si>
  <si>
    <t>ΑΑ</t>
  </si>
  <si>
    <t>Πιθανή Βλάβη</t>
  </si>
  <si>
    <t>Αντιμετώπιση</t>
  </si>
  <si>
    <t>Λεπτομέρειες</t>
  </si>
  <si>
    <t>Έγινε</t>
  </si>
  <si>
    <t>Έπρεπε</t>
  </si>
  <si>
    <t>Από Πριν</t>
  </si>
  <si>
    <t>Από Αρχή</t>
  </si>
  <si>
    <t>Οφείλει</t>
  </si>
  <si>
    <t>Τριφασικό Ρεύμα</t>
  </si>
  <si>
    <r>
      <t xml:space="preserve">Έλεγχος αν λειτουργούν </t>
    </r>
    <r>
      <rPr>
        <b/>
        <sz val="8"/>
        <color rgb="FFFF0000"/>
        <rFont val="Calibri"/>
        <family val="2"/>
        <charset val="161"/>
        <scheme val="minor"/>
      </rPr>
      <t>&amp;</t>
    </r>
    <r>
      <rPr>
        <sz val="8"/>
        <color theme="1"/>
        <rFont val="Calibri"/>
        <family val="2"/>
        <charset val="161"/>
        <scheme val="minor"/>
      </rPr>
      <t xml:space="preserve"> οι 3 φάσεις</t>
    </r>
  </si>
  <si>
    <t>Ταυτόχρονα (Επάνω Αριστερά)</t>
  </si>
  <si>
    <t>Ασφάλεια Διαφυγής</t>
  </si>
  <si>
    <t>Άνοιγμα (Δεξιά Επάνω)</t>
  </si>
  <si>
    <t>Μόνο η Ασφάλεια "Φώτα Φρεατίου" να είναι κλειστή</t>
  </si>
  <si>
    <t>Εμπλοκή Ηλεκτρ.Πίνακα</t>
  </si>
  <si>
    <r>
      <rPr>
        <sz val="8"/>
        <color rgb="FFFF0000"/>
        <rFont val="Calibri"/>
        <family val="2"/>
        <charset val="161"/>
        <scheme val="minor"/>
      </rPr>
      <t>Επανεκκίνηση</t>
    </r>
    <r>
      <rPr>
        <sz val="8"/>
        <color theme="1"/>
        <rFont val="Calibri"/>
        <family val="2"/>
        <charset val="161"/>
        <scheme val="minor"/>
      </rPr>
      <t xml:space="preserve"> (Αριστερά στο Κέντρο)</t>
    </r>
  </si>
  <si>
    <t>Reset</t>
  </si>
  <si>
    <t>Δεν Λειτουργεί</t>
  </si>
  <si>
    <r>
      <t>Απενεργοποίηση "</t>
    </r>
    <r>
      <rPr>
        <sz val="8"/>
        <color rgb="FFFF0000"/>
        <rFont val="Calibri"/>
        <family val="2"/>
        <charset val="161"/>
        <scheme val="minor"/>
      </rPr>
      <t>Κούρσες</t>
    </r>
    <r>
      <rPr>
        <sz val="8"/>
        <rFont val="Calibri"/>
        <family val="2"/>
        <charset val="161"/>
        <scheme val="minor"/>
      </rPr>
      <t>"</t>
    </r>
  </si>
  <si>
    <t>Από Συντηρητή (Προγραμματισμένη Διακοπή)</t>
  </si>
  <si>
    <t>8 φορές ανά 45 μέρες</t>
  </si>
  <si>
    <t>Συμφωνήθηκε</t>
  </si>
  <si>
    <t>6 φορές ανά 2 μήνες</t>
  </si>
  <si>
    <t>Εφαρμόζεται</t>
  </si>
  <si>
    <r>
      <t>Θέματα   Συνέλευσης   17-1-2010</t>
    </r>
    <r>
      <rPr>
        <b/>
        <u/>
        <sz val="12"/>
        <color theme="1"/>
        <rFont val="Calibri"/>
        <family val="2"/>
        <charset val="161"/>
        <scheme val="minor"/>
      </rPr>
      <t xml:space="preserve">   (περίληψη)</t>
    </r>
  </si>
  <si>
    <t>1.</t>
  </si>
  <si>
    <t>Ενημέρωση για όσα έγιναν εντός του 2009.</t>
  </si>
  <si>
    <t>Πρακτικό Παράδοσης-Παραλαβής &amp; με Χιλιοστά Κοινοχρήστων, για αποφυγή μελλοντικών προβλημάτων (μάστιγα Πολυκατοικιών)</t>
  </si>
  <si>
    <t>2.</t>
  </si>
  <si>
    <t>Έλεγχος &amp; επανυπολογισμός Μελέτης Θερμομόνωσης, με πραγματικά στοιχεία, για διόρθωση Χιλιοστών Διαμερισμάτων</t>
  </si>
  <si>
    <t>3.</t>
  </si>
  <si>
    <t>Τοποθέτηση Μετροσωλήνα (πατέντας) στη Δεξαμενή Πετρελαίου (Όφελος 150 € &amp; Αξιοπιστία &amp; αποφυγή Υπερχρεώσεων)</t>
  </si>
  <si>
    <t>4.</t>
  </si>
  <si>
    <t>Κουτί Διαφημιστικών, Πυροσβεστήρας, Κλειδαριές, Απολύμανση, Ονόματα-Αλληλογραφία, Σκάλα, Ασφ.Κλιμακ/σίου, Μικροεξαρτήματα</t>
  </si>
  <si>
    <t>5.</t>
  </si>
  <si>
    <t>Φωτοκύτταρο Εισόδου, Οικονομικές Λάμπες-Προβολείς-LED (Όφελος σχεδόν 800 € το χρόνο ή μείωση ΔΕΗ κατά 60% περίπου)</t>
  </si>
  <si>
    <t>6.</t>
  </si>
  <si>
    <t>Νέα Συμφωνία Συντήρησης Ανελκυστήρα στη Μισή Τιμή, με Έκτακτες Βλάβες-Επισκέψεις &amp; Μικροϋλικά, συν Πρόγραμμα Ελέγχου</t>
  </si>
  <si>
    <t>7.</t>
  </si>
  <si>
    <t>Καπέλα Καμινάδων Τζακιών, Συντήρηση Κήπου (αντικατάσταση δέντρων), Ονόματα Ηλιακών (λάθος)</t>
  </si>
  <si>
    <t>8.</t>
  </si>
  <si>
    <t>Ιστοσελίδα για Κοινόχρηστα (Ημερολόγιο, Αναλυτικοί Πίνακες, Φωτογραφίες Μετροσωλήνα-Μετρητών, Ταμείο-Αναλώσιμα κλπ)</t>
  </si>
  <si>
    <t>9.</t>
  </si>
  <si>
    <t>Από Κατασκευαστή Χάρη: Πυροσβεστήρας Καυστήρα, Είσοδος-Φρεάτιο-Αντλία-Δάπεδο Γκαράζ, 2η Κεραία ΣΚΑΪ</t>
  </si>
  <si>
    <t>Καθιέρωση Αναλυτικότερης Ενημέρωσης πίσω από τα Κοινόχρηστα, λόγω απροθυμίας για την Ιστοσελίδα</t>
  </si>
  <si>
    <t>Οικονομικός Απολογισμός του 2009.</t>
  </si>
  <si>
    <t>Ξεκίνησα με 630 € από τον Χάρη, που μπήκε σαν Πετρέλαιο.</t>
  </si>
  <si>
    <t>Το μετέτρεψα σε Πάγιο-Αποθεματικό και με 2 αυξήσεις 270 € &amp; 300 €, έγινε συνολικά 1.200 €</t>
  </si>
  <si>
    <t>Τήρησα σχολαστικό Ταμείο Διαχείρισης, με σημερινό Υπόλοιπο 377 € (πρέπει να πληρώσω ΔΕΗ ~200 € &amp; Πετρέλαιο ~600 €)</t>
  </si>
  <si>
    <t>Την 1-1-2010 υπήρχε Πετρέλαιο ύψους 92 cm, αξίας 370 € (Απλήρωτο)</t>
  </si>
  <si>
    <t>Επίσης, όπως φαίνεται στο Ταμείο, υπάρχουν κάποιες οφειλές Ενοίκων &amp; Δαπανών</t>
  </si>
  <si>
    <t>Πληρώσαμε Αναλώσιμα 487 € (από 100), Διαχειριστή 540 € (από 0), Συντήρηση Ανελκυστήρα 330 € (από 660) &amp; ΔΕΗ 481 € (από 1.265)</t>
  </si>
  <si>
    <t>Συνολικό Ετήσιο Όφελος, σχεδόν 200 € (&amp; χωρίς υπολογισμό Διαχειριστή, Όφελος πάνω από 700 €). Μείωση ΔΕΗ κατά 60% περίπου</t>
  </si>
  <si>
    <t>Πρόταση για Αλλαγή Διαχειριστή για το 2010.</t>
  </si>
  <si>
    <t>Όπως πρέπει &amp; όπως είπαμε πέρυσι, πρέπει να αλλάζει ο Διαχειριστής κάθε χρόνο</t>
  </si>
  <si>
    <t>Δεν ήταν το όνειρό μου να γίνω Διαχειριστής και ούτε αλλάζουν την οικονομική μου κατάσταση τα 60 € το μήνα</t>
  </si>
  <si>
    <t>Θα ενισχύσει την αμοιβαία εμπιστοσύνη &amp; την κατανόηση των προβλημάτων από όλους &amp; θα προσθέσει νέες ιδέες-ενέργειες</t>
  </si>
  <si>
    <t>Ενημέρωση για εκκρεμότητες που προτείνονται για τακτοποίηση εντός του 2010.</t>
  </si>
  <si>
    <t>Τοποθέτηση Θερμιδομετρητών, κόστους ~170 € ανά Διαμέρισμα, για απόλυτα Δίκαιη χρέωση του Πετρελαίου που καίγεται</t>
  </si>
  <si>
    <t>Ολοκλήρωση αντικατάστασης Οικονομικών Λαμπτήρων-LED, για να γίνει η μείωση 90% από το σημερινό 60%</t>
  </si>
  <si>
    <t>Πυροσβεστήρες σε κάθε όροφο (4 συν Υπόγειο) &amp; Ανιχνευτής CO στο Υπόγειο</t>
  </si>
  <si>
    <t>Διάνοιξη οπής στον τοίχο υπογείου προς Βασιλείου &amp; τοποθέτηση 2 ισχυρών αντικρυστών εξαεριστήρων από Κατασκευαστή</t>
  </si>
  <si>
    <t>Έλεγχος &amp; Συντήρηση Καυστήρα, για εξοικονόμηση καυσίμων &amp; Γενική Απολύμανση</t>
  </si>
  <si>
    <t>Προστατευτικά σε Κολώνες &amp; Τοίχους Πυλωτής &amp; Υπογείου για τα ΙΧ</t>
  </si>
  <si>
    <t>Αλλαγή Κωδικού Κεντρικής Εισόδου σε 4321, για φιλτράρισμα των μη Ενοίκων</t>
  </si>
  <si>
    <t>Ενημέρωση των Αποστολέων Αλληλογραφίας μας, για Αλλαγή Διεύθυνσης σε Β.Βασιλείου &amp; Κόδρου 30 ή σκέτο Κόδρου 30</t>
  </si>
  <si>
    <t>Οποιαδήποτε πρόταση Ενοίκου.</t>
  </si>
  <si>
    <t>Ο απερχόμενος Διαχειριστής</t>
  </si>
  <si>
    <t>Δαπάνες  ανά  Κατηγορία</t>
  </si>
  <si>
    <t>ΠΑΛΙΑ</t>
  </si>
  <si>
    <t>Σύνολα</t>
  </si>
  <si>
    <t>Παλ.Ετήσια</t>
  </si>
  <si>
    <t>Νέα Ετήσια</t>
  </si>
  <si>
    <t>Όφελος</t>
  </si>
  <si>
    <t>Κοινόχρηστα  ανά  Ένοικο</t>
  </si>
  <si>
    <t>"Καπέλα" Καμινάδων Τζακιών</t>
  </si>
  <si>
    <t>Συμφωνεί Οφείλει</t>
  </si>
  <si>
    <t>Πλήρωσε</t>
  </si>
  <si>
    <t>Πιθανή Επιστροφή</t>
  </si>
  <si>
    <t>Τελικό Κόστος</t>
  </si>
  <si>
    <t>ΔΕΝ  ΘΕΛΕΙ</t>
  </si>
  <si>
    <t>ΔΕΝ ΕΧΕΙ ΤΖΑΚΙ</t>
  </si>
  <si>
    <t>Τροποποίηση-Καταχώριση Αναλυτικά των Εξόδων για Αναλώσιμα Υλικά &amp; ότι δεν περιλαμβάνεται στις άλλες Κατηγορίες Δαπανών.</t>
  </si>
  <si>
    <t>Για κάθε Αναλώσιμο, αν θέλετε</t>
  </si>
  <si>
    <t>Τροποποίηση-Δημιουργία Απολογισμού, για την Ετήσια Συνέλευση Ιδιοκτητών-Ενοικιαστών.</t>
  </si>
  <si>
    <t>Κάθε Χρόνο, αν το θέλετε</t>
  </si>
  <si>
    <t>Τροποποίηση-Δημιουργία Ετήσιων Πινάκων Εξόδων-Εσόδων &amp; Γραφήματος Εξόδων, για παρουσίαση στην Ετήσια Συνέλευση.</t>
  </si>
  <si>
    <t>Τροποποίηση-Καταχώριση Στοιχείων Επισκέψεων Συντηρητή Ανελκυστήρα, για Έλεγχο τυχόν Εκκρεμοτήτων.</t>
  </si>
  <si>
    <t>Όποτε &amp; αν θέλετε</t>
  </si>
  <si>
    <t>Τροποποίηση-Δημιουργία Πίνακα για κάτι Έκτακτο, όπως π.χ. για την Ομαδική Τοποθέτηση "Καπέλων" Καμινάδων Τζακιών.</t>
  </si>
  <si>
    <t>Όποτε &amp; αν χρειαστεί</t>
  </si>
  <si>
    <t>Κόκκινες Καρτέλες</t>
  </si>
  <si>
    <t>Μπλε Καρτέλες</t>
  </si>
  <si>
    <t>Πράσινες Καρτέλες</t>
  </si>
  <si>
    <t>Γκρι Καρτέλες</t>
  </si>
  <si>
    <t>..… &amp;          λίγη          Φ Λ Υ Α Ρ Ι Α ..…</t>
  </si>
  <si>
    <t>για Μηνιαία Καταχώριση Στοιχείων  ………………………………………………………………………………………..</t>
  </si>
  <si>
    <t>για Εκτύπωση Μηνιαίων Κοινοχρήστων  ………………………………………………………………………………….</t>
  </si>
  <si>
    <t>για Αρχική Καταχώριση Στοιχείων  …………………………………………………………………………………………..</t>
  </si>
  <si>
    <t>Το ένα χέρι νίβει το άλλο και τα δυό το πρόσωπο.  Γιατί κάθε φορά και ο καθένας μας να ανακαλύπτει εξ' αρχής τον τροχό ;
Ζούμε στην εποχή της πληροφορικής και κυρίως της πληροφορίας.  Η σωστή πληροφορία, την κατάλληλη στιγμή, είναι δύναμη.
Τώρα λοιπόν, που έχουμε αυτό το ΚΑΤΑΠΛΗΚΤΙΚΟ εργαλείο που λέγεται ΙΝΤΕΡΝΕΤ, έχουμε τη δυνατότητα να καταθέτει ο καθένας μας τις ιδέες, τις γνώσεις και τις προτάσεις του, με αποτέλεσμα να δημιουργούμε τον μεγαλύτερο πλούτο πληροφοριών που υπήρξε ποτέ.
Ταυτόχρονα, έχουμε όλοι τη δυνατότητα, να κάνουμε κτήμα μας αυτόν τον πλούτο ΔΩΡΕΑΝ, με σημαντικότατα κέρδη όπως, εξοικονόμηση χρόνου και χρήματος, βελτίωση της υγείας μας, των γνώσεών μας, της εργασίας μας και των συνθηκών της ζωής μας γενικότερα, προστασία του περιβάλλοντος και της ελεύθερης διακίνησης των ιδεών κλπ κλπ.
http://dorean-free.blogspot.com
Αυτό το ΕΡΑΣΙΤΕΧΝΙΚΟ προγραμματάκι Κοινοχρήστων, είναι μια μικρή δική μου συμβολή στην κοινή προσπάθεια &amp; θα το βρίσκετε στη Διεύθυνση: http://spiti.ofotis.operaunite.com/arhia
Με εκτίμηση, Τσιρίδης Φώτης, ofotis@gmail.com  ( http://ofotis.blogspot.com ).</t>
  </si>
  <si>
    <t>Ενημέρωση για τη Νομοθεσία: Κανονισμός Κατανομής Δαπανών Κεντρικής Θέρμανσης, Π.Δ. 27-9/7-11-85 (ΦΕΚ-631 Δ').</t>
  </si>
  <si>
    <t>Αν θέλετε</t>
  </si>
  <si>
    <t>Περιγραφή  Αναλώσιμων  Πολυκατοικίας</t>
  </si>
  <si>
    <r>
      <t>Σ  Υ  Ν  Ο  Λ  Α</t>
    </r>
    <r>
      <rPr>
        <b/>
        <sz val="8"/>
        <color theme="1"/>
        <rFont val="Calibri"/>
        <family val="2"/>
        <charset val="161"/>
        <scheme val="minor"/>
      </rPr>
      <t xml:space="preserve">     (Πληρωτέο, με απόκλιση 0,5 €, λόγω στρογγυλοποίησης)</t>
    </r>
  </si>
  <si>
    <r>
      <t xml:space="preserve">Απαιτούμενες Ενέργειες (Απαραίτητες κάθε Μήνα, όσες έχουν </t>
    </r>
    <r>
      <rPr>
        <b/>
        <sz val="12"/>
        <color rgb="FFFF0000"/>
        <rFont val="Calibri"/>
        <family val="2"/>
        <charset val="161"/>
        <scheme val="minor"/>
      </rPr>
      <t>Κόκκινο</t>
    </r>
    <r>
      <rPr>
        <b/>
        <sz val="12"/>
        <rFont val="Calibri"/>
        <family val="2"/>
        <charset val="161"/>
        <scheme val="minor"/>
      </rPr>
      <t xml:space="preserve"> Αριθμό)</t>
    </r>
  </si>
  <si>
    <t>αν χρειαστούν &amp; Βοηθητικά ή για Ενημέρωση  ….……………………………………………………………………</t>
  </si>
  <si>
    <t>Στην Καρτέλα "Θέρμανση", Υπολογίζεται η Αυτόνομη Θέρμανση, δηλαδή η Κατανομή του Πετρελαίου βάσει των Ωρών.</t>
  </si>
  <si>
    <t>Το Παλιό Περιβόητο 30%</t>
  </si>
  <si>
    <r>
      <rPr>
        <b/>
        <sz val="9"/>
        <color rgb="FFFF0000"/>
        <rFont val="Calibri"/>
        <family val="2"/>
        <charset val="161"/>
        <scheme val="minor"/>
      </rPr>
      <t>Συντελεστής παραμένουσας επιβάρυνσης fi</t>
    </r>
    <r>
      <rPr>
        <sz val="9"/>
        <color theme="1"/>
        <rFont val="Calibri"/>
        <family val="2"/>
        <charset val="161"/>
        <scheme val="minor"/>
      </rPr>
      <t xml:space="preserve"> = ω - ( x + y + z ) όπου ΣΥΝΤΕΛΕΣΤΗΣ ω:
ω για κτίρια με θερμομόνωση (&amp; για κτίρια χωρίς θερμομόνωση: ΧΘ) σύμφωνα με τον κανονισμό:
ω = 0.60 (&amp; ω = 0.50 ΧΘ) για ιδιοκτησίες σε υπόγειο ή ημιυπόγειο
ω = 0.65 (&amp; ω = 0.55 ΧΘ) για ενδιάμεσες ιδιοκτησίες, και
ω = 0.55 (&amp; ω = 0.45 ΧΘ) για τις υπόλοιπες ιδιοκτησίες τις οποίες το ΦΕΚ ορίζει σαν: "ιδιοκτησίες που το 50% τουλάχιστον της οροφής ή του δαπέδου τους αποτελεί εξωτερική επιφάνεια του κτιρίου".
Στην ουσία τα ρετιρέ και οι πρώτοι όροφοι σε pilotis.
ΣΥΝΤΕΛΕΣΤΗΣ x
x = 0 εάν οι ΚΕΝΤΡΙΚΕΣ σωληνώσεις για περισσότερα απο τα 2/3 των σωμάτων της ιδιοκτησίας διέρχονται μέσα απο την ιδιοκτησία.
x=0.06 αν οι ΚΕΝΤΡΙΚΕΣ σωληνώσεις λιγότερο απο το 1/3 των σωμάτων διέρχονται μέσα απο την ιδιοκτησία, και 
x=0.03 για τις υπόλοιπες περιπτώσεις.
(Για την πλειοψηφία των οικοδομών με σύγχρονη κατασκευή όπου οι ΚΕΝΤΡΙΚΕΣ σωληνώσεις διέρχονται απο τους κοινόχρηστους διαδρομους ο συντελεστής αυτός πέρνει την τιμή 0.06)
ΣΥΝΤΕΛΕΣΤΗΣ y. To y εξαρτάται απο το εμβαδό του διαμερίσματος και είναι:
y=0 για εμβαδό &gt;= απο 110m2     y=0.04 για εμβαδό απο 75m2 μέχρι 109.99m2     y=0.08 για εμβαδό απο 40m2 μέχρι 74.99m2     y=0.12 για εμβαδό μικρότερο απο 40m2
ΣΥΝΤΕΛΕΣΤΗΣ z. Το z εξαρτάται απο τον παράγοντα σf= Fεξi / Fπαρi όπου :
Fεξi = ΕΞΩΤΕΡΙΚΗ παράπλευρη επιφάνεια της ιδιοκτησίας ΧΩΡΙΣ την οροφή και το δάπεδο   &amp;   Fπαρi = ΣΥΝΟΛΙΚΗ παράπλευρη επιφάνεια της ιδιοκτησίας ΧΩΡΙΣ την οροφή και το δάπεδο.
Πρέπει λοιπόν να υπολογίζουμε την συνολική παράπλευρη επιφάνεια της ιδιοκτησίας και να βρούμε το ποσοστό της που αποτελεί και εξωτερική επιφάνεια.
Αν σf &lt;= 0.20 τότε z = 0.00     0.20 &lt; σf &lt;= 0.35 τότε z = 0.05     0.35 &lt; σf &lt;= 0.50 τότε z = 0.10     0.50 &lt; σf &lt;= 0.65 τότε z = 0.15     σf &gt; 0.65 τότε z = 0.20
Εστω λοιπόν ότι έχεις μία οικοδομή κάτοψης 10x12m (εμβαδό κάτοψης 120m2) με τέσσερα διαμερίσματα. H οικοδομή έχει θερμομονωθεί σύμφωνα με τον κανονισμό θερμομόνωσης (πάντα το υποθέτουμε σε καινούριες οικοδομές) και ότι οι κεντρικές σωληνώσεις διέρχονται απο τον διάδρομο της οικοδομής. Η οικοδομή του παραδείγματός μας έστω ότι έχει:
Ενα διαμέρισμα στο ισόγειο (όχι pilotis) (120m2 , συνολική παράπλευρη επιφάνεια = (10 + 12 + 10 + 12) x (ύψος = π.χ. 3m) = 132m2 και έστω ότι τα 100m2 είναι εξωτερική επιφάνεια , δηλαδή μόνο τα 32m2 παράπλευρης επιφάνειας χωρίζουν την ιδιοκτησία απο εσωτερικό χώρο) 
Δύο διαμερίσματα στον 1ο (60 + 60 m2 με έστω 80m2 συνολική παράπλευρη επιφάνεια το καθένα και 45m2 εξωτερική παράπλευρη επιφάνεια)
και ένα διαμέρισμα στον δεύτερο (120m2 με συνολική παράπλευρη 132m2 και εξωτερική παράπλευρη 100m2), (τα εμβαδά είναι μικτά), τότε θα έχεις τους ακόλουθους συντελεστές:
διαμέρισμα 0Α: ω = 0.60   x = 0.06   y = 0         σf = 100/132 = 0.7575 --&gt; z = 0.20 και συνεπώς   fi = ω - ( x + y + z ) = 0.60 - ( 0.06 + 0 + 0.20) = 0.34
διαμέρισμα 1Α: ω = 0.65   x = 0.06   y = 0.08   σf = 45/80 = 0.5625 -----&gt; z = 0.15 και συνεπώς   fi = ω - ( x + y + z ) = 0.65 - ( 0.06 + 0.08 + 0.15) = 0.36
διαμέρισμα 1Β: ω = 0.65   x = 0.06   y = 0.08   σf = 45/80 = 0.5625 -----&gt; z = 0.15 και συνεπώς   fi = ω - ( x + y + z ) = 0.65 - ( 0.06 + 0.08 + 0.15) = 0.36
διαμέρισμα 2Α: ω = 0.55   x = 0.06   y = 0.0     σf = 100/132 = 0.7575 --&gt; z = 0.20 και συνεπώς   fi = ω - ( x + y + z ) = 0.55 - ( 0.06 + 0 + 0.20) = 0.29</t>
    </r>
  </si>
  <si>
    <r>
      <rPr>
        <b/>
        <sz val="9"/>
        <color rgb="FFFF0000"/>
        <rFont val="Calibri"/>
        <family val="2"/>
        <charset val="161"/>
        <scheme val="minor"/>
      </rPr>
      <t>Συντελεστής επιβαρύνσεων εi</t>
    </r>
    <r>
      <rPr>
        <sz val="9"/>
        <color theme="1"/>
        <rFont val="Calibri"/>
        <family val="2"/>
        <charset val="161"/>
        <scheme val="minor"/>
      </rPr>
      <t xml:space="preserve"> = Qi / ΣQi (Όπου Qi σε Kcal/h οι Θερμικές απώλειες που επιβαρύνουν την ιδιοκτησία i). Qi = Vi . qβ + Qfi + Qai
όπου Vi (m3) ο όγκος της ιδιοκτησίας i όπως προκύπτει από τις διαστάσεις που χρησιμοποιήθηκαν στη μελέτη της κεντρικής θέρμανσης.
Ολικές βασικές απώλειες του κτιρίου Qβ.ολ. [Κcal/h] = Qολ. - Σi (Qfi + Qai) 
όπου : Qολ (Kcal/h) οι ολικές θερμικές απώλειες του κτιρίου όπως προκύπτουν από τη μελέτη θέρμανσης του κτιρίου. 
i(-) δείκτης της κάθε ιδιοκτησίας που από τη μελέτη προβλέπεται ότι θερμαίνεται. 
Qfi (Kcal/h) οι θερμικές απώλειες δια μέσου των εξωτερικών ανοιγμάτων (πόρτες, παράθυρα κ.α.) της ιδιοκτησίας i όπως προκύπτουν από τη μελέτη θέρμανσης του κτιρίου. 
Qai (Kcal/h) οι θερμικές απώλειες χαραμάδων των εξωτερικών ανοιγμάτων της ιδιοκτησίας i όπως προκύπτουν από τη μελέτη θέρμανσης του κτιρίου. </t>
    </r>
  </si>
  <si>
    <r>
      <rPr>
        <b/>
        <sz val="10"/>
        <color rgb="FFFF0000"/>
        <rFont val="Calibri"/>
        <family val="2"/>
        <charset val="161"/>
        <scheme val="minor"/>
      </rPr>
      <t xml:space="preserve">Κανονισμός Κατανομής Δαπανών Κεντρικής Θέρμανσης Π.Δ. 27-9/7-11-85 (ΦΕΚ-631 Δ'),
από το ΚΑΤΑΠΛΗΚΤΙΚΟ </t>
    </r>
    <r>
      <rPr>
        <b/>
        <sz val="12"/>
        <color rgb="FF002060"/>
        <rFont val="Calibri"/>
        <family val="2"/>
        <charset val="161"/>
        <scheme val="minor"/>
      </rPr>
      <t>www.monachos.gr</t>
    </r>
    <r>
      <rPr>
        <b/>
        <sz val="10"/>
        <color rgb="FFFF0000"/>
        <rFont val="Calibri"/>
        <family val="2"/>
        <charset val="161"/>
        <scheme val="minor"/>
      </rPr>
      <t xml:space="preserve"> με παράδειγμα  &amp;  από τον </t>
    </r>
    <r>
      <rPr>
        <b/>
        <sz val="10"/>
        <color rgb="FF002060"/>
        <rFont val="Calibri"/>
        <family val="2"/>
        <charset val="161"/>
        <scheme val="minor"/>
      </rPr>
      <t>www.seya.gr</t>
    </r>
    <r>
      <rPr>
        <b/>
        <sz val="10"/>
        <color rgb="FFFF0000"/>
        <rFont val="Calibri"/>
        <family val="2"/>
        <charset val="161"/>
        <scheme val="minor"/>
      </rPr>
      <t xml:space="preserve"> σε μορφή pdf.</t>
    </r>
  </si>
  <si>
    <t>Η Κοινή Υπουργική Απόφαση για Συντήρηση Ανελκυστήρων, ΦΕΚ 2604-Β' (22-12-2008), προβλέπει Συντήρηση σε Πολυκατοικίες κάθε 45 μέρες.</t>
  </si>
  <si>
    <r>
      <t xml:space="preserve">Σε κτίρια με μετρητές της παροχής θερμότητας σε κάθε μία ιδιοκτησία, </t>
    </r>
    <r>
      <rPr>
        <b/>
        <sz val="9"/>
        <color rgb="FFFF0000"/>
        <rFont val="Calibri"/>
        <family val="2"/>
        <charset val="161"/>
        <scheme val="minor"/>
      </rPr>
      <t>οι δαπάνες λειτουργίας κατανέμονται με</t>
    </r>
    <r>
      <rPr>
        <sz val="9"/>
        <color theme="1"/>
        <rFont val="Calibri"/>
        <family val="2"/>
        <charset val="161"/>
        <scheme val="minor"/>
      </rPr>
      <t xml:space="preserve"> τα παρακάτω ποσοστά π (%). 
</t>
    </r>
    <r>
      <rPr>
        <b/>
        <sz val="9"/>
        <color rgb="FFFF0000"/>
        <rFont val="Calibri"/>
        <family val="2"/>
        <charset val="161"/>
        <scheme val="minor"/>
      </rPr>
      <t>πi</t>
    </r>
    <r>
      <rPr>
        <sz val="9"/>
        <color theme="1"/>
        <rFont val="Calibri"/>
        <family val="2"/>
        <charset val="161"/>
        <scheme val="minor"/>
      </rPr>
      <t xml:space="preserve"> = [fi.εi + Mi/ΣMi. (1-Σfi.εi)] . 100 (όπου Μi (ή Ωi) η διαφορά ενδείξεων του μετρητή της ιδιοκτησίας i ανάμεσα στην τελευταία και την προηγούμενη καταγραφή).</t>
    </r>
  </si>
  <si>
    <t>Το παρακάτω κείμενο, το έγραψα σε Φόρουμ Λίνουξ, που αναζητούσαν πρόγραμμα Κοινοχρήστων:
Για Κοινόχρηστα σε windows υπάρχει το πρόγραμμα του RAM, είναι ΔΩΡΕΑΝ, αλλά έχει περιορισμένες δυνατότητες.
Διαφορετικά πρέπει να το αγοράσεις από την εταιρεία που το έφτιαξε (αν θυμάμαι ~100 ευρώ) και συνήθως πρέπει να πληρώνεις για κάθε αλλαγή.
Έψαξα και εγώ πάρα πολύ, (γιατί με ψήφισαν για Διαχειριστή), αγανάκτησα γιατί δεν έβρισκα ολοκληρωμένη λογική λύση &amp; για άπειρα επιπλέον προβλήματα, όπως ζητήματα Συντελεστών (ορθότητα χιλιοστών), παρακολούθησης Πετρελαίου, Ωρομετρητών, ελέγχου-δημιουργίας Μηχανολογικής Μελέτης, υπολογισμού fi &amp; εi για (Αυτόνομη Θέρμανση), Ταμείου Διαχείρισης (&amp; αναλώσιμων), Ανελκυστήρα, Αποθεματικού, εισαγωγής Σχολίων (για Ενοίκους) κλπ και:
Αποφάσισα &amp; "χτύπησα" πολλά (πάρα πολλά) 15ωρα, επί 1,5 μήνα (συνταξιούχος ων) και έφτιαξα στο Excel-2007, ΤΟ πρόγραμμα Κοινοχρήστων κλπ (για 10 διαμερίσματα), πλήρως παραμετροποιήσιμο, έγινα "σούπερ" Διαχειριστής (με πολλές καινοτομίες &amp; κυρίως Απόλυτη ΔΙΑΦΑΝΕΙΑ, ακόμη &amp; μέσω Internet με ειδικό site) και τους ΧΡΕΩΝΩ 20 ευρώ το μήνα για την έκδοση Κοινοχρήστων και 60 ευρώ το μήνα για τη Διαχείριση.
Σε 1 χρόνο, έκανα Απολογισμό στη Συνέλευση των Ενοίκων για αλλαγή Διαχειριστή, με μείωση των δαπανών Ανελκυστήρα (50%) &amp; ΔΕΗ (60%), υπερκαλύπτοντας τις αμοιβές μου και τις δαπάνες αναλωσίμων (κυρίως Οικονομικούς Λαμπτήρες-Προβολάκια-LED, Πυροσβεστήρες 2 ετών, Ανιχνευτή CO κλπ, καθώς &amp; διάφορες πατέντες). "Και φυσικά το ετήσιο όφελος θα υπάρχει και τα επόμενα χρόνια."
Ζήτησα να αναλάβει ο επόμενος ετήσιος Διαχειριστής, αλλά "ΔΥΣΤΥΧΩΣ" με ξαναψήφισαν ομόφωνα και με πρότειναν &amp; σε 3 ακόμη Πολυκατοικίες (που ανέλαβα τελικά με 20 ευρώ επιπλέον).
Αρκετά σας ΖΑΛΙΣΑ όμως. Δοκίμασα να μετατρέψω ένα προγραμματάκι, (που έκανα πέρυσι σε Excel για εκμάθηση Προπαίδειας), για χρήση σε Linux και διαπίστωσα ότι παρουσιάζονται προβλήματα στις Συναρτήσεις.
Οπότε για τα Κοινόχρηστα, με πολλαπλάσιες &amp; πιό σύνθετες Συναρτήσεις, δεν τόλμησα να κάνω μετατροπή.
Με εκτίμηση, Φώτης.</t>
  </si>
  <si>
    <t>Φυσικά υπάρχουν οι Επαγγελματικές λύσεις, με υψηλές προδιαγραφές, για όποιον θέλει, όπως:
www.poseidon.gr/proionta/kinoxrista     &amp;     www.e-diaxeirisi.gr     &amp;     achaia.building.services     &amp;     www.toktirio.gr     κλπ</t>
  </si>
  <si>
    <t>μέχρι τέλος</t>
  </si>
  <si>
    <r>
      <t>Σ Υ Ν Ο Λ Α</t>
    </r>
    <r>
      <rPr>
        <b/>
        <sz val="10"/>
        <rFont val="Calibri"/>
        <family val="2"/>
        <charset val="161"/>
        <scheme val="minor"/>
      </rPr>
      <t xml:space="preserve">     (τα Ποσά μπορεί να έχουν απόκλιση μέχρι 1 €, λόγω στρογγυλοποίησης)</t>
    </r>
  </si>
  <si>
    <t>Στον ένα από τους 2 σωλήνες Εξαερισμού, τοποθετήθηκε από τον Κατασκευαστή και ηλεκτρικός εξαεριστήρας, που παίρνει ρεύμα από τον μεσαίο προβολέα του υπογείου, με ανίχνευση κίνησης.
 Επίσης, αντικατέστησα τα προβληματικά ειδικά πράσινα λαμπάκια, (που άναβαν μόνο όταν είχε φως), στους διακόπτες που πατάμε για να ανάψουν τα φώτα του κλιμακοστασίου, με έξοδα του Κατασκευαστή.
Λόγω εμφάνισης περισσότερων διαμερισμάτων με Ώρες Θέρμανσης μηνιαία μηδέν (0) ή πολύ λίγες (κάτω από 10), πρόσθεσα μια νέα στήλη με τις Ώρες Θέρμανσης όλων των διαμερισμάτων, στη Συγκεντρωτική Κατάσταση του Πίνακα Ανακοινώσεων. Σας υπενθυμίζω-ενημερώνω ότι σύμφωνα με τη Νομοθεσία, {Π.Δ. 27-9 (7-11-85), ΦΕΚ-631 Δ'},  στις πολυκατοικίες με Αυτόνομη Θέρμανση, περίπου ένα 30% της δαπάνης θέρμανσης, (για τη δική μας πολυκατοικία 28,62%), επιμερίζεται σε όλα τα διαμερίσματα, άσχετα με τις Ώρες και ανάλογα με το (fi*εi) του κάθε διαμερίσματος σύμφωνα με τη Μηχανολογική Μελέτη. Δηλαδή, αν σε ένα μήνα καεί πετρέλαιο αξίας 100 €, θα επιμεριστούν τα 28,62 € σε όλους και τα υπόλοιπα 71,38 € θα επιμεριστούν ανάλογα και με τις Ώρες Θέρμανσης. Οπότε, έστω και αν όλοι έχουν μηδέν Ώρες, εκτός από έναν που έχει (υποθετικά) ακόμη και 1 Ώρα μόνο, αυτός θα πληρώσει τα 71,38 €.
Όπως σας ενημέρωσα, έκανα ήδη αλλαγή του ενιαίου ηλεκτρονικού Κωδικού Κεντρικής Εισόδου, με "κωδικοποιημένο" Κωδικό Συνδυασμό, ανεξάρτητο &amp; μοναδικό για κάθε Διαμέρισμα, για φιλτράρισμα των μη Ενοίκων.
Για αποφυγή τυχόν προβλημάτων ενημέρωσης, θα βρείτε τον ανωτέρω Κωδικό σας στη 1η σελίδα των Κοινοχρήστων που κρατάτε, κάτω από την Ταχυδρομική Διεύθυνση, στη μέση &amp; παρακαλείστε να ενημερώσετε τα μέλη της οικογένειάς σας και τους τυχόν Ενοικιαστές ή Ιδιοκτήτες σας.
Ο παλιός Κωδικός θα σταματήσει να λειτουργεί τελικά, στις 31-3-2010, αλλά θα μπορείτε να χρησιμοποιήτε το Νέο Κωδικό αμέσως μόλις τον μάθετε.</t>
  </si>
  <si>
    <t>*Μετά από δικό σας αίτημα, τοποθετήθηκε Προβολέας με Ανιχνευτή Κίνησης έξω από την είσοδο του Υπόγειου Γκαράζ, με Ηλεκτρολόγο και έξοδα του Κατασκευαστή.
*Επισκευάστηκαν Ηλεκτρολογικά προβλήματα &amp; αντικαταστάθηκαν τα ντουί σε όλες τις θέσεις φωτισμού των πεζοδρομίων της πολυκατοικίας, (φθαρμένα λόγω υγρασίας &amp; υψηλής θερμοκρασίας ή όχι), για να δεχτούν σποτ με LED, (που κάνουν οικονομία 95% και δεν υπερθερμαίνονται για να ξαναχαλάσουν), με Ηλεκτρολόγο και έξοδα του Κατασκευαστή.
*Μετά από ενόχληση του Δήμου ......................, έκλεισαν με ασφαλτικό οι 2 Επικίνδυνες μεγάλες τρύπες στη μέση και στην άκρη της οδού ........................, στον αριθμό 23.
*Πήγα στη ΔΕΗ και έκανα διόρθωση, για να αποφύγουμε την απώλεια του Λογαριασμού και την πιθανή διακοπή του Κοινόχρηστου ρεύματος.
*Επειδή ρωτήθηκα, σχετικά με την πληρωμή του Πάγιου-Αποθεματικού και των Αναλώσιμων, αν επιβαρύνουν τον Ενοικιαστή ή τον Ιδιοκτήτη, σας ενημερώνω τα εξής:
-Επικοινώνησα με τους Συλλόγους-Ενώσεις Ενοικιαστών &amp; Ιδιοκτητών (με τηλέφωνα αντίστοιχα 210-52.46.982 &amp; 210-322.8500) και η αυστηρή απάντησή τους είναι ότι πρέπει πρώτα να κάνουμε Εγγραφή στον Σύλλογό τους, να πληρώσουμε συνδρομή και μετά θα μας απαντήσουν σε οποιοδήποτε ερώτημα οι Νομικοί τους συνεργάτες.
-Με ιδιαίτερη ευγένεια και επιμονή, κατάφερα να πάρω, από μια Δικηγόρο του Συλλόγου Ενοικιαστών, την απάντηση ότι (ασχέτως λογικής) "σύμφωνα με το Νόμο, το Πάγιο-Αποθεματικό και τα Αναλώσιμα, επιβαρύνουν τον Ιδιοκτήτη".
-Άρχισα να ετοιμάζω κείμενο για την ενημέρωσή σας, ότι ήταν ΛΑΘΟΣ η γνώμη μου, που έγραψα και είπα σε μερικούς προσωπικά ή τηλεφωνικά.
-Την επόμενη μέρα επισκέφθηκα τα γραφεία τους (Μαινάνδρου 66), για να μου δώσει η Δικηγόρος (όπως μου υποσχέθηκε) τη σχετική Νομοθεσία.
-Άλλος στη Γραμματεία τους αυτή τη φορά, (πέρασα πάλι την ίδια διαδικασία, ότι πρέπει να πληρώσω πρώτα), επέμεινα ότι συνεννοήθηκα ήδη και μου επιτρέψανε να δω τον Πρόεδρο και Νομικό του Συλλόγου Ενοικιαστών.
-Πήρα την ίδια απάντηση, ότι επιβαρύνεται ο Ιδιοκτήτης, αλλά όταν ζήτησα επίμονα τη σχετική Νομοθεσία που το τεκμηριώνει, πήρα την αφοπλιστική απάντηση ότι δεν υπάρχει Νομοθεσία, αλλά εφαρμόζουν τα προηγούμενα για την αποφυγή προβλημάτων από δύστροπους Ιδιοκτήτες.
-Έκανα επίσης και αρκετή έρευνα στο ΙΝΤΕΡΝΕΤ και σε μεγάλα Γραφεία Έκδοσης Κοινοχρήστων και κατέληξα επίσης στο ότι δεν υπάρχει συγκεκριμένη Νομοθεσία, αλλά εξαρτάται από την εκάστοτε συμφωνία Ιδιοκτήτη-Ενοικιαστή και η καλύτερη περιγραφή βρίσκεται στη διεύθυνση: http://www.polyd.gr/faq-c.htm#faq06
-Φυσικά, επειδή δεν είχα εξουσιοδότηση Ιδιοκτητών &amp; Ενοικιαστών για να κάνω Εγγραφή και να πληρώσω στους αντίστοιχους Συλλόγους, συνεχίζω να βγάζω τα Κοινόχρηστα με τον ίδιο τρόπο και αφού οι αμφισβητούμενες ανωτέρω δαπάνες έχουν ξεχωριστή εγγραφή, αποφασίζετε μόνοι σας (με βάση τη συμφωνία σας) για τα περαιτέρω, εκτός αν κάποιος από εσάς έχει τη δυνατότητα να τεκμηριώσει Νομικά την μια ή την άλλη άποψη.
*Τέλος, επειδή ανέλαβα πριν από 3 μήνες, (με πρόσφατη δική σας Συνέλευση-Απόφαση), αν έχετε οποιοδήποτε πρόβλημα με την Αμοιβή-Υποχρεώσεις του Διαχειριστή ή της Καθαρίστριας ή του Κηπουρού, παρακαλώ να βάλετε μια Υπογραφή δίπλα στο όνομά σας (στα Κοινόχρηστα Φεβρουαρίου), αν θέλετε να γίνει έκτακτη Συνέλευση για να αλλάξει οτιδήποτε βάσει πλειοψηφίας.</t>
  </si>
  <si>
    <t>Από Είσπραξη Κοινοχρήστων Ιανουαρίου 2009. Ένοικος: Ιδιοκτήτης-3, Α3</t>
  </si>
  <si>
    <t>Από Είσπραξη Κοινοχρήστων Ιανουαρίου 2009. Ένοικος: Ιδιοκτήτης-4, Β1</t>
  </si>
  <si>
    <t>Από Είσπραξη Κοινοχρήστων Ιανουαρίου 2009. Ένοικος: Ιδιοκτήτης-5, Β2</t>
  </si>
  <si>
    <t>Από Είσπραξη Κοινοχρήστων Ιανουαρίου 2009. Ένοικος: Ιδιοκτήτης-6, Β3</t>
  </si>
  <si>
    <t>Από Είσπραξη Κοινοχρήστων Ιανουαρίου 2009. Ένοικος: Ενοικιαστής-7, Γ1</t>
  </si>
  <si>
    <t>Από Είσπραξη Κοινοχρήστων Ιανουαρίου 2009. Ένοικος: Ιδιοκτήτης-8, Γ2</t>
  </si>
  <si>
    <t>Από Είσπραξη Κοινοχρήστων Ιανουαρίου 2009. Ένοικος: Ιδιοκτήτης-9, Γ3</t>
  </si>
  <si>
    <t>Από Είσπραξη Κοινοχρήστων Ιανουαρίου 2009. Ένοικος: Ιδιοκτήτης-10, Δ1</t>
  </si>
  <si>
    <t>Από Είσπραξη Κοινοχρήστων Ιανουαρίου 2009. Ένοικος: Ιδιοκτήτης-11, Δ2</t>
  </si>
  <si>
    <t>Από Είσπραξη Κοινοχρήστων Ιανουαρίου 2009. Ένοικος: Ιδιοκτήτης-12, Δ3</t>
  </si>
  <si>
    <t>ΑΡΧΙΚΟΙ   Συντελεστές</t>
  </si>
  <si>
    <t>ΚΛΕΙΣΤΟ</t>
  </si>
  <si>
    <t>Έγινε συντήρηση του καυστήρα.</t>
  </si>
  <si>
    <t>Έκτακτ.</t>
  </si>
  <si>
    <t>Α</t>
  </si>
  <si>
    <t>Β</t>
  </si>
  <si>
    <t>Γ</t>
  </si>
  <si>
    <t>Δ</t>
  </si>
  <si>
    <t>Ε</t>
  </si>
  <si>
    <t>Αιτιολογία  Δαπάνης</t>
  </si>
  <si>
    <t>Ε Ν Η Μ Ε Ρ Ω Σ Η     από     τον     Δ Ι Α Χ Ε Ι Ρ Ι Σ Τ Η</t>
  </si>
  <si>
    <t>ΣΥΜΜΕΤΟΧΗ</t>
  </si>
  <si>
    <t>ΕΝΔΕΙΞΕΙΣ   ΜΕΤΡΗΤΩΝ   ΑΥΤΟΝΟΜΗΣ   ΘΕΡΜΑΝΣΗΣ   ΑΝΑΚΕΦΑΛΑΙΩΤΙΚΑ</t>
  </si>
  <si>
    <t>Διαχειριστής: Φ.Διαχειριστίδης, 697-1234567</t>
  </si>
  <si>
    <t>Διευθύνση 123</t>
  </si>
  <si>
    <t>Νεάπολη - ΑΤΤΙΚΗΣ.</t>
  </si>
  <si>
    <t>Βενζινάς</t>
  </si>
  <si>
    <t>ΕΥΔΑΠ (Νερό) Κοινόχρηστων Χώρων</t>
  </si>
  <si>
    <t>Β3</t>
  </si>
  <si>
    <t>Ε2</t>
  </si>
  <si>
    <t>5ος</t>
  </si>
  <si>
    <t>Ιδιοκτήτης-1</t>
  </si>
  <si>
    <t>Ιδιοκτήτης-2</t>
  </si>
  <si>
    <t>Ιδιοκτήτης-3</t>
  </si>
  <si>
    <t>Ιδιοκτήτης-4</t>
  </si>
  <si>
    <t>Ιδιοκτήτης-5</t>
  </si>
  <si>
    <t>Ιδιοκτήτης-6</t>
  </si>
  <si>
    <t>Ιδιοκτήτης-7</t>
  </si>
  <si>
    <t>Ιδιοκτήτης-8</t>
  </si>
  <si>
    <t>Ιδιοκτήτης-9</t>
  </si>
  <si>
    <t>Ιδιοκτήτης-10</t>
  </si>
  <si>
    <t>Ιδιοκτήτης-11</t>
  </si>
  <si>
    <t>Ιδιοκτήτης-12</t>
  </si>
  <si>
    <t>Α4</t>
  </si>
  <si>
    <t>Β4</t>
  </si>
  <si>
    <t>Γ3</t>
  </si>
  <si>
    <t>Γ4</t>
  </si>
  <si>
    <t>Δ3</t>
  </si>
  <si>
    <t>Δ4</t>
  </si>
  <si>
    <t>Ε3</t>
  </si>
  <si>
    <t>Κ1</t>
  </si>
  <si>
    <t>Κ2</t>
  </si>
  <si>
    <t>Κ3</t>
  </si>
  <si>
    <t>Ισ</t>
  </si>
  <si>
    <t>Ιδιοκτήτης-13</t>
  </si>
  <si>
    <t>Ιδιοκτήτης-14</t>
  </si>
  <si>
    <t>Ιδιοκτήτης-15</t>
  </si>
  <si>
    <t>Ιδιοκτήτης-16</t>
  </si>
  <si>
    <t>Ιδιοκτήτης-17</t>
  </si>
  <si>
    <t>Ιδιοκτήτης-18</t>
  </si>
  <si>
    <t>Ιδιοκτήτης-19</t>
  </si>
  <si>
    <t>Ιδιοκτήτης-20</t>
  </si>
  <si>
    <t>Ιδιοκτήτης-21</t>
  </si>
  <si>
    <t>Ιδιοκτήτης-22</t>
  </si>
  <si>
    <t>Πετρέλαιο Αυτόνομης Θέρμανσης</t>
  </si>
  <si>
    <t>Από Είσπραξη Κοινοχρήστων Ιανουαρίου 2009. Ένοικος: Ιδιοκτήτης-13, Δ4</t>
  </si>
  <si>
    <t>Από Είσπραξη Κοινοχρήστων Ιανουαρίου 2009. Ένοικος: Ιδιοκτήτης-14, Δ5</t>
  </si>
  <si>
    <t>Από Είσπραξη Κοινοχρήστων Ιανουαρίου 2009. Ένοικος: Ιδιοκτήτης-15, Δ6</t>
  </si>
  <si>
    <t>Από Είσπραξη Κοινοχρήστων Ιανουαρίου 2009. Ένοικος: Ιδιοκτήτης-16, Δ7</t>
  </si>
  <si>
    <t>Από Είσπραξη Κοινοχρήστων Ιανουαρίου 2009. Ένοικος: Ιδιοκτήτης-17, Δ8</t>
  </si>
  <si>
    <t>Από Είσπραξη Κοινοχρήστων Ιανουαρίου 2009. Ένοικος: Ιδιοκτήτης-18, Δ9</t>
  </si>
  <si>
    <t>Από Είσπραξη Κοινοχρήστων Ιανουαρίου 2009. Ένοικος: Ιδιοκτήτης-19, Δ10</t>
  </si>
  <si>
    <t>Από Είσπραξη Κοινοχρήστων Ιανουαρίου 2009. Ένοικος: Ιδιοκτήτης-20, Δ11</t>
  </si>
  <si>
    <t>Από Είσπραξη Κοινοχρήστων Ιανουαρίου 2009. Ένοικος: Ιδιοκτήτης-21, Δ12</t>
  </si>
  <si>
    <t>Από Είσπραξη Κοινοχρήστων Ιανουαρίου 2009. Ένοικος: Ιδιοκτήτης-22, Δ13</t>
  </si>
  <si>
    <t>Σ Υ Γ Κ Ε Ν Τ Ρ Ω Τ Ι Κ Ο  ανά ΔΑΠΑΝΗ</t>
  </si>
  <si>
    <r>
      <t xml:space="preserve">Προσωρινοί Συντελ. με μείον π.χ. </t>
    </r>
    <r>
      <rPr>
        <b/>
        <sz val="9"/>
        <color rgb="FFFF0000"/>
        <rFont val="Calibri"/>
        <family val="2"/>
        <charset val="161"/>
        <scheme val="minor"/>
      </rPr>
      <t>100</t>
    </r>
    <r>
      <rPr>
        <b/>
        <sz val="9"/>
        <rFont val="Calibri"/>
        <family val="2"/>
        <charset val="161"/>
        <scheme val="minor"/>
      </rPr>
      <t>%</t>
    </r>
  </si>
  <si>
    <r>
      <t xml:space="preserve">ΝΕΟΙ  Συντελεστές  (&amp; με π.χ. </t>
    </r>
    <r>
      <rPr>
        <b/>
        <sz val="11"/>
        <rFont val="Calibri"/>
        <family val="2"/>
        <charset val="161"/>
        <scheme val="minor"/>
      </rPr>
      <t>-100</t>
    </r>
    <r>
      <rPr>
        <b/>
        <sz val="11"/>
        <color rgb="FFFF0000"/>
        <rFont val="Calibri"/>
        <family val="2"/>
        <charset val="161"/>
        <scheme val="minor"/>
      </rPr>
      <t>%)</t>
    </r>
  </si>
  <si>
    <t>Ερασιτεχνικό Πρόγραμμα Κοινοχρήστων Πολυκατοικίας (για μέχρι 22 Διαμερίσματα &amp; για 1 Χρόνο)</t>
  </si>
  <si>
    <t>Σύνδεσμοι Υπολογισμών:</t>
  </si>
  <si>
    <t>http://www.red-bag.com/engintools/hortankvol.php</t>
  </si>
  <si>
    <t>http://users.sch.gr/geoman22/index2.htm</t>
  </si>
  <si>
    <t>Εύρεση Συμβατικού Ύψους</t>
  </si>
  <si>
    <t>Πρόχειρη εκτίμηση Συμβατικού Ύψους, για ορθογώνια Δεξαμενή.</t>
  </si>
  <si>
    <t>CM</t>
  </si>
  <si>
    <t>Διαφορά CM</t>
  </si>
  <si>
    <t>Διαφορά Λίτρα</t>
  </si>
  <si>
    <t>Συμβατικό Ύψος</t>
  </si>
  <si>
    <r>
      <t xml:space="preserve">Με δεδομένα τα </t>
    </r>
    <r>
      <rPr>
        <b/>
        <sz val="10"/>
        <color rgb="FFFF0000"/>
        <rFont val="Arial"/>
        <family val="2"/>
        <charset val="161"/>
      </rPr>
      <t>a-D-L</t>
    </r>
    <r>
      <rPr>
        <sz val="10"/>
        <rFont val="Arial"/>
        <family val="2"/>
        <charset val="161"/>
      </rPr>
      <t xml:space="preserve"> της Κυλινδρικής Δεξαμενής, γίνεται Υπολογισμός των Λίτρων Πετρελαίου, ανάλογα με τη στάθμη </t>
    </r>
    <r>
      <rPr>
        <b/>
        <sz val="10"/>
        <color rgb="FFFF0000"/>
        <rFont val="Arial"/>
        <family val="2"/>
        <charset val="161"/>
      </rPr>
      <t>h</t>
    </r>
    <r>
      <rPr>
        <sz val="10"/>
        <rFont val="Arial"/>
        <family val="2"/>
        <charset val="161"/>
      </rPr>
      <t xml:space="preserve"> διαφανούς μετρητή σε mm.</t>
    </r>
  </si>
  <si>
    <t>Προσπάθεια της μέγιστης δυνατής προσέγγισης, στα δεδομένα του Κατασκευαστή.</t>
  </si>
  <si>
    <t>a</t>
  </si>
  <si>
    <t>D</t>
  </si>
  <si>
    <t>h</t>
  </si>
  <si>
    <t>L</t>
  </si>
  <si>
    <t>Στάθμη σε cm</t>
  </si>
  <si>
    <t>R</t>
  </si>
  <si>
    <t>x</t>
  </si>
  <si>
    <t>z</t>
  </si>
  <si>
    <t>v</t>
  </si>
  <si>
    <t>Αληθινά Λίτρα</t>
  </si>
  <si>
    <t>Διαφ.CM</t>
  </si>
  <si>
    <t>+5cm</t>
  </si>
  <si>
    <t>+7cm</t>
  </si>
  <si>
    <t>Διαφ.Λίτρα</t>
  </si>
  <si>
    <t>Τύπος</t>
  </si>
  <si>
    <t>Τύπος -50 Λίτρα</t>
  </si>
  <si>
    <t>Καμπυλότητα</t>
  </si>
  <si>
    <t>Διάμετρος</t>
  </si>
  <si>
    <t>Στάθμη</t>
  </si>
  <si>
    <t>Αληθινή -2cm</t>
  </si>
  <si>
    <t>D/2</t>
  </si>
  <si>
    <t>(R-h)/R</t>
  </si>
  <si>
    <t>atan(-x/sqrt(-x*x+1))+2*atan(1)</t>
  </si>
  <si>
    <t>(R^2)*y-((R-h)*sqrt(2*R*h-h^2))</t>
  </si>
  <si>
    <t>(z*L)+(PI()*a*(h^2)*(1-(h/3*R)))</t>
  </si>
  <si>
    <t>v/1000000</t>
  </si>
  <si>
    <t>-7 λίτρα</t>
  </si>
  <si>
    <r>
      <t xml:space="preserve">Μόνο για </t>
    </r>
    <r>
      <rPr>
        <b/>
        <sz val="12"/>
        <color rgb="FFFF0000"/>
        <rFont val="Calibri"/>
        <family val="2"/>
        <charset val="161"/>
        <scheme val="minor"/>
      </rPr>
      <t>ασαφή</t>
    </r>
    <r>
      <rPr>
        <b/>
        <sz val="12"/>
        <rFont val="Calibri"/>
        <family val="2"/>
        <charset val="161"/>
        <scheme val="minor"/>
      </rPr>
      <t xml:space="preserve"> Γεωμετρικά σχήματα Δεξαμενών (μετρήσεις Κατασκευαστή).</t>
    </r>
  </si>
  <si>
    <t>Μείωση</t>
  </si>
  <si>
    <r>
      <t>2</t>
    </r>
    <r>
      <rPr>
        <sz val="9"/>
        <rFont val="Calibri"/>
        <family val="2"/>
        <charset val="161"/>
        <scheme val="minor"/>
      </rPr>
      <t>η Στήλη</t>
    </r>
  </si>
  <si>
    <r>
      <t>5</t>
    </r>
    <r>
      <rPr>
        <sz val="9"/>
        <rFont val="Calibri"/>
        <family val="2"/>
        <charset val="161"/>
        <scheme val="minor"/>
      </rPr>
      <t xml:space="preserve"> (%)</t>
    </r>
  </si>
  <si>
    <r>
      <rPr>
        <sz val="9"/>
        <color rgb="FFFF0000"/>
        <rFont val="Calibri"/>
        <family val="2"/>
        <charset val="161"/>
        <scheme val="minor"/>
      </rPr>
      <t>7</t>
    </r>
    <r>
      <rPr>
        <sz val="9"/>
        <color theme="1"/>
        <rFont val="Calibri"/>
        <family val="2"/>
        <charset val="161"/>
        <scheme val="minor"/>
      </rPr>
      <t>(3*4)</t>
    </r>
  </si>
  <si>
    <r>
      <rPr>
        <sz val="9"/>
        <color rgb="FFFF0000"/>
        <rFont val="Calibri"/>
        <family val="2"/>
        <charset val="161"/>
        <scheme val="minor"/>
      </rPr>
      <t>8</t>
    </r>
    <r>
      <rPr>
        <sz val="9"/>
        <color theme="1"/>
        <rFont val="Calibri"/>
        <family val="2"/>
        <charset val="161"/>
        <scheme val="minor"/>
      </rPr>
      <t>(3*4*5)</t>
    </r>
  </si>
  <si>
    <r>
      <rPr>
        <sz val="9"/>
        <color rgb="FFFF0000"/>
        <rFont val="Calibri"/>
        <family val="2"/>
        <charset val="161"/>
        <scheme val="minor"/>
      </rPr>
      <t>9</t>
    </r>
    <r>
      <rPr>
        <sz val="9"/>
        <color theme="1"/>
        <rFont val="Calibri"/>
        <family val="2"/>
        <charset val="161"/>
        <scheme val="minor"/>
      </rPr>
      <t>(4*6)</t>
    </r>
  </si>
  <si>
    <r>
      <rPr>
        <sz val="9"/>
        <color rgb="FFFF0000"/>
        <rFont val="Calibri"/>
        <family val="2"/>
        <charset val="161"/>
        <scheme val="minor"/>
      </rPr>
      <t>10</t>
    </r>
    <r>
      <rPr>
        <sz val="9"/>
        <color theme="1"/>
        <rFont val="Calibri"/>
        <family val="2"/>
        <charset val="161"/>
        <scheme val="minor"/>
      </rPr>
      <t>(Σ9)</t>
    </r>
  </si>
  <si>
    <r>
      <rPr>
        <sz val="9"/>
        <color rgb="FFFF0000"/>
        <rFont val="Calibri"/>
        <family val="2"/>
        <charset val="161"/>
        <scheme val="minor"/>
      </rPr>
      <t>11</t>
    </r>
    <r>
      <rPr>
        <sz val="9"/>
        <color theme="1"/>
        <rFont val="Calibri"/>
        <family val="2"/>
        <charset val="161"/>
        <scheme val="minor"/>
      </rPr>
      <t>(Σ8)</t>
    </r>
  </si>
  <si>
    <r>
      <rPr>
        <sz val="9"/>
        <color rgb="FFFF0000"/>
        <rFont val="Calibri"/>
        <family val="2"/>
        <charset val="161"/>
        <scheme val="minor"/>
      </rPr>
      <t>12</t>
    </r>
    <r>
      <rPr>
        <sz val="9"/>
        <color theme="1"/>
        <rFont val="Calibri"/>
        <family val="2"/>
        <charset val="161"/>
        <scheme val="minor"/>
      </rPr>
      <t>(9:10)</t>
    </r>
  </si>
  <si>
    <r>
      <rPr>
        <sz val="9"/>
        <color rgb="FFFF0000"/>
        <rFont val="Calibri"/>
        <family val="2"/>
        <charset val="161"/>
        <scheme val="minor"/>
      </rPr>
      <t>13</t>
    </r>
    <r>
      <rPr>
        <sz val="9"/>
        <color theme="1"/>
        <rFont val="Calibri"/>
        <family val="2"/>
        <charset val="161"/>
        <scheme val="minor"/>
      </rPr>
      <t>([1]-11)</t>
    </r>
  </si>
  <si>
    <r>
      <rPr>
        <sz val="9"/>
        <color rgb="FFFF0000"/>
        <rFont val="Calibri"/>
        <family val="2"/>
        <charset val="161"/>
        <scheme val="minor"/>
      </rPr>
      <t>14</t>
    </r>
    <r>
      <rPr>
        <sz val="9"/>
        <color theme="1"/>
        <rFont val="Calibri"/>
        <family val="2"/>
        <charset val="161"/>
        <scheme val="minor"/>
      </rPr>
      <t>(12*13)</t>
    </r>
  </si>
  <si>
    <r>
      <rPr>
        <sz val="9"/>
        <color rgb="FFFF0000"/>
        <rFont val="Calibri"/>
        <family val="2"/>
        <charset val="161"/>
        <scheme val="minor"/>
      </rPr>
      <t>15</t>
    </r>
    <r>
      <rPr>
        <sz val="9"/>
        <color theme="1"/>
        <rFont val="Calibri"/>
        <family val="2"/>
        <charset val="161"/>
        <scheme val="minor"/>
      </rPr>
      <t>[(8+14)%]</t>
    </r>
  </si>
  <si>
    <t>Στήλη Χιλιοστών</t>
  </si>
  <si>
    <t>"Θέρμανση"</t>
  </si>
  <si>
    <t>Σε ίσα μέρη</t>
  </si>
  <si>
    <t>(fi*εi)%</t>
  </si>
  <si>
    <t>δ</t>
  </si>
  <si>
    <t>Καθ.Ταμείο</t>
  </si>
  <si>
    <t>Οφ.Ενοίκων</t>
  </si>
  <si>
    <t>ΕΞΟΔΑ</t>
  </si>
  <si>
    <t>Έλεγχος</t>
  </si>
  <si>
    <t>ΔΟΚΙΜΗ για 3 Διαμερίσματα.</t>
  </si>
  <si>
    <t>ΔΟΚΙΜΗ για 5 Καταχωρήσεις.</t>
  </si>
  <si>
    <t>ΔΟΚΙΜΗ για 2 Μήνες.</t>
  </si>
  <si>
    <t>Μετακίνηση στις Καρτέλες με τα Ατομικά Μηνιαία Κοινόχρηστα των Ενοίκων, για ΕΚΤΥΠΩΣΗ, για τα Διαμερίσματα 9&amp;10 κλπ.</t>
  </si>
  <si>
    <r>
      <t xml:space="preserve">Όποιος θέλει να μάθει περισσότερα για τα </t>
    </r>
    <r>
      <rPr>
        <b/>
        <sz val="12"/>
        <color rgb="FFFF0000"/>
        <rFont val="Calibri"/>
        <family val="2"/>
        <charset val="161"/>
        <scheme val="minor"/>
      </rPr>
      <t>Qολ</t>
    </r>
    <r>
      <rPr>
        <b/>
        <sz val="12"/>
        <color theme="1"/>
        <rFont val="Calibri"/>
        <family val="2"/>
        <charset val="161"/>
        <scheme val="minor"/>
      </rPr>
      <t xml:space="preserve">, </t>
    </r>
    <r>
      <rPr>
        <b/>
        <sz val="12"/>
        <color rgb="FFFF0000"/>
        <rFont val="Calibri"/>
        <family val="2"/>
        <charset val="161"/>
        <scheme val="minor"/>
      </rPr>
      <t>Qfi</t>
    </r>
    <r>
      <rPr>
        <b/>
        <sz val="12"/>
        <color theme="1"/>
        <rFont val="Calibri"/>
        <family val="2"/>
        <charset val="161"/>
        <scheme val="minor"/>
      </rPr>
      <t xml:space="preserve"> &amp; </t>
    </r>
    <r>
      <rPr>
        <b/>
        <sz val="12"/>
        <color rgb="FFFF0000"/>
        <rFont val="Calibri"/>
        <family val="2"/>
        <charset val="161"/>
        <scheme val="minor"/>
      </rPr>
      <t>Qai</t>
    </r>
    <r>
      <rPr>
        <b/>
        <sz val="12"/>
        <color theme="1"/>
        <rFont val="Calibri"/>
        <family val="2"/>
        <charset val="161"/>
        <scheme val="minor"/>
      </rPr>
      <t xml:space="preserve">, μπορεί να διαβάσει την ανάλυση του κυρίου Φαντάκη:
</t>
    </r>
    <r>
      <rPr>
        <b/>
        <sz val="12"/>
        <color rgb="FF002060"/>
        <rFont val="Calibri"/>
        <family val="2"/>
        <charset val="161"/>
        <scheme val="minor"/>
      </rPr>
      <t>http://www.fantakis.gr/TEXNIKA/20.%20STOIXIA%20IPOLOGISMOY%20APOLION.pdf</t>
    </r>
  </si>
  <si>
    <r>
      <rPr>
        <b/>
        <sz val="11"/>
        <color rgb="FFFF0000"/>
        <rFont val="Calibri"/>
        <family val="2"/>
        <charset val="161"/>
        <scheme val="minor"/>
      </rPr>
      <t>Όποιος θέλει</t>
    </r>
    <r>
      <rPr>
        <b/>
        <sz val="11"/>
        <color theme="1"/>
        <rFont val="Calibri"/>
        <family val="2"/>
        <charset val="161"/>
        <scheme val="minor"/>
      </rPr>
      <t xml:space="preserve"> να μάθει περισσότερα και να υπολογίσει ΠΑΝΕΥΚΟΛΑ τα </t>
    </r>
    <r>
      <rPr>
        <b/>
        <sz val="11"/>
        <color rgb="FFFF0000"/>
        <rFont val="Calibri"/>
        <family val="2"/>
        <charset val="161"/>
        <scheme val="minor"/>
      </rPr>
      <t>Fεξi</t>
    </r>
    <r>
      <rPr>
        <b/>
        <sz val="11"/>
        <color theme="1"/>
        <rFont val="Calibri"/>
        <family val="2"/>
        <charset val="161"/>
        <scheme val="minor"/>
      </rPr>
      <t xml:space="preserve"> &amp; </t>
    </r>
    <r>
      <rPr>
        <b/>
        <sz val="11"/>
        <color rgb="FFFF0000"/>
        <rFont val="Calibri"/>
        <family val="2"/>
        <charset val="161"/>
        <scheme val="minor"/>
      </rPr>
      <t>Fπαρi</t>
    </r>
    <r>
      <rPr>
        <b/>
        <sz val="11"/>
        <color theme="1"/>
        <rFont val="Calibri"/>
        <family val="2"/>
        <charset val="161"/>
        <scheme val="minor"/>
      </rPr>
      <t xml:space="preserve"> (και ΠΟΛΛΑ άλλα), στη διεύθυνση:
</t>
    </r>
    <r>
      <rPr>
        <b/>
        <sz val="11"/>
        <color rgb="FF002060"/>
        <rFont val="Calibri"/>
        <family val="2"/>
        <charset val="161"/>
        <scheme val="minor"/>
      </rPr>
      <t xml:space="preserve">http://www.diaxeiristis.com/phpBB2/viewtopic.php?t=2022&amp;postdays=0&amp;postorder=asc&amp;start=0&amp;sid=5d81bd43cb78597febdabdedda14fc84
</t>
    </r>
    <r>
      <rPr>
        <b/>
        <sz val="11"/>
        <color theme="1"/>
        <rFont val="Calibri"/>
        <family val="2"/>
        <charset val="161"/>
        <scheme val="minor"/>
      </rPr>
      <t xml:space="preserve">θα βρει ένα </t>
    </r>
    <r>
      <rPr>
        <b/>
        <sz val="11"/>
        <color rgb="FFFF0000"/>
        <rFont val="Calibri"/>
        <family val="2"/>
        <charset val="161"/>
        <scheme val="minor"/>
      </rPr>
      <t>ΕΠΑΓΓΕΛΜΑΤΙΚΟΥ επιπέδου</t>
    </r>
    <r>
      <rPr>
        <b/>
        <sz val="11"/>
        <color theme="1"/>
        <rFont val="Calibri"/>
        <family val="2"/>
        <charset val="161"/>
        <scheme val="minor"/>
      </rPr>
      <t xml:space="preserve"> </t>
    </r>
    <r>
      <rPr>
        <b/>
        <sz val="11"/>
        <rFont val="Calibri"/>
        <family val="2"/>
        <charset val="161"/>
        <scheme val="minor"/>
      </rPr>
      <t>Πρόγραμμα</t>
    </r>
    <r>
      <rPr>
        <b/>
        <sz val="11"/>
        <color theme="1"/>
        <rFont val="Calibri"/>
        <family val="2"/>
        <charset val="161"/>
        <scheme val="minor"/>
      </rPr>
      <t xml:space="preserve"> από τον gtsoukn ΔΩΡΕΑΝ.</t>
    </r>
  </si>
  <si>
    <r>
      <t xml:space="preserve">Όποιος θέλει κάτι </t>
    </r>
    <r>
      <rPr>
        <b/>
        <sz val="12"/>
        <color rgb="FFFF0000"/>
        <rFont val="Calibri"/>
        <family val="2"/>
        <charset val="161"/>
        <scheme val="minor"/>
      </rPr>
      <t>εξειδικευμένο</t>
    </r>
    <r>
      <rPr>
        <b/>
        <sz val="12"/>
        <color theme="1"/>
        <rFont val="Calibri"/>
        <family val="2"/>
        <charset val="161"/>
        <scheme val="minor"/>
      </rPr>
      <t xml:space="preserve">, στη διεύθυνση: </t>
    </r>
    <r>
      <rPr>
        <b/>
        <sz val="12"/>
        <color rgb="FF002060"/>
        <rFont val="Calibri"/>
        <family val="2"/>
        <charset val="161"/>
        <scheme val="minor"/>
      </rPr>
      <t xml:space="preserve">http://www.monachos.gr/forum/topic.asp?TOPIC_ID=1391&amp;whichpage=1
</t>
    </r>
    <r>
      <rPr>
        <b/>
        <sz val="12"/>
        <color theme="1"/>
        <rFont val="Calibri"/>
        <family val="2"/>
        <charset val="161"/>
        <scheme val="minor"/>
      </rPr>
      <t xml:space="preserve">θα βρει ένα ΚΑΤΑΠΛΗΚΤΙΚΟ πολυεπίπεδο </t>
    </r>
    <r>
      <rPr>
        <b/>
        <sz val="12"/>
        <color rgb="FFFF0000"/>
        <rFont val="Calibri"/>
        <family val="2"/>
        <charset val="161"/>
        <scheme val="minor"/>
      </rPr>
      <t>ΠΡΟΓΡΑΜΜΑ</t>
    </r>
    <r>
      <rPr>
        <b/>
        <sz val="12"/>
        <color theme="1"/>
        <rFont val="Calibri"/>
        <family val="2"/>
        <charset val="161"/>
        <scheme val="minor"/>
      </rPr>
      <t xml:space="preserve"> Μελέτης Θέρμανσης-Θερμομόνωσης-κλπ-κλπ από τον iliekater ΔΩΡΕΑΝ.</t>
    </r>
  </si>
  <si>
    <r>
      <t xml:space="preserve">(με προαπαιτούμενα τα στοιχεία που αναφέρονται, </t>
    </r>
    <r>
      <rPr>
        <b/>
        <sz val="20"/>
        <rFont val="Calibri"/>
        <family val="2"/>
        <charset val="161"/>
        <scheme val="minor"/>
      </rPr>
      <t>στα κελιά που είναι σε μαύρο φόντο</t>
    </r>
    <r>
      <rPr>
        <b/>
        <sz val="20"/>
        <color rgb="FFFF0000"/>
        <rFont val="Calibri"/>
        <family val="2"/>
        <charset val="161"/>
        <scheme val="minor"/>
      </rPr>
      <t>, από τον Μηχανολόγο Μηχανικό)</t>
    </r>
  </si>
  <si>
    <t>Τα ΜΩΒ κελιά, σε μερικές Καρτέλες, είναι ΚΛΕΙΔΩΜΕΝΑ, σε αυτό το ΤΕΣΤ.</t>
  </si>
</sst>
</file>

<file path=xl/styles.xml><?xml version="1.0" encoding="utf-8"?>
<styleSheet xmlns="http://schemas.openxmlformats.org/spreadsheetml/2006/main">
  <numFmts count="29">
    <numFmt numFmtId="44" formatCode="_-* #,##0.00\ &quot;€&quot;_-;\-* #,##0.00\ &quot;€&quot;_-;_-* &quot;-&quot;??\ &quot;€&quot;_-;_-@_-"/>
    <numFmt numFmtId="164" formatCode="0.00000"/>
    <numFmt numFmtId="165" formatCode="0.000000000"/>
    <numFmt numFmtId="166" formatCode="#,##0.0000"/>
    <numFmt numFmtId="167" formatCode="#,##0.000"/>
    <numFmt numFmtId="168" formatCode="0.000"/>
    <numFmt numFmtId="169" formatCode="dd/mm/yy;@"/>
    <numFmt numFmtId="170" formatCode="[$-408]mmm\-yy;@"/>
    <numFmt numFmtId="171" formatCode="mmmm"/>
    <numFmt numFmtId="172" formatCode="mmmm\ yyyy"/>
    <numFmt numFmtId="173" formatCode="yyyy"/>
    <numFmt numFmtId="174" formatCode="#,##0.0"/>
    <numFmt numFmtId="175" formatCode="dddd\,\ dd\ mmmm\ yyyy\."/>
    <numFmt numFmtId="176" formatCode="#,##0\ &quot;ώρες&quot;"/>
    <numFmt numFmtId="177" formatCode="dd\ mmmm\ yyyy\,\ dddd"/>
    <numFmt numFmtId="178" formatCode="h:mm;@"/>
    <numFmt numFmtId="179" formatCode="#,##0\ &quot;Διαμ.&quot;"/>
    <numFmt numFmtId="180" formatCode="[$-408]mmmm;@"/>
    <numFmt numFmtId="181" formatCode="yyyy;@"/>
    <numFmt numFmtId="182" formatCode="0.0"/>
    <numFmt numFmtId="183" formatCode="[$-408]mmmm\ yyyy;@"/>
    <numFmt numFmtId="184" formatCode="#,##0\ &quot;€&quot;"/>
    <numFmt numFmtId="185" formatCode="##0\ &quot;cm.&quot;"/>
    <numFmt numFmtId="186" formatCode="mmm\-yyyy"/>
    <numFmt numFmtId="187" formatCode="[$-408]d\-mmm\-yy;@"/>
    <numFmt numFmtId="188" formatCode="[$-408]mmm\.yy;@"/>
    <numFmt numFmtId="189" formatCode="&quot;(&quot;#,##0\ &quot;€)&quot;"/>
    <numFmt numFmtId="190" formatCode="#,##0\ &quot;Λίτρα&quot;"/>
    <numFmt numFmtId="191" formatCode="0.#0\ \ \ &quot;(Πάγιο Θέρμ.: [fi*εi]*[Κόστ.Πετρελ.])&quot;"/>
  </numFmts>
  <fonts count="176">
    <font>
      <sz val="11"/>
      <color theme="1"/>
      <name val="Calibri"/>
      <family val="2"/>
      <charset val="161"/>
      <scheme val="minor"/>
    </font>
    <font>
      <sz val="9"/>
      <color theme="1"/>
      <name val="Calibri"/>
      <family val="2"/>
      <charset val="161"/>
      <scheme val="minor"/>
    </font>
    <font>
      <sz val="9"/>
      <color rgb="FFFF0000"/>
      <name val="Calibri"/>
      <family val="2"/>
      <charset val="161"/>
      <scheme val="minor"/>
    </font>
    <font>
      <sz val="9"/>
      <name val="Calibri"/>
      <family val="2"/>
      <charset val="161"/>
      <scheme val="minor"/>
    </font>
    <font>
      <sz val="10"/>
      <name val="Arial Greek"/>
      <charset val="161"/>
    </font>
    <font>
      <b/>
      <sz val="12"/>
      <color rgb="FFFF0000"/>
      <name val="Calibri"/>
      <family val="2"/>
      <charset val="161"/>
      <scheme val="minor"/>
    </font>
    <font>
      <b/>
      <sz val="16"/>
      <color theme="1"/>
      <name val="Calibri"/>
      <family val="2"/>
      <charset val="161"/>
      <scheme val="minor"/>
    </font>
    <font>
      <b/>
      <sz val="36"/>
      <color rgb="FF002060"/>
      <name val="Calibri"/>
      <family val="2"/>
      <charset val="161"/>
      <scheme val="minor"/>
    </font>
    <font>
      <b/>
      <sz val="10"/>
      <color theme="1"/>
      <name val="Calibri"/>
      <family val="2"/>
      <charset val="161"/>
      <scheme val="minor"/>
    </font>
    <font>
      <b/>
      <sz val="20"/>
      <color rgb="FF002060"/>
      <name val="Calibri"/>
      <family val="2"/>
      <charset val="161"/>
      <scheme val="minor"/>
    </font>
    <font>
      <b/>
      <sz val="12"/>
      <color theme="1"/>
      <name val="Calibri"/>
      <family val="2"/>
      <charset val="161"/>
      <scheme val="minor"/>
    </font>
    <font>
      <b/>
      <sz val="12"/>
      <name val="Calibri"/>
      <family val="2"/>
      <charset val="161"/>
      <scheme val="minor"/>
    </font>
    <font>
      <sz val="10"/>
      <color theme="1"/>
      <name val="Calibri"/>
      <family val="2"/>
      <charset val="161"/>
      <scheme val="minor"/>
    </font>
    <font>
      <b/>
      <sz val="14"/>
      <color rgb="FFFF0000"/>
      <name val="Calibri"/>
      <family val="2"/>
      <charset val="161"/>
      <scheme val="minor"/>
    </font>
    <font>
      <sz val="12"/>
      <name val="Calibri"/>
      <family val="2"/>
      <charset val="161"/>
      <scheme val="minor"/>
    </font>
    <font>
      <sz val="12"/>
      <color rgb="FFFF0000"/>
      <name val="Calibri"/>
      <family val="2"/>
      <charset val="161"/>
      <scheme val="minor"/>
    </font>
    <font>
      <sz val="10"/>
      <color rgb="FFFF0000"/>
      <name val="Calibri"/>
      <family val="2"/>
      <charset val="161"/>
      <scheme val="minor"/>
    </font>
    <font>
      <b/>
      <sz val="10"/>
      <color rgb="FFFF0000"/>
      <name val="Calibri"/>
      <family val="2"/>
      <charset val="161"/>
      <scheme val="minor"/>
    </font>
    <font>
      <sz val="12"/>
      <color theme="1"/>
      <name val="Calibri"/>
      <family val="2"/>
      <charset val="161"/>
      <scheme val="minor"/>
    </font>
    <font>
      <i/>
      <sz val="9"/>
      <name val="Calibri"/>
      <family val="2"/>
      <charset val="161"/>
      <scheme val="minor"/>
    </font>
    <font>
      <i/>
      <sz val="9"/>
      <color rgb="FFFF0000"/>
      <name val="Calibri"/>
      <family val="2"/>
      <charset val="161"/>
      <scheme val="minor"/>
    </font>
    <font>
      <i/>
      <sz val="9"/>
      <color theme="1"/>
      <name val="Calibri"/>
      <family val="2"/>
      <charset val="161"/>
      <scheme val="minor"/>
    </font>
    <font>
      <b/>
      <sz val="20"/>
      <color rgb="FFFF0000"/>
      <name val="Calibri"/>
      <family val="2"/>
      <charset val="161"/>
      <scheme val="minor"/>
    </font>
    <font>
      <b/>
      <sz val="24"/>
      <color rgb="FF002060"/>
      <name val="Calibri"/>
      <family val="2"/>
      <charset val="161"/>
      <scheme val="minor"/>
    </font>
    <font>
      <sz val="10"/>
      <name val="Arial"/>
      <family val="2"/>
      <charset val="161"/>
    </font>
    <font>
      <sz val="9"/>
      <color rgb="FF002060"/>
      <name val="Calibri"/>
      <family val="2"/>
      <charset val="161"/>
      <scheme val="minor"/>
    </font>
    <font>
      <sz val="10"/>
      <color theme="0" tint="-0.34998626667073579"/>
      <name val="Calibri"/>
      <family val="2"/>
      <charset val="161"/>
      <scheme val="minor"/>
    </font>
    <font>
      <b/>
      <sz val="12"/>
      <color theme="0"/>
      <name val="Calibri"/>
      <family val="2"/>
      <charset val="161"/>
      <scheme val="minor"/>
    </font>
    <font>
      <sz val="12"/>
      <color rgb="FFFFFF00"/>
      <name val="Calibri"/>
      <family val="2"/>
      <charset val="161"/>
      <scheme val="minor"/>
    </font>
    <font>
      <sz val="12"/>
      <color theme="0"/>
      <name val="Calibri"/>
      <family val="2"/>
      <charset val="161"/>
      <scheme val="minor"/>
    </font>
    <font>
      <b/>
      <sz val="11"/>
      <color theme="1"/>
      <name val="Calibri"/>
      <family val="2"/>
      <charset val="161"/>
      <scheme val="minor"/>
    </font>
    <font>
      <b/>
      <sz val="10"/>
      <name val="Calibri"/>
      <family val="2"/>
      <charset val="161"/>
      <scheme val="minor"/>
    </font>
    <font>
      <sz val="8"/>
      <color theme="1"/>
      <name val="Calibri"/>
      <family val="2"/>
      <charset val="161"/>
      <scheme val="minor"/>
    </font>
    <font>
      <sz val="7"/>
      <color theme="1"/>
      <name val="Calibri"/>
      <family val="2"/>
      <charset val="161"/>
      <scheme val="minor"/>
    </font>
    <font>
      <sz val="9"/>
      <color indexed="81"/>
      <name val="Tahoma"/>
      <family val="2"/>
      <charset val="161"/>
    </font>
    <font>
      <b/>
      <sz val="9"/>
      <color indexed="81"/>
      <name val="Tahoma"/>
      <family val="2"/>
      <charset val="161"/>
    </font>
    <font>
      <b/>
      <sz val="9"/>
      <color theme="1"/>
      <name val="Calibri"/>
      <family val="2"/>
      <charset val="161"/>
      <scheme val="minor"/>
    </font>
    <font>
      <b/>
      <sz val="7"/>
      <color rgb="FFFF0000"/>
      <name val="Calibri"/>
      <family val="2"/>
      <charset val="161"/>
      <scheme val="minor"/>
    </font>
    <font>
      <sz val="14"/>
      <color theme="1"/>
      <name val="Calibri"/>
      <family val="2"/>
      <charset val="161"/>
      <scheme val="minor"/>
    </font>
    <font>
      <u/>
      <sz val="11"/>
      <color theme="10"/>
      <name val="Calibri"/>
      <family val="2"/>
      <charset val="161"/>
    </font>
    <font>
      <u/>
      <sz val="14"/>
      <color theme="10"/>
      <name val="Calibri"/>
      <family val="2"/>
      <charset val="161"/>
    </font>
    <font>
      <b/>
      <sz val="9"/>
      <color rgb="FFFF0000"/>
      <name val="Calibri"/>
      <family val="2"/>
      <charset val="161"/>
      <scheme val="minor"/>
    </font>
    <font>
      <sz val="8"/>
      <color rgb="FFFF0000"/>
      <name val="Calibri"/>
      <family val="2"/>
      <charset val="161"/>
      <scheme val="minor"/>
    </font>
    <font>
      <sz val="8"/>
      <name val="Calibri"/>
      <family val="2"/>
      <charset val="161"/>
      <scheme val="minor"/>
    </font>
    <font>
      <sz val="8"/>
      <color rgb="FF00B050"/>
      <name val="Calibri"/>
      <family val="2"/>
      <charset val="161"/>
      <scheme val="minor"/>
    </font>
    <font>
      <sz val="7"/>
      <color rgb="FF00B050"/>
      <name val="Calibri"/>
      <family val="2"/>
      <charset val="161"/>
      <scheme val="minor"/>
    </font>
    <font>
      <b/>
      <sz val="8"/>
      <color rgb="FFFF0000"/>
      <name val="Calibri"/>
      <family val="2"/>
      <charset val="161"/>
      <scheme val="minor"/>
    </font>
    <font>
      <b/>
      <sz val="11"/>
      <name val="Calibri"/>
      <family val="2"/>
      <charset val="161"/>
      <scheme val="minor"/>
    </font>
    <font>
      <sz val="6"/>
      <color rgb="FF00B050"/>
      <name val="Calibri"/>
      <family val="2"/>
      <charset val="161"/>
      <scheme val="minor"/>
    </font>
    <font>
      <sz val="6"/>
      <color theme="1"/>
      <name val="Calibri"/>
      <family val="2"/>
      <charset val="161"/>
      <scheme val="minor"/>
    </font>
    <font>
      <sz val="7"/>
      <name val="Calibri"/>
      <family val="2"/>
      <charset val="161"/>
      <scheme val="minor"/>
    </font>
    <font>
      <b/>
      <sz val="9"/>
      <color rgb="FF002060"/>
      <name val="Calibri"/>
      <family val="2"/>
      <charset val="161"/>
      <scheme val="minor"/>
    </font>
    <font>
      <b/>
      <sz val="7"/>
      <name val="Calibri"/>
      <family val="2"/>
      <charset val="161"/>
      <scheme val="minor"/>
    </font>
    <font>
      <b/>
      <sz val="8"/>
      <name val="Calibri"/>
      <family val="2"/>
      <charset val="161"/>
      <scheme val="minor"/>
    </font>
    <font>
      <b/>
      <sz val="9"/>
      <color theme="3"/>
      <name val="Calibri"/>
      <family val="2"/>
      <charset val="161"/>
      <scheme val="minor"/>
    </font>
    <font>
      <b/>
      <sz val="10"/>
      <color theme="3"/>
      <name val="Calibri"/>
      <family val="2"/>
      <charset val="161"/>
      <scheme val="minor"/>
    </font>
    <font>
      <b/>
      <sz val="14"/>
      <color theme="3"/>
      <name val="Calibri"/>
      <family val="2"/>
      <charset val="161"/>
      <scheme val="minor"/>
    </font>
    <font>
      <b/>
      <u/>
      <sz val="14"/>
      <color theme="3"/>
      <name val="Calibri"/>
      <family val="2"/>
      <charset val="161"/>
    </font>
    <font>
      <b/>
      <sz val="8"/>
      <color theme="1"/>
      <name val="Calibri"/>
      <family val="2"/>
      <charset val="161"/>
      <scheme val="minor"/>
    </font>
    <font>
      <b/>
      <sz val="10"/>
      <color rgb="FF002060"/>
      <name val="Calibri"/>
      <family val="2"/>
      <charset val="161"/>
      <scheme val="minor"/>
    </font>
    <font>
      <b/>
      <sz val="9"/>
      <name val="Calibri"/>
      <family val="2"/>
      <charset val="161"/>
      <scheme val="minor"/>
    </font>
    <font>
      <b/>
      <sz val="20"/>
      <color theme="1"/>
      <name val="Calibri"/>
      <family val="2"/>
      <charset val="161"/>
      <scheme val="minor"/>
    </font>
    <font>
      <sz val="20"/>
      <color theme="1"/>
      <name val="Calibri"/>
      <family val="2"/>
      <charset val="161"/>
      <scheme val="minor"/>
    </font>
    <font>
      <b/>
      <sz val="20"/>
      <name val="Calibri"/>
      <family val="2"/>
      <charset val="161"/>
      <scheme val="minor"/>
    </font>
    <font>
      <sz val="10"/>
      <color theme="0" tint="-0.499984740745262"/>
      <name val="Calibri"/>
      <family val="2"/>
      <charset val="161"/>
      <scheme val="minor"/>
    </font>
    <font>
      <sz val="10"/>
      <name val="Calibri"/>
      <family val="2"/>
      <charset val="161"/>
      <scheme val="minor"/>
    </font>
    <font>
      <b/>
      <sz val="36"/>
      <color rgb="FFFF0000"/>
      <name val="Calibri"/>
      <family val="2"/>
      <charset val="161"/>
      <scheme val="minor"/>
    </font>
    <font>
      <b/>
      <sz val="12"/>
      <color rgb="FF002060"/>
      <name val="Calibri"/>
      <family val="2"/>
      <charset val="161"/>
      <scheme val="minor"/>
    </font>
    <font>
      <sz val="11"/>
      <color theme="1"/>
      <name val="Calibri"/>
      <family val="2"/>
      <charset val="161"/>
    </font>
    <font>
      <sz val="10"/>
      <color rgb="FF002060"/>
      <name val="Calibri"/>
      <family val="2"/>
      <charset val="161"/>
      <scheme val="minor"/>
    </font>
    <font>
      <b/>
      <u/>
      <sz val="14"/>
      <color rgb="FFFF0000"/>
      <name val="Calibri"/>
      <family val="2"/>
      <charset val="161"/>
      <scheme val="minor"/>
    </font>
    <font>
      <b/>
      <u/>
      <sz val="20"/>
      <color theme="1"/>
      <name val="Calibri"/>
      <family val="2"/>
      <charset val="161"/>
      <scheme val="minor"/>
    </font>
    <font>
      <b/>
      <u/>
      <sz val="26"/>
      <color theme="1"/>
      <name val="Calibri"/>
      <family val="2"/>
      <charset val="161"/>
      <scheme val="minor"/>
    </font>
    <font>
      <b/>
      <sz val="14"/>
      <name val="Calibri"/>
      <family val="2"/>
      <charset val="161"/>
      <scheme val="minor"/>
    </font>
    <font>
      <sz val="7"/>
      <color rgb="FFFF0000"/>
      <name val="Calibri"/>
      <family val="2"/>
      <charset val="161"/>
      <scheme val="minor"/>
    </font>
    <font>
      <sz val="6"/>
      <name val="Calibri"/>
      <family val="2"/>
      <charset val="161"/>
      <scheme val="minor"/>
    </font>
    <font>
      <sz val="9"/>
      <color theme="0" tint="-0.14999847407452621"/>
      <name val="Calibri"/>
      <family val="2"/>
      <charset val="161"/>
      <scheme val="minor"/>
    </font>
    <font>
      <b/>
      <sz val="34"/>
      <color theme="3"/>
      <name val="Calibri"/>
      <family val="2"/>
      <charset val="161"/>
      <scheme val="minor"/>
    </font>
    <font>
      <b/>
      <sz val="7"/>
      <color theme="1"/>
      <name val="Calibri"/>
      <family val="2"/>
      <charset val="161"/>
      <scheme val="minor"/>
    </font>
    <font>
      <b/>
      <sz val="18"/>
      <color rgb="FFFF0000"/>
      <name val="Calibri"/>
      <family val="2"/>
      <charset val="161"/>
      <scheme val="minor"/>
    </font>
    <font>
      <b/>
      <sz val="8"/>
      <color theme="0"/>
      <name val="Calibri"/>
      <family val="2"/>
      <charset val="161"/>
      <scheme val="minor"/>
    </font>
    <font>
      <b/>
      <sz val="7"/>
      <color theme="0"/>
      <name val="Calibri"/>
      <family val="2"/>
      <charset val="161"/>
      <scheme val="minor"/>
    </font>
    <font>
      <b/>
      <sz val="9"/>
      <color theme="0"/>
      <name val="Calibri"/>
      <family val="2"/>
      <charset val="161"/>
      <scheme val="minor"/>
    </font>
    <font>
      <b/>
      <u/>
      <sz val="20"/>
      <color theme="10"/>
      <name val="Calibri"/>
      <family val="2"/>
      <charset val="161"/>
    </font>
    <font>
      <u/>
      <sz val="10"/>
      <color theme="10"/>
      <name val="Calibri"/>
      <family val="2"/>
      <charset val="161"/>
    </font>
    <font>
      <b/>
      <u/>
      <sz val="28"/>
      <color rgb="FFFF0000"/>
      <name val="Calibri"/>
      <family val="2"/>
      <charset val="161"/>
      <scheme val="minor"/>
    </font>
    <font>
      <b/>
      <u/>
      <sz val="28"/>
      <color theme="10"/>
      <name val="Calibri"/>
      <family val="2"/>
      <charset val="161"/>
    </font>
    <font>
      <u/>
      <sz val="11"/>
      <color theme="0" tint="-0.249977111117893"/>
      <name val="Calibri"/>
      <family val="2"/>
      <charset val="161"/>
    </font>
    <font>
      <u/>
      <sz val="8"/>
      <color theme="10"/>
      <name val="Calibri"/>
      <family val="2"/>
      <charset val="161"/>
    </font>
    <font>
      <u/>
      <sz val="9"/>
      <color theme="10"/>
      <name val="Calibri"/>
      <family val="2"/>
      <charset val="161"/>
    </font>
    <font>
      <b/>
      <u/>
      <sz val="20"/>
      <name val="Calibri"/>
      <family val="2"/>
      <charset val="161"/>
      <scheme val="minor"/>
    </font>
    <font>
      <b/>
      <u/>
      <sz val="16"/>
      <name val="Calibri"/>
      <family val="2"/>
      <charset val="161"/>
      <scheme val="minor"/>
    </font>
    <font>
      <sz val="14"/>
      <name val="Calibri"/>
      <family val="2"/>
      <charset val="161"/>
      <scheme val="minor"/>
    </font>
    <font>
      <sz val="8"/>
      <color rgb="FF002060"/>
      <name val="Calibri"/>
      <family val="2"/>
      <charset val="161"/>
      <scheme val="minor"/>
    </font>
    <font>
      <b/>
      <sz val="11"/>
      <color rgb="FFFF0000"/>
      <name val="Calibri"/>
      <family val="2"/>
      <charset val="161"/>
      <scheme val="minor"/>
    </font>
    <font>
      <b/>
      <sz val="14"/>
      <color theme="1"/>
      <name val="Calibri"/>
      <family val="2"/>
      <charset val="161"/>
      <scheme val="minor"/>
    </font>
    <font>
      <b/>
      <u/>
      <sz val="11"/>
      <color theme="10"/>
      <name val="Calibri"/>
      <family val="2"/>
      <charset val="161"/>
    </font>
    <font>
      <b/>
      <sz val="8"/>
      <color theme="3"/>
      <name val="Calibri"/>
      <family val="2"/>
      <charset val="161"/>
      <scheme val="minor"/>
    </font>
    <font>
      <sz val="14"/>
      <color theme="0" tint="-0.14999847407452621"/>
      <name val="Calibri"/>
      <family val="2"/>
      <charset val="161"/>
    </font>
    <font>
      <u/>
      <sz val="11"/>
      <color theme="0" tint="-0.14999847407452621"/>
      <name val="Calibri"/>
      <family val="2"/>
      <charset val="161"/>
    </font>
    <font>
      <b/>
      <sz val="11"/>
      <color theme="3"/>
      <name val="Calibri"/>
      <family val="2"/>
      <charset val="161"/>
      <scheme val="minor"/>
    </font>
    <font>
      <sz val="11"/>
      <color rgb="FFFF0000"/>
      <name val="Calibri"/>
      <family val="2"/>
      <charset val="161"/>
      <scheme val="minor"/>
    </font>
    <font>
      <b/>
      <sz val="14"/>
      <color rgb="FF002060"/>
      <name val="Calibri"/>
      <family val="2"/>
      <charset val="161"/>
      <scheme val="minor"/>
    </font>
    <font>
      <sz val="14"/>
      <color rgb="FFFF0000"/>
      <name val="Calibri"/>
      <family val="2"/>
      <charset val="161"/>
      <scheme val="minor"/>
    </font>
    <font>
      <sz val="10"/>
      <color theme="4"/>
      <name val="Calibri"/>
      <family val="2"/>
      <charset val="161"/>
      <scheme val="minor"/>
    </font>
    <font>
      <sz val="14"/>
      <color theme="4"/>
      <name val="Calibri"/>
      <family val="2"/>
      <charset val="161"/>
      <scheme val="minor"/>
    </font>
    <font>
      <b/>
      <u/>
      <sz val="12"/>
      <color theme="1"/>
      <name val="Calibri"/>
      <family val="2"/>
      <charset val="161"/>
      <scheme val="minor"/>
    </font>
    <font>
      <b/>
      <sz val="18"/>
      <color theme="1"/>
      <name val="Calibri"/>
      <family val="2"/>
      <charset val="161"/>
      <scheme val="minor"/>
    </font>
    <font>
      <sz val="8"/>
      <color theme="3"/>
      <name val="Calibri"/>
      <family val="2"/>
      <charset val="161"/>
      <scheme val="minor"/>
    </font>
    <font>
      <sz val="10"/>
      <color theme="3"/>
      <name val="Calibri"/>
      <family val="2"/>
      <charset val="161"/>
      <scheme val="minor"/>
    </font>
    <font>
      <sz val="11"/>
      <name val="Calibri"/>
      <family val="2"/>
      <charset val="161"/>
      <scheme val="minor"/>
    </font>
    <font>
      <b/>
      <u/>
      <sz val="24"/>
      <color rgb="FF002060"/>
      <name val="Calibri"/>
      <family val="2"/>
      <charset val="161"/>
      <scheme val="minor"/>
    </font>
    <font>
      <b/>
      <sz val="22"/>
      <color theme="1"/>
      <name val="Calibri"/>
      <family val="2"/>
      <charset val="161"/>
      <scheme val="minor"/>
    </font>
    <font>
      <b/>
      <u/>
      <sz val="14"/>
      <color theme="10"/>
      <name val="Calibri"/>
      <family val="2"/>
      <charset val="161"/>
    </font>
    <font>
      <b/>
      <u/>
      <sz val="18"/>
      <color theme="10"/>
      <name val="Calibri"/>
      <family val="2"/>
      <charset val="161"/>
    </font>
    <font>
      <u/>
      <sz val="22"/>
      <color theme="0" tint="-0.14999847407452621"/>
      <name val="Calibri"/>
      <family val="2"/>
      <charset val="161"/>
    </font>
    <font>
      <b/>
      <u/>
      <sz val="18"/>
      <color theme="0" tint="-4.9989318521683403E-2"/>
      <name val="Calibri"/>
      <family val="2"/>
      <charset val="161"/>
    </font>
    <font>
      <sz val="14"/>
      <color rgb="FFFFFF00"/>
      <name val="Calibri"/>
      <family val="2"/>
      <charset val="161"/>
      <scheme val="minor"/>
    </font>
    <font>
      <b/>
      <sz val="28"/>
      <color rgb="FFFF0000"/>
      <name val="Calibri"/>
      <family val="2"/>
      <charset val="161"/>
      <scheme val="minor"/>
    </font>
    <font>
      <u/>
      <sz val="12"/>
      <color theme="10"/>
      <name val="Calibri"/>
      <family val="2"/>
      <charset val="161"/>
    </font>
    <font>
      <b/>
      <sz val="11"/>
      <color rgb="FFFFFF00"/>
      <name val="Calibri"/>
      <family val="2"/>
      <charset val="161"/>
      <scheme val="minor"/>
    </font>
    <font>
      <b/>
      <u/>
      <sz val="26"/>
      <color theme="10"/>
      <name val="Calibri"/>
      <family val="2"/>
      <charset val="161"/>
    </font>
    <font>
      <sz val="26"/>
      <color theme="1"/>
      <name val="Calibri"/>
      <family val="2"/>
      <charset val="161"/>
      <scheme val="minor"/>
    </font>
    <font>
      <sz val="18"/>
      <name val="Calibri"/>
      <family val="2"/>
      <charset val="161"/>
      <scheme val="minor"/>
    </font>
    <font>
      <b/>
      <sz val="18"/>
      <name val="Calibri"/>
      <family val="2"/>
      <charset val="161"/>
      <scheme val="minor"/>
    </font>
    <font>
      <b/>
      <sz val="10"/>
      <color theme="0"/>
      <name val="Calibri"/>
      <family val="2"/>
      <charset val="161"/>
      <scheme val="minor"/>
    </font>
    <font>
      <i/>
      <sz val="12"/>
      <name val="Calibri"/>
      <family val="2"/>
      <charset val="161"/>
      <scheme val="minor"/>
    </font>
    <font>
      <i/>
      <sz val="12"/>
      <color theme="1"/>
      <name val="Calibri"/>
      <family val="2"/>
      <charset val="161"/>
      <scheme val="minor"/>
    </font>
    <font>
      <b/>
      <i/>
      <sz val="20"/>
      <color rgb="FFFF0000"/>
      <name val="Calibri"/>
      <family val="2"/>
      <charset val="161"/>
      <scheme val="minor"/>
    </font>
    <font>
      <b/>
      <sz val="22"/>
      <color rgb="FF002060"/>
      <name val="Calibri"/>
      <family val="2"/>
      <charset val="161"/>
      <scheme val="minor"/>
    </font>
    <font>
      <b/>
      <i/>
      <sz val="14"/>
      <name val="Calibri"/>
      <family val="2"/>
      <charset val="161"/>
      <scheme val="minor"/>
    </font>
    <font>
      <b/>
      <sz val="18"/>
      <color rgb="FF002060"/>
      <name val="Calibri"/>
      <family val="2"/>
      <charset val="161"/>
      <scheme val="minor"/>
    </font>
    <font>
      <b/>
      <sz val="16"/>
      <color rgb="FF002060"/>
      <name val="Calibri"/>
      <family val="2"/>
      <charset val="161"/>
      <scheme val="minor"/>
    </font>
    <font>
      <sz val="12"/>
      <color theme="0" tint="-0.499984740745262"/>
      <name val="Calibri"/>
      <family val="2"/>
      <charset val="161"/>
      <scheme val="minor"/>
    </font>
    <font>
      <b/>
      <sz val="16"/>
      <color rgb="FFFF0000"/>
      <name val="Calibri"/>
      <family val="2"/>
      <charset val="161"/>
      <scheme val="minor"/>
    </font>
    <font>
      <b/>
      <sz val="8"/>
      <color theme="0" tint="-0.499984740745262"/>
      <name val="Calibri"/>
      <family val="2"/>
      <charset val="161"/>
      <scheme val="minor"/>
    </font>
    <font>
      <sz val="9"/>
      <color theme="0" tint="-0.499984740745262"/>
      <name val="Calibri"/>
      <family val="2"/>
      <charset val="161"/>
      <scheme val="minor"/>
    </font>
    <font>
      <sz val="7"/>
      <color theme="0" tint="-0.499984740745262"/>
      <name val="Calibri"/>
      <family val="2"/>
      <charset val="161"/>
      <scheme val="minor"/>
    </font>
    <font>
      <b/>
      <sz val="10"/>
      <color rgb="FFFF0000"/>
      <name val="Arial"/>
      <family val="2"/>
      <charset val="161"/>
    </font>
    <font>
      <sz val="11"/>
      <color indexed="8"/>
      <name val="Calibri"/>
      <family val="2"/>
      <charset val="161"/>
    </font>
    <font>
      <b/>
      <sz val="8"/>
      <name val="Arial"/>
      <family val="2"/>
    </font>
    <font>
      <b/>
      <sz val="8"/>
      <color rgb="FFFF0000"/>
      <name val="Arial"/>
      <family val="2"/>
    </font>
    <font>
      <sz val="8"/>
      <color indexed="23"/>
      <name val="Tahoma"/>
      <family val="2"/>
    </font>
    <font>
      <b/>
      <sz val="8"/>
      <color indexed="9"/>
      <name val="Arial"/>
      <family val="2"/>
    </font>
    <font>
      <b/>
      <sz val="10"/>
      <color indexed="9"/>
      <name val="Arial"/>
      <family val="2"/>
    </font>
    <font>
      <b/>
      <sz val="8"/>
      <color indexed="23"/>
      <name val="Arial"/>
      <family val="2"/>
    </font>
    <font>
      <sz val="10"/>
      <color rgb="FFFF0000"/>
      <name val="Arial"/>
      <family val="2"/>
      <charset val="161"/>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b/>
      <sz val="14"/>
      <color theme="4"/>
      <name val="Calibri"/>
      <family val="2"/>
      <charset val="161"/>
      <scheme val="minor"/>
    </font>
    <font>
      <i/>
      <sz val="8"/>
      <name val="Calibri"/>
      <family val="2"/>
      <charset val="161"/>
      <scheme val="minor"/>
    </font>
    <font>
      <b/>
      <sz val="9"/>
      <color rgb="FFFFFF00"/>
      <name val="Calibri"/>
      <family val="2"/>
      <charset val="161"/>
      <scheme val="minor"/>
    </font>
    <font>
      <b/>
      <sz val="10"/>
      <color rgb="FFFFFF00"/>
      <name val="Calibri"/>
      <family val="2"/>
      <charset val="161"/>
      <scheme val="minor"/>
    </font>
    <font>
      <b/>
      <sz val="8"/>
      <color rgb="FFFFFF00"/>
      <name val="Calibri"/>
      <family val="2"/>
      <charset val="161"/>
      <scheme val="minor"/>
    </font>
    <font>
      <sz val="10"/>
      <color rgb="FFFFFF00"/>
      <name val="Calibri"/>
      <family val="2"/>
      <charset val="161"/>
      <scheme val="minor"/>
    </font>
    <font>
      <sz val="8"/>
      <color theme="0"/>
      <name val="Calibri"/>
      <family val="2"/>
      <charset val="161"/>
      <scheme val="minor"/>
    </font>
    <font>
      <sz val="10"/>
      <color theme="1" tint="0.249977111117893"/>
      <name val="Calibri"/>
      <family val="2"/>
      <charset val="161"/>
      <scheme val="minor"/>
    </font>
    <font>
      <b/>
      <sz val="8"/>
      <color rgb="FF002060"/>
      <name val="Calibri"/>
      <family val="2"/>
      <charset val="161"/>
      <scheme val="minor"/>
    </font>
    <font>
      <sz val="9"/>
      <color indexed="81"/>
      <name val="Tahoma"/>
      <charset val="1"/>
    </font>
    <font>
      <b/>
      <sz val="9"/>
      <color indexed="81"/>
      <name val="Tahoma"/>
      <charset val="1"/>
    </font>
    <font>
      <b/>
      <sz val="12"/>
      <color rgb="FFFFFF00"/>
      <name val="Calibri"/>
      <family val="2"/>
      <charset val="161"/>
      <scheme val="minor"/>
    </font>
    <font>
      <b/>
      <sz val="11"/>
      <color rgb="FF002060"/>
      <name val="Calibri"/>
      <family val="2"/>
      <charset val="161"/>
      <scheme val="minor"/>
    </font>
  </fonts>
  <fills count="52">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rgb="FF00B0F0"/>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theme="9" tint="-0.499984740745262"/>
        <bgColor indexed="64"/>
      </patternFill>
    </fill>
    <fill>
      <patternFill patternType="solid">
        <fgColor rgb="FF00B050"/>
        <bgColor indexed="64"/>
      </patternFill>
    </fill>
    <fill>
      <patternFill patternType="solid">
        <fgColor theme="4" tint="0.79998168889431442"/>
        <bgColor indexed="64"/>
      </patternFill>
    </fill>
    <fill>
      <patternFill patternType="solid">
        <fgColor rgb="FFFF0000"/>
        <bgColor indexed="64"/>
      </patternFill>
    </fill>
    <fill>
      <patternFill patternType="solid">
        <fgColor rgb="FF0070C0"/>
        <bgColor indexed="64"/>
      </patternFill>
    </fill>
    <fill>
      <patternFill patternType="solid">
        <fgColor theme="0" tint="-0.499984740745262"/>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indexed="5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55"/>
      </patternFill>
    </fill>
    <fill>
      <patternFill patternType="solid">
        <fgColor theme="4" tint="0.599993896298104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rgb="FFFFFF00"/>
      </right>
      <top style="thin">
        <color indexed="64"/>
      </top>
      <bottom style="thin">
        <color indexed="64"/>
      </bottom>
      <diagonal/>
    </border>
    <border>
      <left style="thin">
        <color rgb="FFFFFF00"/>
      </left>
      <right style="thin">
        <color rgb="FFFFFF00"/>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47">
    <xf numFmtId="0" fontId="0" fillId="0" borderId="0"/>
    <xf numFmtId="0" fontId="4" fillId="0" borderId="0"/>
    <xf numFmtId="0" fontId="24" fillId="0" borderId="0"/>
    <xf numFmtId="44" fontId="24" fillId="0" borderId="0" applyFill="0" applyBorder="0" applyAlignment="0" applyProtection="0"/>
    <xf numFmtId="0" fontId="39" fillId="0" borderId="0" applyNumberFormat="0" applyFill="0" applyBorder="0" applyAlignment="0" applyProtection="0">
      <alignment vertical="top"/>
      <protection locked="0"/>
    </xf>
    <xf numFmtId="0" fontId="24" fillId="0" borderId="0"/>
    <xf numFmtId="0" fontId="139" fillId="0" borderId="0"/>
    <xf numFmtId="0" fontId="147" fillId="30" borderId="0" applyNumberFormat="0" applyBorder="0" applyAlignment="0" applyProtection="0"/>
    <xf numFmtId="0" fontId="147" fillId="31" borderId="0" applyNumberFormat="0" applyBorder="0" applyAlignment="0" applyProtection="0"/>
    <xf numFmtId="0" fontId="147" fillId="32" borderId="0" applyNumberFormat="0" applyBorder="0" applyAlignment="0" applyProtection="0"/>
    <xf numFmtId="0" fontId="147" fillId="33" borderId="0" applyNumberFormat="0" applyBorder="0" applyAlignment="0" applyProtection="0"/>
    <xf numFmtId="0" fontId="147" fillId="34" borderId="0" applyNumberFormat="0" applyBorder="0" applyAlignment="0" applyProtection="0"/>
    <xf numFmtId="0" fontId="147" fillId="35" borderId="0" applyNumberFormat="0" applyBorder="0" applyAlignment="0" applyProtection="0"/>
    <xf numFmtId="0" fontId="147" fillId="36" borderId="0" applyNumberFormat="0" applyBorder="0" applyAlignment="0" applyProtection="0"/>
    <xf numFmtId="0" fontId="147" fillId="37" borderId="0" applyNumberFormat="0" applyBorder="0" applyAlignment="0" applyProtection="0"/>
    <xf numFmtId="0" fontId="147" fillId="38" borderId="0" applyNumberFormat="0" applyBorder="0" applyAlignment="0" applyProtection="0"/>
    <xf numFmtId="0" fontId="147" fillId="33" borderId="0" applyNumberFormat="0" applyBorder="0" applyAlignment="0" applyProtection="0"/>
    <xf numFmtId="0" fontId="147" fillId="36" borderId="0" applyNumberFormat="0" applyBorder="0" applyAlignment="0" applyProtection="0"/>
    <xf numFmtId="0" fontId="147" fillId="39" borderId="0" applyNumberFormat="0" applyBorder="0" applyAlignment="0" applyProtection="0"/>
    <xf numFmtId="0" fontId="148" fillId="40" borderId="0" applyNumberFormat="0" applyBorder="0" applyAlignment="0" applyProtection="0"/>
    <xf numFmtId="0" fontId="148" fillId="37" borderId="0" applyNumberFormat="0" applyBorder="0" applyAlignment="0" applyProtection="0"/>
    <xf numFmtId="0" fontId="148" fillId="38"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3" borderId="0" applyNumberFormat="0" applyBorder="0" applyAlignment="0" applyProtection="0"/>
    <xf numFmtId="0" fontId="148" fillId="44" borderId="0" applyNumberFormat="0" applyBorder="0" applyAlignment="0" applyProtection="0"/>
    <xf numFmtId="0" fontId="148" fillId="45" borderId="0" applyNumberFormat="0" applyBorder="0" applyAlignment="0" applyProtection="0"/>
    <xf numFmtId="0" fontId="148" fillId="46" borderId="0" applyNumberFormat="0" applyBorder="0" applyAlignment="0" applyProtection="0"/>
    <xf numFmtId="0" fontId="148" fillId="41" borderId="0" applyNumberFormat="0" applyBorder="0" applyAlignment="0" applyProtection="0"/>
    <xf numFmtId="0" fontId="148" fillId="42" borderId="0" applyNumberFormat="0" applyBorder="0" applyAlignment="0" applyProtection="0"/>
    <xf numFmtId="0" fontId="148" fillId="47" borderId="0" applyNumberFormat="0" applyBorder="0" applyAlignment="0" applyProtection="0"/>
    <xf numFmtId="0" fontId="149" fillId="48" borderId="32" applyNumberFormat="0" applyAlignment="0" applyProtection="0"/>
    <xf numFmtId="0" fontId="150" fillId="48" borderId="33" applyNumberFormat="0" applyAlignment="0" applyProtection="0"/>
    <xf numFmtId="0" fontId="151" fillId="35" borderId="33" applyNumberFormat="0" applyAlignment="0" applyProtection="0"/>
    <xf numFmtId="0" fontId="152" fillId="0" borderId="34" applyNumberFormat="0" applyFill="0" applyAlignment="0" applyProtection="0"/>
    <xf numFmtId="0" fontId="153" fillId="0" borderId="0" applyNumberFormat="0" applyFill="0" applyBorder="0" applyAlignment="0" applyProtection="0"/>
    <xf numFmtId="0" fontId="154" fillId="32" borderId="0" applyNumberFormat="0" applyBorder="0" applyAlignment="0" applyProtection="0"/>
    <xf numFmtId="0" fontId="24" fillId="49" borderId="35" applyNumberFormat="0" applyFont="0" applyAlignment="0" applyProtection="0"/>
    <xf numFmtId="0" fontId="155" fillId="31" borderId="0" applyNumberFormat="0" applyBorder="0" applyAlignment="0" applyProtection="0"/>
    <xf numFmtId="0" fontId="156" fillId="0" borderId="0" applyNumberFormat="0" applyFill="0" applyBorder="0" applyAlignment="0" applyProtection="0"/>
    <xf numFmtId="0" fontId="157" fillId="0" borderId="36" applyNumberFormat="0" applyFill="0" applyAlignment="0" applyProtection="0"/>
    <xf numFmtId="0" fontId="158" fillId="0" borderId="37" applyNumberFormat="0" applyFill="0" applyAlignment="0" applyProtection="0"/>
    <xf numFmtId="0" fontId="159" fillId="0" borderId="38" applyNumberFormat="0" applyFill="0" applyAlignment="0" applyProtection="0"/>
    <xf numFmtId="0" fontId="159" fillId="0" borderId="0" applyNumberFormat="0" applyFill="0" applyBorder="0" applyAlignment="0" applyProtection="0"/>
    <xf numFmtId="0" fontId="160" fillId="0" borderId="39" applyNumberFormat="0" applyFill="0" applyAlignment="0" applyProtection="0"/>
    <xf numFmtId="0" fontId="161" fillId="0" borderId="0" applyNumberFormat="0" applyFill="0" applyBorder="0" applyAlignment="0" applyProtection="0"/>
    <xf numFmtId="0" fontId="162" fillId="50" borderId="40" applyNumberFormat="0" applyAlignment="0" applyProtection="0"/>
  </cellStyleXfs>
  <cellXfs count="977">
    <xf numFmtId="0" fontId="0" fillId="0" borderId="0" xfId="0"/>
    <xf numFmtId="0" fontId="33" fillId="0" borderId="0" xfId="0" applyFont="1" applyAlignment="1" applyProtection="1">
      <alignment horizontal="center" vertical="center"/>
      <protection locked="0"/>
    </xf>
    <xf numFmtId="0" fontId="32" fillId="0" borderId="0" xfId="0" applyFont="1" applyAlignment="1" applyProtection="1">
      <alignment horizontal="center" vertical="center"/>
      <protection locked="0"/>
    </xf>
    <xf numFmtId="14" fontId="32" fillId="0" borderId="0" xfId="0" applyNumberFormat="1" applyFont="1" applyAlignment="1" applyProtection="1">
      <alignment horizontal="center" vertical="center"/>
      <protection locked="0"/>
    </xf>
    <xf numFmtId="4" fontId="12" fillId="0" borderId="1" xfId="0" applyNumberFormat="1" applyFont="1" applyFill="1" applyBorder="1" applyAlignment="1" applyProtection="1">
      <alignment horizontal="center" vertical="center"/>
      <protection locked="0"/>
    </xf>
    <xf numFmtId="4" fontId="32" fillId="7" borderId="1" xfId="0" applyNumberFormat="1" applyFont="1" applyFill="1" applyBorder="1" applyAlignment="1" applyProtection="1">
      <alignment horizontal="center" vertical="center"/>
      <protection locked="0"/>
    </xf>
    <xf numFmtId="0" fontId="30" fillId="0" borderId="0" xfId="0" applyFont="1" applyAlignment="1" applyProtection="1">
      <alignment horizontal="center" vertical="center"/>
      <protection locked="0"/>
    </xf>
    <xf numFmtId="0" fontId="1" fillId="0" borderId="1" xfId="0" applyFont="1" applyBorder="1" applyAlignment="1" applyProtection="1">
      <alignment horizontal="center" vertical="center"/>
      <protection locked="0"/>
    </xf>
    <xf numFmtId="3" fontId="1" fillId="0" borderId="1" xfId="0" applyNumberFormat="1"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169" fontId="33" fillId="0" borderId="1" xfId="0" applyNumberFormat="1" applyFont="1" applyBorder="1" applyAlignment="1" applyProtection="1">
      <alignment horizontal="center" vertical="center"/>
      <protection locked="0"/>
    </xf>
    <xf numFmtId="3" fontId="41" fillId="0" borderId="1" xfId="0" applyNumberFormat="1" applyFont="1" applyBorder="1" applyAlignment="1" applyProtection="1">
      <alignment horizontal="center" vertical="center"/>
      <protection locked="0"/>
    </xf>
    <xf numFmtId="0" fontId="41" fillId="0" borderId="1" xfId="0" applyFont="1" applyBorder="1" applyAlignment="1" applyProtection="1">
      <alignment horizontal="center" vertical="center"/>
      <protection locked="0"/>
    </xf>
    <xf numFmtId="16" fontId="33" fillId="0" borderId="1" xfId="0" applyNumberFormat="1" applyFont="1" applyBorder="1" applyAlignment="1" applyProtection="1">
      <alignment horizontal="center" vertical="center"/>
      <protection locked="0"/>
    </xf>
    <xf numFmtId="0" fontId="6" fillId="0" borderId="0" xfId="0" applyFont="1" applyAlignment="1" applyProtection="1">
      <alignment vertical="center"/>
      <protection locked="0"/>
    </xf>
    <xf numFmtId="0" fontId="6" fillId="0" borderId="0" xfId="0" applyFont="1" applyBorder="1" applyAlignment="1" applyProtection="1">
      <alignment vertical="center"/>
      <protection locked="0"/>
    </xf>
    <xf numFmtId="0" fontId="1" fillId="0" borderId="0" xfId="0" applyFont="1" applyAlignment="1" applyProtection="1">
      <alignment vertical="center"/>
      <protection locked="0"/>
    </xf>
    <xf numFmtId="0" fontId="1" fillId="0" borderId="1" xfId="0" applyFont="1" applyFill="1" applyBorder="1" applyAlignment="1" applyProtection="1">
      <alignment vertical="center"/>
      <protection locked="0"/>
    </xf>
    <xf numFmtId="0" fontId="12" fillId="0" borderId="0" xfId="0" applyFont="1" applyAlignment="1" applyProtection="1">
      <alignment vertical="center"/>
      <protection locked="0"/>
    </xf>
    <xf numFmtId="0" fontId="7" fillId="0" borderId="0" xfId="0" applyFont="1" applyBorder="1" applyAlignment="1" applyProtection="1">
      <alignment horizontal="center" vertical="center"/>
      <protection locked="0"/>
    </xf>
    <xf numFmtId="0" fontId="6" fillId="0" borderId="0" xfId="0" applyFont="1" applyBorder="1" applyAlignment="1" applyProtection="1">
      <alignment horizontal="center" vertical="center"/>
      <protection locked="0"/>
    </xf>
    <xf numFmtId="0" fontId="21" fillId="0" borderId="0" xfId="0" applyFont="1" applyFill="1" applyAlignment="1" applyProtection="1">
      <alignment vertical="center"/>
      <protection locked="0"/>
    </xf>
    <xf numFmtId="0" fontId="14" fillId="0" borderId="0" xfId="0" applyFont="1" applyFill="1" applyBorder="1" applyAlignment="1" applyProtection="1">
      <alignment horizontal="left" vertical="center"/>
      <protection locked="0"/>
    </xf>
    <xf numFmtId="0" fontId="18" fillId="0" borderId="0" xfId="0" applyFont="1" applyFill="1" applyBorder="1" applyAlignment="1" applyProtection="1">
      <alignment vertical="center"/>
      <protection locked="0"/>
    </xf>
    <xf numFmtId="0" fontId="5" fillId="0" borderId="6" xfId="0" applyFont="1" applyFill="1" applyBorder="1" applyAlignment="1" applyProtection="1">
      <alignment horizontal="right" vertical="center"/>
      <protection locked="0"/>
    </xf>
    <xf numFmtId="0" fontId="14" fillId="0" borderId="6" xfId="0" applyFont="1" applyFill="1" applyBorder="1" applyAlignment="1" applyProtection="1">
      <alignment horizontal="right" vertical="center"/>
      <protection locked="0"/>
    </xf>
    <xf numFmtId="0" fontId="14" fillId="0" borderId="6" xfId="0" applyFont="1" applyFill="1" applyBorder="1" applyAlignment="1" applyProtection="1">
      <alignment horizontal="left" vertical="center"/>
      <protection locked="0"/>
    </xf>
    <xf numFmtId="0" fontId="5" fillId="0" borderId="6" xfId="0" applyFont="1" applyFill="1" applyBorder="1" applyAlignment="1" applyProtection="1">
      <alignment horizontal="left" vertical="center"/>
      <protection locked="0"/>
    </xf>
    <xf numFmtId="0" fontId="8" fillId="0" borderId="0" xfId="0" applyFont="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2" fontId="1" fillId="0" borderId="1" xfId="0" applyNumberFormat="1" applyFont="1" applyFill="1" applyBorder="1" applyAlignment="1" applyProtection="1">
      <alignment vertical="center"/>
      <protection locked="0"/>
    </xf>
    <xf numFmtId="2" fontId="47" fillId="0" borderId="4" xfId="0" applyNumberFormat="1" applyFont="1"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3" fontId="32" fillId="0" borderId="1" xfId="0" applyNumberFormat="1" applyFont="1" applyFill="1" applyBorder="1" applyAlignment="1" applyProtection="1">
      <alignment vertical="center"/>
      <protection locked="0"/>
    </xf>
    <xf numFmtId="3" fontId="32" fillId="0" borderId="1" xfId="0" applyNumberFormat="1" applyFont="1" applyFill="1" applyBorder="1" applyAlignment="1" applyProtection="1">
      <alignment horizontal="right" vertical="center"/>
      <protection locked="0"/>
    </xf>
    <xf numFmtId="0" fontId="32" fillId="0" borderId="0" xfId="0" applyFont="1" applyAlignment="1" applyProtection="1">
      <alignment vertical="center"/>
      <protection locked="0"/>
    </xf>
    <xf numFmtId="0" fontId="18" fillId="0" borderId="0" xfId="0" applyFont="1" applyFill="1" applyAlignment="1" applyProtection="1">
      <alignment vertical="center"/>
      <protection locked="0"/>
    </xf>
    <xf numFmtId="0" fontId="38" fillId="0" borderId="0" xfId="0" applyFont="1" applyAlignment="1" applyProtection="1">
      <alignment horizontal="center" vertical="center"/>
      <protection locked="0"/>
    </xf>
    <xf numFmtId="0" fontId="1" fillId="0" borderId="0" xfId="0" applyFont="1" applyBorder="1" applyAlignment="1" applyProtection="1">
      <alignment horizontal="center" vertical="center"/>
      <protection locked="0"/>
    </xf>
    <xf numFmtId="0" fontId="12" fillId="2" borderId="1" xfId="0" applyFont="1" applyFill="1" applyBorder="1" applyAlignment="1" applyProtection="1">
      <alignment horizontal="center" vertical="center"/>
    </xf>
    <xf numFmtId="4" fontId="12" fillId="0" borderId="1" xfId="0" applyNumberFormat="1" applyFont="1" applyFill="1" applyBorder="1" applyAlignment="1" applyProtection="1">
      <alignment horizontal="center" vertical="center"/>
    </xf>
    <xf numFmtId="3" fontId="30" fillId="2" borderId="1" xfId="0" applyNumberFormat="1" applyFont="1" applyFill="1" applyBorder="1" applyAlignment="1" applyProtection="1">
      <alignment horizontal="center" vertical="center"/>
    </xf>
    <xf numFmtId="0" fontId="1" fillId="6"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4" fontId="1" fillId="6" borderId="1" xfId="0" applyNumberFormat="1" applyFont="1" applyFill="1" applyBorder="1" applyAlignment="1" applyProtection="1">
      <alignment vertical="center"/>
    </xf>
    <xf numFmtId="166" fontId="1" fillId="6" borderId="1" xfId="0" applyNumberFormat="1" applyFont="1" applyFill="1" applyBorder="1" applyAlignment="1" applyProtection="1">
      <alignment vertical="center"/>
    </xf>
    <xf numFmtId="3" fontId="16" fillId="2" borderId="1" xfId="0" applyNumberFormat="1" applyFont="1" applyFill="1" applyBorder="1" applyAlignment="1" applyProtection="1">
      <alignment vertical="center"/>
    </xf>
    <xf numFmtId="4" fontId="16" fillId="2" borderId="1" xfId="0" applyNumberFormat="1" applyFont="1" applyFill="1" applyBorder="1" applyAlignment="1" applyProtection="1">
      <alignment vertical="center"/>
    </xf>
    <xf numFmtId="0" fontId="9" fillId="0" borderId="0" xfId="0" applyFont="1" applyBorder="1" applyAlignment="1" applyProtection="1">
      <alignment horizontal="center" vertical="center"/>
    </xf>
    <xf numFmtId="0" fontId="17" fillId="2" borderId="5" xfId="0" applyFont="1" applyFill="1" applyBorder="1" applyAlignment="1" applyProtection="1">
      <alignment horizontal="right" vertical="center"/>
    </xf>
    <xf numFmtId="4" fontId="10" fillId="2" borderId="1" xfId="0" applyNumberFormat="1" applyFont="1" applyFill="1" applyBorder="1" applyAlignment="1" applyProtection="1">
      <alignment horizontal="center" vertical="center"/>
    </xf>
    <xf numFmtId="0" fontId="32" fillId="6" borderId="1" xfId="0" applyFont="1" applyFill="1" applyBorder="1" applyAlignment="1" applyProtection="1">
      <alignment horizontal="center" vertical="center"/>
    </xf>
    <xf numFmtId="3" fontId="32" fillId="6" borderId="1" xfId="0" applyNumberFormat="1" applyFont="1" applyFill="1" applyBorder="1" applyAlignment="1" applyProtection="1">
      <alignment horizontal="right" vertical="center"/>
    </xf>
    <xf numFmtId="174" fontId="32" fillId="6" borderId="1" xfId="0" applyNumberFormat="1" applyFont="1" applyFill="1" applyBorder="1" applyAlignment="1" applyProtection="1">
      <alignment vertical="center"/>
    </xf>
    <xf numFmtId="3" fontId="32" fillId="6" borderId="1" xfId="0" applyNumberFormat="1" applyFont="1" applyFill="1" applyBorder="1" applyAlignment="1" applyProtection="1">
      <alignment vertical="center"/>
    </xf>
    <xf numFmtId="4" fontId="32" fillId="6" borderId="1" xfId="0" applyNumberFormat="1" applyFont="1" applyFill="1" applyBorder="1" applyAlignment="1" applyProtection="1">
      <alignment vertical="center"/>
    </xf>
    <xf numFmtId="166" fontId="32" fillId="6" borderId="1" xfId="0" applyNumberFormat="1" applyFont="1" applyFill="1" applyBorder="1" applyAlignment="1" applyProtection="1">
      <alignment horizontal="right" vertical="center"/>
    </xf>
    <xf numFmtId="3" fontId="2" fillId="2" borderId="1" xfId="0" applyNumberFormat="1" applyFont="1" applyFill="1" applyBorder="1" applyAlignment="1" applyProtection="1">
      <alignment vertical="center"/>
    </xf>
    <xf numFmtId="167" fontId="16" fillId="2" borderId="1" xfId="0" applyNumberFormat="1" applyFont="1" applyFill="1" applyBorder="1" applyAlignment="1" applyProtection="1">
      <alignment vertical="center"/>
    </xf>
    <xf numFmtId="4" fontId="42" fillId="2" borderId="1" xfId="0" applyNumberFormat="1" applyFont="1" applyFill="1" applyBorder="1" applyAlignment="1" applyProtection="1">
      <alignment vertical="center"/>
    </xf>
    <xf numFmtId="166" fontId="2" fillId="2" borderId="1" xfId="0" applyNumberFormat="1" applyFont="1" applyFill="1" applyBorder="1" applyAlignment="1" applyProtection="1">
      <alignment vertical="center"/>
    </xf>
    <xf numFmtId="174" fontId="16" fillId="2" borderId="1" xfId="0" applyNumberFormat="1" applyFont="1" applyFill="1" applyBorder="1" applyAlignment="1" applyProtection="1">
      <alignment vertical="center"/>
    </xf>
    <xf numFmtId="0" fontId="32" fillId="2" borderId="1" xfId="0" applyFont="1" applyFill="1" applyBorder="1" applyAlignment="1" applyProtection="1">
      <alignment horizontal="center" vertical="center"/>
    </xf>
    <xf numFmtId="0" fontId="1" fillId="7" borderId="1" xfId="0" applyFont="1" applyFill="1" applyBorder="1" applyAlignment="1" applyProtection="1">
      <alignment horizontal="center" vertical="center"/>
    </xf>
    <xf numFmtId="164" fontId="1" fillId="6" borderId="1" xfId="0" applyNumberFormat="1" applyFont="1" applyFill="1" applyBorder="1" applyAlignment="1" applyProtection="1">
      <alignment vertical="center"/>
    </xf>
    <xf numFmtId="0" fontId="1" fillId="6" borderId="1" xfId="0" applyFont="1" applyFill="1" applyBorder="1" applyAlignment="1" applyProtection="1">
      <alignment vertical="center"/>
    </xf>
    <xf numFmtId="165" fontId="1" fillId="6" borderId="1" xfId="0" applyNumberFormat="1" applyFont="1" applyFill="1" applyBorder="1" applyAlignment="1" applyProtection="1">
      <alignment horizontal="center" vertical="center"/>
    </xf>
    <xf numFmtId="165" fontId="1" fillId="6" borderId="1" xfId="0" applyNumberFormat="1" applyFont="1" applyFill="1" applyBorder="1" applyAlignment="1" applyProtection="1">
      <alignment vertical="center"/>
    </xf>
    <xf numFmtId="1" fontId="1" fillId="6" borderId="1" xfId="0" applyNumberFormat="1" applyFont="1" applyFill="1" applyBorder="1" applyAlignment="1" applyProtection="1">
      <alignment horizontal="right" vertical="center"/>
    </xf>
    <xf numFmtId="2" fontId="1" fillId="6" borderId="1" xfId="0" applyNumberFormat="1" applyFont="1" applyFill="1" applyBorder="1" applyAlignment="1" applyProtection="1">
      <alignment vertical="center"/>
    </xf>
    <xf numFmtId="0" fontId="11" fillId="2" borderId="5" xfId="0" applyFont="1" applyFill="1" applyBorder="1" applyAlignment="1" applyProtection="1">
      <alignment vertical="center"/>
    </xf>
    <xf numFmtId="0" fontId="5" fillId="2" borderId="5" xfId="0" applyFont="1" applyFill="1" applyBorder="1" applyAlignment="1" applyProtection="1">
      <alignment horizontal="left" vertical="center"/>
    </xf>
    <xf numFmtId="0" fontId="28" fillId="0" borderId="3" xfId="0" applyFont="1" applyFill="1" applyBorder="1" applyAlignment="1" applyProtection="1">
      <alignment horizontal="center" vertical="center"/>
    </xf>
    <xf numFmtId="0" fontId="27" fillId="5" borderId="2" xfId="0" applyFont="1" applyFill="1" applyBorder="1" applyAlignment="1" applyProtection="1">
      <alignment horizontal="center" vertical="center"/>
    </xf>
    <xf numFmtId="0" fontId="29" fillId="2" borderId="6" xfId="0" applyFont="1" applyFill="1" applyBorder="1" applyAlignment="1" applyProtection="1">
      <alignment horizontal="center" vertical="center"/>
    </xf>
    <xf numFmtId="0" fontId="14" fillId="0" borderId="5" xfId="0" applyFont="1" applyFill="1" applyBorder="1" applyAlignment="1" applyProtection="1">
      <alignment horizontal="right" vertical="center"/>
    </xf>
    <xf numFmtId="0" fontId="5" fillId="0" borderId="5" xfId="0" applyFont="1" applyFill="1" applyBorder="1" applyAlignment="1" applyProtection="1">
      <alignment horizontal="right" vertical="center"/>
    </xf>
    <xf numFmtId="0" fontId="12" fillId="8" borderId="1" xfId="0" applyFont="1" applyFill="1" applyBorder="1" applyAlignment="1" applyProtection="1">
      <alignment horizontal="left" vertical="center"/>
    </xf>
    <xf numFmtId="0" fontId="8" fillId="8" borderId="1" xfId="0" applyFont="1" applyFill="1" applyBorder="1" applyAlignment="1" applyProtection="1">
      <alignment horizontal="center" vertical="center"/>
    </xf>
    <xf numFmtId="4" fontId="12" fillId="8" borderId="1" xfId="0" applyNumberFormat="1" applyFont="1" applyFill="1" applyBorder="1" applyAlignment="1" applyProtection="1">
      <alignment horizontal="center" vertical="center"/>
    </xf>
    <xf numFmtId="4" fontId="17" fillId="8" borderId="1" xfId="0" applyNumberFormat="1" applyFont="1" applyFill="1" applyBorder="1" applyAlignment="1" applyProtection="1">
      <alignment horizontal="center" vertical="center"/>
    </xf>
    <xf numFmtId="0" fontId="12" fillId="0" borderId="1" xfId="0" applyFont="1" applyFill="1" applyBorder="1" applyAlignment="1" applyProtection="1">
      <alignment horizontal="center" vertical="center"/>
    </xf>
    <xf numFmtId="0" fontId="8" fillId="0" borderId="1" xfId="0" applyFont="1" applyFill="1" applyBorder="1" applyAlignment="1" applyProtection="1">
      <alignment horizontal="center" vertical="center"/>
    </xf>
    <xf numFmtId="4" fontId="17" fillId="0" borderId="1" xfId="0" applyNumberFormat="1" applyFont="1" applyFill="1" applyBorder="1" applyAlignment="1" applyProtection="1">
      <alignment horizontal="center" vertical="center"/>
    </xf>
    <xf numFmtId="0" fontId="12" fillId="8" borderId="1" xfId="0" applyFont="1" applyFill="1" applyBorder="1" applyAlignment="1" applyProtection="1">
      <alignment horizontal="right" vertical="center"/>
    </xf>
    <xf numFmtId="0" fontId="12" fillId="0" borderId="1" xfId="0" applyFont="1" applyFill="1" applyBorder="1" applyAlignment="1" applyProtection="1">
      <alignment horizontal="left" vertical="center"/>
    </xf>
    <xf numFmtId="2" fontId="8" fillId="0" borderId="1" xfId="0" applyNumberFormat="1" applyFont="1" applyFill="1" applyBorder="1" applyAlignment="1" applyProtection="1">
      <alignment horizontal="center" vertical="center"/>
    </xf>
    <xf numFmtId="0" fontId="12" fillId="0" borderId="1" xfId="0" applyFont="1" applyFill="1" applyBorder="1" applyAlignment="1" applyProtection="1">
      <alignment horizontal="right" vertical="center"/>
    </xf>
    <xf numFmtId="0" fontId="55" fillId="0" borderId="0" xfId="0" applyFont="1" applyAlignment="1" applyProtection="1">
      <alignment horizontal="center" vertical="center"/>
      <protection locked="0"/>
    </xf>
    <xf numFmtId="0" fontId="54" fillId="0" borderId="0" xfId="0" applyFont="1" applyAlignment="1" applyProtection="1">
      <alignment horizontal="center" vertical="center"/>
      <protection locked="0"/>
    </xf>
    <xf numFmtId="0" fontId="56" fillId="0" borderId="0" xfId="0" applyFont="1" applyAlignment="1" applyProtection="1">
      <alignment horizontal="center" vertical="center"/>
      <protection locked="0"/>
    </xf>
    <xf numFmtId="4" fontId="2" fillId="2" borderId="1" xfId="0" applyNumberFormat="1" applyFont="1" applyFill="1" applyBorder="1" applyAlignment="1" applyProtection="1">
      <alignment vertical="center"/>
    </xf>
    <xf numFmtId="3" fontId="30" fillId="2" borderId="3" xfId="0" applyNumberFormat="1" applyFont="1" applyFill="1" applyBorder="1" applyAlignment="1" applyProtection="1">
      <alignment horizontal="center" vertical="center"/>
    </xf>
    <xf numFmtId="3" fontId="30" fillId="2" borderId="14" xfId="0" applyNumberFormat="1" applyFont="1" applyFill="1" applyBorder="1" applyAlignment="1" applyProtection="1">
      <alignment horizontal="center" vertical="center"/>
    </xf>
    <xf numFmtId="0" fontId="0" fillId="0" borderId="13" xfId="0" applyBorder="1" applyAlignment="1" applyProtection="1">
      <alignment horizontal="center" vertical="center"/>
      <protection locked="0"/>
    </xf>
    <xf numFmtId="3" fontId="47" fillId="2" borderId="1" xfId="0" applyNumberFormat="1" applyFont="1" applyFill="1" applyBorder="1" applyAlignment="1" applyProtection="1">
      <alignment horizontal="center" vertical="center"/>
    </xf>
    <xf numFmtId="170" fontId="63" fillId="2" borderId="1" xfId="0" applyNumberFormat="1" applyFont="1" applyFill="1" applyBorder="1" applyAlignment="1" applyProtection="1">
      <alignment horizontal="center" vertical="center"/>
    </xf>
    <xf numFmtId="0" fontId="0" fillId="0" borderId="0" xfId="0" applyBorder="1" applyAlignment="1" applyProtection="1">
      <alignment vertical="center"/>
      <protection locked="0"/>
    </xf>
    <xf numFmtId="0" fontId="58" fillId="0" borderId="0" xfId="0" applyNumberFormat="1" applyFont="1" applyBorder="1" applyAlignment="1" applyProtection="1">
      <alignment vertical="center"/>
      <protection locked="0"/>
    </xf>
    <xf numFmtId="0" fontId="0" fillId="0" borderId="0" xfId="0" applyAlignment="1" applyProtection="1">
      <alignment vertical="center"/>
      <protection locked="0"/>
    </xf>
    <xf numFmtId="0" fontId="1" fillId="4" borderId="1" xfId="0" applyFont="1" applyFill="1" applyBorder="1" applyAlignment="1" applyProtection="1">
      <alignment horizontal="left" vertical="center"/>
    </xf>
    <xf numFmtId="0" fontId="1" fillId="4" borderId="1" xfId="0" applyFont="1" applyFill="1" applyBorder="1" applyAlignment="1" applyProtection="1">
      <alignment vertical="center"/>
    </xf>
    <xf numFmtId="0" fontId="0" fillId="0" borderId="0" xfId="0" applyAlignment="1" applyProtection="1">
      <alignment horizontal="center" vertical="center"/>
      <protection locked="0"/>
    </xf>
    <xf numFmtId="0" fontId="0" fillId="0" borderId="0" xfId="0" applyBorder="1" applyAlignment="1" applyProtection="1">
      <alignment horizontal="center" vertical="center"/>
      <protection locked="0"/>
    </xf>
    <xf numFmtId="0" fontId="12" fillId="9" borderId="1" xfId="0" applyFont="1" applyFill="1" applyBorder="1" applyAlignment="1" applyProtection="1">
      <alignment horizontal="center" vertical="center"/>
    </xf>
    <xf numFmtId="176" fontId="60" fillId="9" borderId="1" xfId="0" applyNumberFormat="1" applyFont="1" applyFill="1" applyBorder="1" applyAlignment="1" applyProtection="1">
      <alignment horizontal="center" vertical="center"/>
    </xf>
    <xf numFmtId="178" fontId="0" fillId="0" borderId="0" xfId="0" applyNumberFormat="1" applyFont="1" applyBorder="1" applyAlignment="1" applyProtection="1">
      <alignment horizontal="left" vertical="center" wrapText="1"/>
      <protection locked="0"/>
    </xf>
    <xf numFmtId="0" fontId="0" fillId="4" borderId="0" xfId="0" applyFill="1" applyBorder="1" applyAlignment="1" applyProtection="1">
      <alignment horizontal="center" vertical="center"/>
      <protection locked="0"/>
    </xf>
    <xf numFmtId="175" fontId="1" fillId="4" borderId="0" xfId="0" applyNumberFormat="1" applyFont="1" applyFill="1" applyBorder="1" applyAlignment="1" applyProtection="1">
      <alignment horizontal="left" vertical="center" wrapText="1"/>
      <protection locked="0"/>
    </xf>
    <xf numFmtId="175" fontId="0" fillId="0" borderId="0" xfId="0" applyNumberFormat="1" applyFont="1" applyBorder="1" applyAlignment="1" applyProtection="1">
      <alignment horizontal="center" vertical="center" wrapText="1"/>
      <protection locked="0"/>
    </xf>
    <xf numFmtId="1" fontId="0" fillId="0" borderId="0" xfId="0" applyNumberFormat="1" applyFont="1" applyBorder="1" applyAlignment="1" applyProtection="1">
      <alignment horizontal="center" vertical="center" wrapText="1"/>
      <protection locked="0"/>
    </xf>
    <xf numFmtId="175" fontId="68" fillId="4" borderId="0" xfId="0" applyNumberFormat="1" applyFont="1" applyFill="1" applyBorder="1" applyAlignment="1" applyProtection="1">
      <alignment horizontal="left" vertical="center" wrapText="1"/>
      <protection locked="0"/>
    </xf>
    <xf numFmtId="0" fontId="0" fillId="0" borderId="0" xfId="0" applyFill="1" applyBorder="1" applyAlignment="1" applyProtection="1">
      <alignment vertical="center"/>
      <protection locked="0"/>
    </xf>
    <xf numFmtId="0" fontId="8" fillId="0" borderId="0" xfId="0" applyNumberFormat="1" applyFont="1" applyBorder="1" applyAlignment="1" applyProtection="1">
      <alignment vertical="center"/>
      <protection locked="0"/>
    </xf>
    <xf numFmtId="0" fontId="38" fillId="0" borderId="0" xfId="0" applyFont="1" applyBorder="1" applyAlignment="1" applyProtection="1">
      <alignment vertical="center"/>
      <protection locked="0"/>
    </xf>
    <xf numFmtId="0" fontId="62" fillId="0" borderId="0" xfId="0" applyFont="1" applyBorder="1" applyAlignment="1" applyProtection="1">
      <alignment vertical="center"/>
      <protection locked="0"/>
    </xf>
    <xf numFmtId="0" fontId="72" fillId="0" borderId="0" xfId="0" applyFont="1" applyAlignment="1" applyProtection="1">
      <alignment vertical="center"/>
      <protection locked="0"/>
    </xf>
    <xf numFmtId="179" fontId="74" fillId="2" borderId="1" xfId="0" applyNumberFormat="1" applyFont="1" applyFill="1" applyBorder="1" applyAlignment="1" applyProtection="1">
      <alignment horizontal="center" vertical="center"/>
    </xf>
    <xf numFmtId="0" fontId="8" fillId="0" borderId="0" xfId="0" applyFont="1" applyBorder="1" applyAlignment="1" applyProtection="1">
      <alignment vertical="center"/>
      <protection locked="0"/>
    </xf>
    <xf numFmtId="2" fontId="1" fillId="0" borderId="7" xfId="0" applyNumberFormat="1" applyFont="1" applyBorder="1" applyAlignment="1" applyProtection="1">
      <alignment horizontal="center" vertical="center"/>
      <protection locked="0"/>
    </xf>
    <xf numFmtId="168" fontId="1" fillId="4" borderId="7" xfId="0" applyNumberFormat="1" applyFont="1" applyFill="1" applyBorder="1" applyAlignment="1" applyProtection="1">
      <alignment horizontal="center" vertical="center"/>
    </xf>
    <xf numFmtId="0" fontId="1" fillId="4" borderId="7" xfId="0" applyFont="1" applyFill="1" applyBorder="1" applyAlignment="1" applyProtection="1">
      <alignment horizontal="center" vertical="center"/>
    </xf>
    <xf numFmtId="3" fontId="1" fillId="4" borderId="7" xfId="0" applyNumberFormat="1" applyFont="1" applyFill="1" applyBorder="1" applyAlignment="1" applyProtection="1">
      <alignment horizontal="center" vertical="center"/>
    </xf>
    <xf numFmtId="2" fontId="1" fillId="4" borderId="12" xfId="0" applyNumberFormat="1" applyFont="1" applyFill="1" applyBorder="1" applyAlignment="1" applyProtection="1">
      <alignment horizontal="center" vertical="center"/>
    </xf>
    <xf numFmtId="0" fontId="12" fillId="9" borderId="1" xfId="0" applyFont="1" applyFill="1" applyBorder="1" applyAlignment="1" applyProtection="1">
      <alignment horizontal="center" vertical="center"/>
      <protection locked="0"/>
    </xf>
    <xf numFmtId="0" fontId="1" fillId="4" borderId="1" xfId="0" applyFont="1" applyFill="1" applyBorder="1" applyAlignment="1" applyProtection="1">
      <alignment horizontal="right" vertical="center"/>
    </xf>
    <xf numFmtId="0" fontId="1" fillId="4" borderId="1" xfId="0" applyFont="1" applyFill="1" applyBorder="1" applyAlignment="1" applyProtection="1">
      <alignment horizontal="center" vertical="center"/>
    </xf>
    <xf numFmtId="0" fontId="41" fillId="4" borderId="1" xfId="0" applyFont="1" applyFill="1" applyBorder="1" applyAlignment="1" applyProtection="1">
      <alignment horizontal="center" vertical="center"/>
    </xf>
    <xf numFmtId="0" fontId="62" fillId="4" borderId="1" xfId="0" applyFont="1" applyFill="1" applyBorder="1" applyAlignment="1" applyProtection="1">
      <alignment horizontal="center" vertical="center"/>
    </xf>
    <xf numFmtId="0" fontId="12" fillId="4" borderId="1" xfId="0" applyFont="1" applyFill="1" applyBorder="1" applyAlignment="1" applyProtection="1">
      <alignment horizontal="center" vertical="center"/>
      <protection locked="0"/>
    </xf>
    <xf numFmtId="0" fontId="32" fillId="4" borderId="1" xfId="0" applyFont="1" applyFill="1" applyBorder="1" applyAlignment="1" applyProtection="1">
      <alignment horizontal="center" vertical="center"/>
      <protection locked="0"/>
    </xf>
    <xf numFmtId="0" fontId="12" fillId="11" borderId="3" xfId="0" applyFont="1" applyFill="1" applyBorder="1" applyAlignment="1" applyProtection="1">
      <alignment horizontal="center" vertical="center"/>
      <protection locked="0"/>
    </xf>
    <xf numFmtId="172" fontId="17" fillId="0" borderId="3" xfId="0" applyNumberFormat="1" applyFont="1" applyFill="1" applyBorder="1" applyAlignment="1" applyProtection="1">
      <alignment horizontal="center" vertical="center"/>
      <protection locked="0"/>
    </xf>
    <xf numFmtId="0" fontId="1" fillId="4" borderId="1" xfId="0" applyFont="1" applyFill="1" applyBorder="1" applyAlignment="1" applyProtection="1">
      <alignment horizontal="left" vertical="center"/>
      <protection locked="0"/>
    </xf>
    <xf numFmtId="0" fontId="33" fillId="4" borderId="1" xfId="0" applyFont="1" applyFill="1" applyBorder="1" applyAlignment="1" applyProtection="1">
      <alignment horizontal="center" vertical="center"/>
    </xf>
    <xf numFmtId="3" fontId="1" fillId="4" borderId="1" xfId="0" applyNumberFormat="1" applyFont="1" applyFill="1" applyBorder="1" applyAlignment="1" applyProtection="1">
      <alignment horizontal="center" vertical="center"/>
    </xf>
    <xf numFmtId="167" fontId="1" fillId="4" borderId="1" xfId="0" applyNumberFormat="1" applyFont="1" applyFill="1" applyBorder="1" applyAlignment="1" applyProtection="1">
      <alignment horizontal="center" vertical="center"/>
    </xf>
    <xf numFmtId="3" fontId="41" fillId="4" borderId="1" xfId="0" applyNumberFormat="1" applyFont="1" applyFill="1" applyBorder="1" applyAlignment="1" applyProtection="1">
      <alignment horizontal="center" vertical="center"/>
    </xf>
    <xf numFmtId="0" fontId="1" fillId="11" borderId="1" xfId="0" applyFont="1" applyFill="1" applyBorder="1" applyAlignment="1" applyProtection="1">
      <alignment vertical="center"/>
      <protection locked="0"/>
    </xf>
    <xf numFmtId="0" fontId="1" fillId="0" borderId="1" xfId="0" applyFont="1" applyFill="1" applyBorder="1" applyAlignment="1" applyProtection="1">
      <alignment horizontal="left" vertical="center"/>
      <protection locked="0"/>
    </xf>
    <xf numFmtId="0" fontId="1" fillId="0" borderId="1" xfId="0" applyFont="1" applyFill="1" applyBorder="1" applyAlignment="1" applyProtection="1">
      <alignment horizontal="center" vertical="center"/>
      <protection locked="0"/>
    </xf>
    <xf numFmtId="0" fontId="12" fillId="0" borderId="1" xfId="0" applyFont="1" applyFill="1" applyBorder="1" applyAlignment="1" applyProtection="1">
      <alignment horizontal="left" vertical="center"/>
      <protection locked="0"/>
    </xf>
    <xf numFmtId="0" fontId="12" fillId="0" borderId="1" xfId="0" applyFont="1" applyFill="1" applyBorder="1" applyAlignment="1" applyProtection="1">
      <alignment horizontal="right" vertical="center"/>
      <protection locked="0"/>
    </xf>
    <xf numFmtId="4" fontId="12" fillId="4" borderId="1" xfId="0" applyNumberFormat="1" applyFont="1" applyFill="1" applyBorder="1" applyAlignment="1" applyProtection="1">
      <alignment horizontal="center" vertical="center"/>
    </xf>
    <xf numFmtId="2" fontId="1" fillId="4" borderId="1" xfId="0" applyNumberFormat="1" applyFont="1" applyFill="1" applyBorder="1" applyAlignment="1" applyProtection="1">
      <alignment horizontal="right" vertical="center"/>
    </xf>
    <xf numFmtId="4" fontId="58" fillId="4" borderId="1" xfId="0" applyNumberFormat="1" applyFont="1" applyFill="1" applyBorder="1" applyAlignment="1" applyProtection="1">
      <alignment horizontal="center" vertical="center"/>
    </xf>
    <xf numFmtId="3" fontId="53" fillId="2" borderId="1" xfId="0" applyNumberFormat="1" applyFont="1" applyFill="1" applyBorder="1" applyAlignment="1" applyProtection="1">
      <alignment horizontal="center" vertical="center"/>
    </xf>
    <xf numFmtId="0" fontId="1" fillId="0" borderId="1" xfId="0" applyFont="1" applyFill="1" applyBorder="1" applyAlignment="1" applyProtection="1">
      <alignment vertical="center"/>
    </xf>
    <xf numFmtId="166" fontId="32" fillId="4" borderId="1" xfId="0" applyNumberFormat="1" applyFont="1" applyFill="1" applyBorder="1" applyAlignment="1" applyProtection="1">
      <alignment horizontal="center" vertical="center"/>
    </xf>
    <xf numFmtId="182" fontId="1" fillId="4" borderId="1" xfId="0" applyNumberFormat="1" applyFont="1" applyFill="1" applyBorder="1" applyAlignment="1" applyProtection="1">
      <alignment horizontal="center" vertical="center"/>
    </xf>
    <xf numFmtId="182" fontId="51" fillId="4" borderId="1" xfId="0" applyNumberFormat="1" applyFont="1" applyFill="1" applyBorder="1" applyAlignment="1" applyProtection="1">
      <alignment horizontal="center" vertical="center"/>
    </xf>
    <xf numFmtId="182" fontId="51" fillId="0" borderId="1" xfId="0" applyNumberFormat="1" applyFont="1" applyBorder="1" applyAlignment="1" applyProtection="1">
      <alignment horizontal="center" vertical="center"/>
      <protection locked="0"/>
    </xf>
    <xf numFmtId="174" fontId="1" fillId="4" borderId="1" xfId="0" applyNumberFormat="1" applyFont="1" applyFill="1" applyBorder="1" applyAlignment="1" applyProtection="1">
      <alignment horizontal="center" vertical="center"/>
    </xf>
    <xf numFmtId="174" fontId="41" fillId="4" borderId="1" xfId="0" applyNumberFormat="1" applyFont="1" applyFill="1" applyBorder="1" applyAlignment="1" applyProtection="1">
      <alignment horizontal="center" vertical="center"/>
    </xf>
    <xf numFmtId="0" fontId="63" fillId="0" borderId="0" xfId="0" applyFont="1" applyBorder="1" applyAlignment="1" applyProtection="1">
      <alignment horizontal="center" vertical="center" wrapText="1"/>
    </xf>
    <xf numFmtId="17" fontId="32" fillId="4" borderId="1" xfId="0" applyNumberFormat="1" applyFont="1" applyFill="1" applyBorder="1" applyAlignment="1" applyProtection="1">
      <alignment horizontal="center" vertical="center"/>
    </xf>
    <xf numFmtId="171" fontId="63" fillId="0" borderId="0" xfId="0" applyNumberFormat="1" applyFont="1" applyBorder="1" applyAlignment="1" applyProtection="1">
      <alignment horizontal="center" vertical="center" wrapText="1"/>
    </xf>
    <xf numFmtId="3" fontId="61" fillId="4" borderId="1" xfId="0" applyNumberFormat="1" applyFont="1" applyFill="1" applyBorder="1" applyAlignment="1" applyProtection="1">
      <alignment horizontal="center" vertical="center"/>
    </xf>
    <xf numFmtId="3" fontId="22" fillId="2" borderId="1" xfId="0" applyNumberFormat="1" applyFont="1" applyFill="1" applyBorder="1" applyAlignment="1" applyProtection="1">
      <alignment horizontal="center" vertical="center"/>
    </xf>
    <xf numFmtId="3" fontId="16" fillId="2" borderId="1" xfId="0" applyNumberFormat="1" applyFont="1" applyFill="1" applyBorder="1" applyAlignment="1" applyProtection="1">
      <alignment horizontal="center" vertical="center"/>
    </xf>
    <xf numFmtId="4" fontId="58" fillId="9" borderId="1" xfId="0" applyNumberFormat="1" applyFont="1" applyFill="1" applyBorder="1" applyAlignment="1" applyProtection="1">
      <alignment horizontal="center" vertical="center"/>
    </xf>
    <xf numFmtId="0" fontId="12" fillId="0" borderId="0" xfId="0" applyFont="1" applyAlignment="1" applyProtection="1">
      <alignment horizontal="center" vertical="center"/>
      <protection locked="0"/>
    </xf>
    <xf numFmtId="0" fontId="78" fillId="0" borderId="0" xfId="0" applyFont="1" applyAlignment="1" applyProtection="1">
      <alignment horizontal="center" vertical="center"/>
      <protection locked="0"/>
    </xf>
    <xf numFmtId="166" fontId="46" fillId="6" borderId="1" xfId="0" applyNumberFormat="1" applyFont="1" applyFill="1" applyBorder="1" applyAlignment="1" applyProtection="1">
      <alignment vertical="center"/>
    </xf>
    <xf numFmtId="4" fontId="46" fillId="6" borderId="1" xfId="0" applyNumberFormat="1" applyFont="1" applyFill="1" applyBorder="1" applyAlignment="1" applyProtection="1">
      <alignment vertical="center"/>
    </xf>
    <xf numFmtId="0" fontId="1" fillId="12" borderId="1" xfId="0" applyFont="1" applyFill="1" applyBorder="1" applyAlignment="1" applyProtection="1">
      <alignment horizontal="center" vertical="center"/>
    </xf>
    <xf numFmtId="17" fontId="32" fillId="12" borderId="1" xfId="0" applyNumberFormat="1" applyFont="1" applyFill="1" applyBorder="1" applyAlignment="1" applyProtection="1">
      <alignment horizontal="center" vertical="center"/>
    </xf>
    <xf numFmtId="0" fontId="33" fillId="12" borderId="1" xfId="0" applyFont="1" applyFill="1" applyBorder="1" applyAlignment="1" applyProtection="1">
      <alignment horizontal="center" vertical="center"/>
    </xf>
    <xf numFmtId="3" fontId="1" fillId="12" borderId="1" xfId="0" applyNumberFormat="1" applyFont="1" applyFill="1" applyBorder="1" applyAlignment="1" applyProtection="1">
      <alignment horizontal="center" vertical="center"/>
    </xf>
    <xf numFmtId="167" fontId="1" fillId="12" borderId="1" xfId="0" applyNumberFormat="1" applyFont="1" applyFill="1" applyBorder="1" applyAlignment="1" applyProtection="1">
      <alignment horizontal="center" vertical="center"/>
    </xf>
    <xf numFmtId="166" fontId="32" fillId="12" borderId="1" xfId="0" applyNumberFormat="1" applyFont="1" applyFill="1" applyBorder="1" applyAlignment="1" applyProtection="1">
      <alignment horizontal="center" vertical="center"/>
    </xf>
    <xf numFmtId="182" fontId="1" fillId="12" borderId="1" xfId="0" applyNumberFormat="1" applyFont="1" applyFill="1" applyBorder="1" applyAlignment="1" applyProtection="1">
      <alignment horizontal="center" vertical="center"/>
    </xf>
    <xf numFmtId="182" fontId="51" fillId="12" borderId="1" xfId="0" applyNumberFormat="1" applyFont="1" applyFill="1" applyBorder="1" applyAlignment="1" applyProtection="1">
      <alignment horizontal="center" vertical="center"/>
    </xf>
    <xf numFmtId="3" fontId="41" fillId="12" borderId="1" xfId="0" applyNumberFormat="1" applyFont="1" applyFill="1" applyBorder="1" applyAlignment="1" applyProtection="1">
      <alignment horizontal="center" vertical="center"/>
    </xf>
    <xf numFmtId="174" fontId="1" fillId="12" borderId="1" xfId="0" applyNumberFormat="1" applyFont="1" applyFill="1" applyBorder="1" applyAlignment="1" applyProtection="1">
      <alignment horizontal="center" vertical="center"/>
    </xf>
    <xf numFmtId="174" fontId="41" fillId="12" borderId="1" xfId="0" applyNumberFormat="1" applyFont="1" applyFill="1" applyBorder="1" applyAlignment="1" applyProtection="1">
      <alignment horizontal="center" vertical="center"/>
    </xf>
    <xf numFmtId="0" fontId="12" fillId="13" borderId="3" xfId="0" applyFont="1" applyFill="1" applyBorder="1" applyAlignment="1" applyProtection="1">
      <alignment horizontal="center" vertical="center"/>
      <protection locked="0"/>
    </xf>
    <xf numFmtId="0" fontId="12" fillId="13" borderId="1" xfId="0" applyFont="1" applyFill="1" applyBorder="1" applyAlignment="1" applyProtection="1">
      <alignment horizontal="center" vertical="center"/>
      <protection locked="0"/>
    </xf>
    <xf numFmtId="0" fontId="84" fillId="14" borderId="1" xfId="4" applyFont="1" applyFill="1" applyBorder="1" applyAlignment="1" applyProtection="1">
      <alignment horizontal="center" vertical="center"/>
    </xf>
    <xf numFmtId="0" fontId="88" fillId="4" borderId="1" xfId="4" applyFont="1" applyFill="1" applyBorder="1" applyAlignment="1" applyProtection="1">
      <alignment horizontal="center" vertical="center"/>
    </xf>
    <xf numFmtId="0" fontId="89" fillId="4" borderId="1" xfId="4" applyFont="1" applyFill="1" applyBorder="1" applyAlignment="1" applyProtection="1">
      <alignment horizontal="center" vertical="center"/>
    </xf>
    <xf numFmtId="0" fontId="84" fillId="4" borderId="1" xfId="4" applyFont="1" applyFill="1" applyBorder="1" applyAlignment="1" applyProtection="1">
      <alignment horizontal="center" vertical="center"/>
    </xf>
    <xf numFmtId="0" fontId="92" fillId="0" borderId="0" xfId="0" applyFont="1" applyBorder="1" applyAlignment="1" applyProtection="1">
      <alignment vertical="center"/>
      <protection locked="0"/>
    </xf>
    <xf numFmtId="3" fontId="92" fillId="0" borderId="0" xfId="0" applyNumberFormat="1" applyFont="1" applyBorder="1" applyAlignment="1" applyProtection="1">
      <alignment vertical="center"/>
      <protection locked="0"/>
    </xf>
    <xf numFmtId="3" fontId="38" fillId="0" borderId="0" xfId="0" applyNumberFormat="1" applyFont="1" applyBorder="1" applyAlignment="1" applyProtection="1">
      <alignment vertical="center"/>
      <protection locked="0"/>
    </xf>
    <xf numFmtId="187" fontId="32" fillId="0" borderId="1" xfId="0" applyNumberFormat="1" applyFont="1" applyFill="1" applyBorder="1" applyAlignment="1" applyProtection="1">
      <alignment horizontal="center" vertical="center"/>
      <protection locked="0"/>
    </xf>
    <xf numFmtId="175" fontId="93" fillId="0" borderId="1" xfId="0" applyNumberFormat="1" applyFont="1" applyBorder="1" applyAlignment="1" applyProtection="1">
      <alignment horizontal="left" vertical="center"/>
      <protection locked="0"/>
    </xf>
    <xf numFmtId="4" fontId="93" fillId="0" borderId="1" xfId="0" applyNumberFormat="1" applyFont="1" applyBorder="1" applyAlignment="1" applyProtection="1">
      <alignment horizontal="center" vertical="center"/>
      <protection locked="0"/>
    </xf>
    <xf numFmtId="4" fontId="42" fillId="0" borderId="1" xfId="0" applyNumberFormat="1" applyFont="1" applyBorder="1" applyAlignment="1" applyProtection="1">
      <alignment horizontal="center" vertical="center"/>
      <protection locked="0"/>
    </xf>
    <xf numFmtId="3" fontId="53" fillId="0" borderId="1" xfId="0" applyNumberFormat="1" applyFont="1" applyBorder="1" applyAlignment="1" applyProtection="1">
      <alignment horizontal="center" vertical="center"/>
      <protection locked="0"/>
    </xf>
    <xf numFmtId="3" fontId="32" fillId="0" borderId="0" xfId="0" applyNumberFormat="1" applyFont="1" applyAlignment="1" applyProtection="1">
      <alignment vertical="center"/>
      <protection locked="0"/>
    </xf>
    <xf numFmtId="4" fontId="32" fillId="0" borderId="0" xfId="0" applyNumberFormat="1" applyFont="1" applyAlignment="1" applyProtection="1">
      <alignment vertical="center"/>
      <protection locked="0"/>
    </xf>
    <xf numFmtId="2" fontId="32" fillId="0" borderId="0" xfId="0" applyNumberFormat="1" applyFont="1" applyAlignment="1" applyProtection="1">
      <alignment vertical="center"/>
      <protection locked="0"/>
    </xf>
    <xf numFmtId="3" fontId="93" fillId="0" borderId="1" xfId="0" applyNumberFormat="1" applyFont="1" applyBorder="1" applyAlignment="1" applyProtection="1">
      <alignment horizontal="center" vertical="center"/>
      <protection locked="0"/>
    </xf>
    <xf numFmtId="3" fontId="11" fillId="2" borderId="1" xfId="0" applyNumberFormat="1" applyFont="1" applyFill="1" applyBorder="1" applyAlignment="1" applyProtection="1">
      <alignment horizontal="center" vertical="center"/>
    </xf>
    <xf numFmtId="4" fontId="1" fillId="2" borderId="1" xfId="0" applyNumberFormat="1" applyFont="1" applyFill="1" applyBorder="1" applyAlignment="1" applyProtection="1">
      <alignment vertical="center"/>
    </xf>
    <xf numFmtId="175" fontId="93" fillId="0" borderId="1" xfId="0" applyNumberFormat="1" applyFont="1" applyFill="1" applyBorder="1" applyAlignment="1" applyProtection="1">
      <alignment horizontal="left" vertical="center"/>
      <protection locked="0"/>
    </xf>
    <xf numFmtId="4" fontId="93" fillId="0" borderId="1" xfId="0" applyNumberFormat="1" applyFont="1" applyFill="1" applyBorder="1" applyAlignment="1" applyProtection="1">
      <alignment horizontal="center" vertical="center"/>
      <protection locked="0"/>
    </xf>
    <xf numFmtId="4" fontId="42" fillId="0" borderId="1" xfId="0" applyNumberFormat="1" applyFont="1" applyFill="1" applyBorder="1" applyAlignment="1" applyProtection="1">
      <alignment horizontal="center" vertical="center"/>
      <protection locked="0"/>
    </xf>
    <xf numFmtId="2" fontId="93" fillId="0" borderId="1" xfId="0" applyNumberFormat="1" applyFont="1" applyFill="1" applyBorder="1" applyAlignment="1" applyProtection="1">
      <alignment horizontal="center" vertical="center"/>
      <protection locked="0"/>
    </xf>
    <xf numFmtId="0" fontId="42" fillId="0" borderId="1" xfId="0" applyFont="1" applyBorder="1" applyAlignment="1" applyProtection="1">
      <alignment horizontal="center" vertical="center" wrapText="1"/>
      <protection locked="0"/>
    </xf>
    <xf numFmtId="0" fontId="63" fillId="4" borderId="0" xfId="0" applyFont="1" applyFill="1" applyBorder="1" applyAlignment="1" applyProtection="1">
      <alignment horizontal="center" vertical="center" wrapText="1"/>
    </xf>
    <xf numFmtId="4" fontId="32" fillId="9" borderId="1" xfId="0" applyNumberFormat="1" applyFont="1" applyFill="1" applyBorder="1" applyAlignment="1" applyProtection="1">
      <alignment horizontal="center" vertical="center"/>
    </xf>
    <xf numFmtId="187" fontId="32" fillId="7" borderId="1" xfId="0" applyNumberFormat="1" applyFont="1" applyFill="1" applyBorder="1" applyAlignment="1" applyProtection="1">
      <alignment horizontal="center" vertical="center"/>
      <protection locked="0"/>
    </xf>
    <xf numFmtId="175" fontId="93" fillId="7" borderId="1" xfId="0" applyNumberFormat="1" applyFont="1" applyFill="1" applyBorder="1" applyAlignment="1" applyProtection="1">
      <alignment horizontal="left" vertical="center"/>
      <protection locked="0"/>
    </xf>
    <xf numFmtId="4" fontId="93" fillId="7" borderId="1" xfId="0" applyNumberFormat="1" applyFont="1" applyFill="1" applyBorder="1" applyAlignment="1" applyProtection="1">
      <alignment horizontal="center" vertical="center"/>
      <protection locked="0"/>
    </xf>
    <xf numFmtId="4" fontId="42" fillId="7" borderId="1" xfId="0" applyNumberFormat="1" applyFont="1" applyFill="1" applyBorder="1" applyAlignment="1" applyProtection="1">
      <alignment horizontal="center" vertical="center"/>
      <protection locked="0"/>
    </xf>
    <xf numFmtId="187" fontId="32" fillId="18" borderId="1" xfId="0" applyNumberFormat="1" applyFont="1" applyFill="1" applyBorder="1" applyAlignment="1" applyProtection="1">
      <alignment horizontal="center" vertical="center"/>
      <protection locked="0"/>
    </xf>
    <xf numFmtId="175" fontId="93" fillId="18" borderId="1" xfId="0" applyNumberFormat="1" applyFont="1" applyFill="1" applyBorder="1" applyAlignment="1" applyProtection="1">
      <alignment horizontal="left" vertical="center"/>
      <protection locked="0"/>
    </xf>
    <xf numFmtId="4" fontId="93" fillId="18" borderId="1" xfId="0" applyNumberFormat="1" applyFont="1" applyFill="1" applyBorder="1" applyAlignment="1" applyProtection="1">
      <alignment horizontal="center" vertical="center"/>
      <protection locked="0"/>
    </xf>
    <xf numFmtId="4" fontId="42" fillId="18" borderId="1" xfId="0" applyNumberFormat="1" applyFont="1" applyFill="1" applyBorder="1" applyAlignment="1" applyProtection="1">
      <alignment horizontal="center" vertical="center"/>
      <protection locked="0"/>
    </xf>
    <xf numFmtId="175" fontId="25" fillId="0" borderId="1" xfId="0" applyNumberFormat="1" applyFont="1" applyBorder="1" applyAlignment="1" applyProtection="1">
      <alignment horizontal="left" vertical="center"/>
      <protection locked="0"/>
    </xf>
    <xf numFmtId="2" fontId="93" fillId="0" borderId="1" xfId="0" applyNumberFormat="1" applyFont="1" applyBorder="1" applyAlignment="1" applyProtection="1">
      <alignment vertical="center"/>
      <protection locked="0"/>
    </xf>
    <xf numFmtId="0" fontId="1" fillId="16" borderId="1" xfId="0" applyFont="1" applyFill="1" applyBorder="1" applyAlignment="1" applyProtection="1">
      <alignment horizontal="center" vertical="center"/>
    </xf>
    <xf numFmtId="3" fontId="25" fillId="4" borderId="1" xfId="0" applyNumberFormat="1" applyFont="1" applyFill="1" applyBorder="1" applyAlignment="1" applyProtection="1">
      <alignment vertical="center"/>
      <protection locked="0"/>
    </xf>
    <xf numFmtId="3" fontId="36" fillId="4" borderId="1" xfId="0" applyNumberFormat="1" applyFont="1" applyFill="1" applyBorder="1" applyAlignment="1" applyProtection="1">
      <alignment vertical="center"/>
      <protection locked="0"/>
    </xf>
    <xf numFmtId="3" fontId="25" fillId="0" borderId="1" xfId="0" applyNumberFormat="1" applyFont="1" applyFill="1" applyBorder="1" applyAlignment="1" applyProtection="1">
      <alignment vertical="center"/>
      <protection locked="0"/>
    </xf>
    <xf numFmtId="3" fontId="36" fillId="0" borderId="1" xfId="0" applyNumberFormat="1" applyFont="1" applyFill="1" applyBorder="1" applyAlignment="1" applyProtection="1">
      <alignment vertical="center"/>
      <protection locked="0"/>
    </xf>
    <xf numFmtId="3" fontId="16" fillId="16" borderId="1" xfId="0" applyNumberFormat="1" applyFont="1" applyFill="1" applyBorder="1" applyAlignment="1" applyProtection="1">
      <alignment horizontal="center" vertical="center"/>
    </xf>
    <xf numFmtId="3" fontId="16" fillId="16" borderId="1" xfId="0" applyNumberFormat="1" applyFont="1" applyFill="1" applyBorder="1" applyAlignment="1" applyProtection="1">
      <alignment vertical="center"/>
    </xf>
    <xf numFmtId="3" fontId="13" fillId="16" borderId="1" xfId="0" applyNumberFormat="1" applyFont="1" applyFill="1" applyBorder="1" applyAlignment="1" applyProtection="1">
      <alignment vertical="center"/>
    </xf>
    <xf numFmtId="3" fontId="17" fillId="16" borderId="1" xfId="0" applyNumberFormat="1" applyFont="1" applyFill="1" applyBorder="1" applyAlignment="1" applyProtection="1">
      <alignment vertical="center"/>
    </xf>
    <xf numFmtId="0" fontId="16" fillId="16" borderId="1" xfId="0" applyNumberFormat="1" applyFont="1" applyFill="1" applyBorder="1" applyAlignment="1" applyProtection="1">
      <alignment vertical="center"/>
    </xf>
    <xf numFmtId="3" fontId="1" fillId="0" borderId="0" xfId="0" applyNumberFormat="1" applyFont="1" applyAlignment="1" applyProtection="1">
      <alignment vertical="center"/>
      <protection locked="0"/>
    </xf>
    <xf numFmtId="0" fontId="1" fillId="0" borderId="0" xfId="0" applyNumberFormat="1" applyFont="1" applyAlignment="1" applyProtection="1">
      <alignment vertical="center"/>
      <protection locked="0"/>
    </xf>
    <xf numFmtId="4" fontId="3" fillId="0" borderId="1" xfId="0" applyNumberFormat="1" applyFont="1" applyFill="1" applyBorder="1" applyAlignment="1" applyProtection="1">
      <alignment horizontal="center" vertical="center"/>
      <protection locked="0"/>
    </xf>
    <xf numFmtId="4" fontId="1" fillId="0" borderId="1" xfId="0" applyNumberFormat="1" applyFont="1" applyFill="1" applyBorder="1" applyAlignment="1" applyProtection="1">
      <alignment horizontal="center" vertical="center"/>
      <protection locked="0"/>
    </xf>
    <xf numFmtId="0" fontId="84" fillId="12" borderId="1" xfId="4" applyFont="1" applyFill="1" applyBorder="1" applyAlignment="1" applyProtection="1">
      <alignment horizontal="center" vertical="center"/>
    </xf>
    <xf numFmtId="0" fontId="89" fillId="18" borderId="1" xfId="4" applyFont="1" applyFill="1" applyBorder="1" applyAlignment="1" applyProtection="1">
      <alignment horizontal="center" vertical="center"/>
    </xf>
    <xf numFmtId="0" fontId="84" fillId="23" borderId="1" xfId="4" applyFont="1" applyFill="1" applyBorder="1" applyAlignment="1" applyProtection="1">
      <alignment horizontal="center" vertical="center"/>
    </xf>
    <xf numFmtId="0" fontId="84" fillId="10" borderId="1" xfId="4" applyFont="1" applyFill="1" applyBorder="1" applyAlignment="1" applyProtection="1">
      <alignment horizontal="center" vertical="center"/>
    </xf>
    <xf numFmtId="0" fontId="89" fillId="10" borderId="1" xfId="4" applyFont="1" applyFill="1" applyBorder="1" applyAlignment="1" applyProtection="1">
      <alignment horizontal="center" vertical="center"/>
    </xf>
    <xf numFmtId="3" fontId="5" fillId="2" borderId="1" xfId="0" applyNumberFormat="1" applyFont="1" applyFill="1" applyBorder="1" applyAlignment="1" applyProtection="1">
      <alignment horizontal="center" vertical="center"/>
    </xf>
    <xf numFmtId="0" fontId="11" fillId="2" borderId="5" xfId="0" applyFont="1" applyFill="1" applyBorder="1" applyAlignment="1" applyProtection="1">
      <alignment horizontal="left" vertical="center"/>
    </xf>
    <xf numFmtId="0" fontId="14" fillId="2" borderId="5" xfId="0" applyFont="1" applyFill="1" applyBorder="1" applyAlignment="1" applyProtection="1">
      <alignment horizontal="left" vertical="center"/>
    </xf>
    <xf numFmtId="0" fontId="14" fillId="0" borderId="5" xfId="0" applyFont="1" applyFill="1" applyBorder="1" applyAlignment="1" applyProtection="1">
      <alignment horizontal="left" vertical="center"/>
    </xf>
    <xf numFmtId="0" fontId="12" fillId="8" borderId="1" xfId="0" applyFont="1" applyFill="1" applyBorder="1" applyAlignment="1" applyProtection="1">
      <alignment horizontal="center" vertical="center"/>
    </xf>
    <xf numFmtId="0" fontId="12" fillId="0" borderId="1" xfId="0" applyFont="1" applyFill="1" applyBorder="1" applyAlignment="1" applyProtection="1">
      <alignment horizontal="center" vertical="center"/>
      <protection locked="0"/>
    </xf>
    <xf numFmtId="175" fontId="0" fillId="4" borderId="0" xfId="0" applyNumberFormat="1" applyFill="1" applyBorder="1" applyAlignment="1" applyProtection="1">
      <alignment horizontal="left" vertical="center" wrapText="1"/>
      <protection locked="0"/>
    </xf>
    <xf numFmtId="0" fontId="12" fillId="0" borderId="0" xfId="0" applyFont="1" applyAlignment="1" applyProtection="1">
      <alignment horizontal="center" vertical="center"/>
      <protection locked="0"/>
    </xf>
    <xf numFmtId="3" fontId="59" fillId="2" borderId="1" xfId="0" applyNumberFormat="1" applyFont="1" applyFill="1" applyBorder="1" applyAlignment="1" applyProtection="1">
      <alignment horizontal="center" vertical="center"/>
    </xf>
    <xf numFmtId="3" fontId="17" fillId="2" borderId="1" xfId="0" applyNumberFormat="1" applyFont="1" applyFill="1" applyBorder="1" applyAlignment="1" applyProtection="1">
      <alignment horizontal="center" vertical="center"/>
    </xf>
    <xf numFmtId="175" fontId="12" fillId="4" borderId="0" xfId="0" applyNumberFormat="1" applyFont="1" applyFill="1" applyBorder="1" applyAlignment="1" applyProtection="1">
      <alignment horizontal="left" vertical="center" wrapText="1"/>
      <protection locked="0"/>
    </xf>
    <xf numFmtId="0" fontId="14" fillId="0" borderId="0" xfId="0" applyFont="1" applyAlignment="1" applyProtection="1">
      <alignment horizontal="center" vertical="center"/>
      <protection locked="0"/>
    </xf>
    <xf numFmtId="0" fontId="0" fillId="0" borderId="0" xfId="0" applyFill="1" applyAlignment="1" applyProtection="1">
      <alignment horizontal="center" vertical="center"/>
      <protection locked="0"/>
    </xf>
    <xf numFmtId="0" fontId="121" fillId="10" borderId="1" xfId="4" applyFont="1" applyFill="1" applyBorder="1" applyAlignment="1" applyProtection="1">
      <alignment horizontal="center" vertical="center"/>
    </xf>
    <xf numFmtId="0" fontId="47" fillId="2" borderId="1" xfId="0" applyFont="1" applyFill="1" applyBorder="1" applyAlignment="1" applyProtection="1">
      <alignment horizontal="center" vertical="center"/>
    </xf>
    <xf numFmtId="0" fontId="11" fillId="2" borderId="1" xfId="0" applyFont="1" applyFill="1" applyBorder="1" applyAlignment="1" applyProtection="1">
      <alignment horizontal="center" vertical="center"/>
    </xf>
    <xf numFmtId="0" fontId="12" fillId="4" borderId="1" xfId="0" applyFont="1" applyFill="1" applyBorder="1" applyAlignment="1" applyProtection="1">
      <alignment horizontal="center" vertical="center"/>
    </xf>
    <xf numFmtId="0" fontId="12" fillId="12" borderId="1" xfId="0" applyFont="1" applyFill="1" applyBorder="1" applyAlignment="1" applyProtection="1">
      <alignment horizontal="center" vertical="center"/>
    </xf>
    <xf numFmtId="0" fontId="17" fillId="23" borderId="1" xfId="0" applyFont="1" applyFill="1" applyBorder="1" applyAlignment="1" applyProtection="1">
      <alignment horizontal="center" vertical="center"/>
    </xf>
    <xf numFmtId="0" fontId="12" fillId="10" borderId="1" xfId="0" applyFont="1" applyFill="1" applyBorder="1" applyAlignment="1" applyProtection="1">
      <alignment horizontal="center" vertical="center"/>
    </xf>
    <xf numFmtId="0" fontId="17" fillId="14" borderId="1" xfId="0" applyFont="1" applyFill="1" applyBorder="1" applyAlignment="1" applyProtection="1">
      <alignment horizontal="center" vertical="center"/>
    </xf>
    <xf numFmtId="0" fontId="12" fillId="18" borderId="1" xfId="0" applyFont="1" applyFill="1" applyBorder="1" applyAlignment="1" applyProtection="1">
      <alignment horizontal="center" vertical="center"/>
    </xf>
    <xf numFmtId="0" fontId="117" fillId="5" borderId="20" xfId="0" applyFont="1" applyFill="1" applyBorder="1" applyAlignment="1" applyProtection="1">
      <alignment horizontal="center" vertical="center"/>
    </xf>
    <xf numFmtId="0" fontId="117" fillId="5" borderId="20" xfId="0" applyFont="1" applyFill="1" applyBorder="1" applyAlignment="1" applyProtection="1">
      <alignment horizontal="left" vertical="center"/>
    </xf>
    <xf numFmtId="0" fontId="92" fillId="20" borderId="20" xfId="0" applyFont="1" applyFill="1" applyBorder="1" applyAlignment="1" applyProtection="1">
      <alignment horizontal="center" vertical="center"/>
    </xf>
    <xf numFmtId="0" fontId="92" fillId="21" borderId="20" xfId="0" applyFont="1" applyFill="1" applyBorder="1" applyAlignment="1" applyProtection="1">
      <alignment horizontal="center" vertical="center"/>
    </xf>
    <xf numFmtId="0" fontId="92" fillId="7" borderId="20" xfId="0" applyFont="1" applyFill="1" applyBorder="1" applyAlignment="1" applyProtection="1">
      <alignment horizontal="center" vertical="center"/>
    </xf>
    <xf numFmtId="0" fontId="92" fillId="22" borderId="20" xfId="0" applyFont="1" applyFill="1" applyBorder="1" applyAlignment="1" applyProtection="1">
      <alignment horizontal="center" vertical="center"/>
    </xf>
    <xf numFmtId="0" fontId="0" fillId="0" borderId="0" xfId="0" applyProtection="1">
      <protection locked="0"/>
    </xf>
    <xf numFmtId="0" fontId="0" fillId="0" borderId="0" xfId="0" applyAlignment="1" applyProtection="1">
      <alignment horizontal="center"/>
      <protection locked="0"/>
    </xf>
    <xf numFmtId="3" fontId="0" fillId="0" borderId="0" xfId="0" applyNumberFormat="1" applyProtection="1">
      <protection locked="0"/>
    </xf>
    <xf numFmtId="175" fontId="59" fillId="2" borderId="1" xfId="0" applyNumberFormat="1" applyFont="1" applyFill="1" applyBorder="1" applyAlignment="1" applyProtection="1">
      <alignment horizontal="center" vertical="center"/>
    </xf>
    <xf numFmtId="175" fontId="17" fillId="2" borderId="1" xfId="0" applyNumberFormat="1" applyFont="1" applyFill="1" applyBorder="1" applyAlignment="1" applyProtection="1">
      <alignment horizontal="center" vertical="center"/>
    </xf>
    <xf numFmtId="175" fontId="31" fillId="2" borderId="1" xfId="0" applyNumberFormat="1" applyFont="1" applyFill="1" applyBorder="1" applyAlignment="1" applyProtection="1">
      <alignment horizontal="center" vertical="center"/>
    </xf>
    <xf numFmtId="4" fontId="93" fillId="4" borderId="1" xfId="0" applyNumberFormat="1" applyFont="1" applyFill="1" applyBorder="1" applyAlignment="1" applyProtection="1">
      <alignment horizontal="center" vertical="center"/>
    </xf>
    <xf numFmtId="4" fontId="42" fillId="4" borderId="1" xfId="0" applyNumberFormat="1" applyFont="1" applyFill="1" applyBorder="1" applyAlignment="1" applyProtection="1">
      <alignment horizontal="center" vertical="center"/>
    </xf>
    <xf numFmtId="3" fontId="53" fillId="4" borderId="1" xfId="0" applyNumberFormat="1" applyFont="1" applyFill="1" applyBorder="1" applyAlignment="1" applyProtection="1">
      <alignment horizontal="center" vertical="center"/>
    </xf>
    <xf numFmtId="175" fontId="31" fillId="15" borderId="5" xfId="0" applyNumberFormat="1" applyFont="1" applyFill="1" applyBorder="1" applyAlignment="1" applyProtection="1">
      <alignment horizontal="center" vertical="center"/>
    </xf>
    <xf numFmtId="175" fontId="17" fillId="15" borderId="1" xfId="0" applyNumberFormat="1" applyFont="1" applyFill="1" applyBorder="1" applyAlignment="1" applyProtection="1">
      <alignment horizontal="center" vertical="center"/>
    </xf>
    <xf numFmtId="0" fontId="32" fillId="2" borderId="1" xfId="0" applyNumberFormat="1" applyFont="1" applyFill="1" applyBorder="1" applyAlignment="1" applyProtection="1">
      <alignment horizontal="center" vertical="center"/>
    </xf>
    <xf numFmtId="4" fontId="32" fillId="7" borderId="1" xfId="0" applyNumberFormat="1" applyFont="1" applyFill="1" applyBorder="1" applyAlignment="1" applyProtection="1">
      <alignment vertical="center"/>
      <protection locked="0"/>
    </xf>
    <xf numFmtId="4" fontId="1" fillId="22" borderId="1" xfId="0" applyNumberFormat="1" applyFont="1" applyFill="1" applyBorder="1" applyAlignment="1" applyProtection="1">
      <alignment vertical="center"/>
    </xf>
    <xf numFmtId="3" fontId="32" fillId="4" borderId="1" xfId="0" applyNumberFormat="1" applyFont="1" applyFill="1" applyBorder="1" applyAlignment="1" applyProtection="1">
      <alignment vertical="center"/>
    </xf>
    <xf numFmtId="0" fontId="0" fillId="0" borderId="0" xfId="0" applyFont="1" applyAlignment="1" applyProtection="1">
      <alignment vertical="center"/>
      <protection locked="0"/>
    </xf>
    <xf numFmtId="0" fontId="61" fillId="2" borderId="1" xfId="0" applyFont="1" applyFill="1" applyBorder="1" applyAlignment="1" applyProtection="1">
      <alignment horizontal="center" vertical="center"/>
    </xf>
    <xf numFmtId="170" fontId="0" fillId="2" borderId="1" xfId="0" applyNumberFormat="1" applyFont="1" applyFill="1" applyBorder="1" applyAlignment="1" applyProtection="1">
      <alignment horizontal="center" vertical="center"/>
    </xf>
    <xf numFmtId="0" fontId="22" fillId="2" borderId="1" xfId="0" applyFont="1" applyFill="1" applyBorder="1" applyAlignment="1" applyProtection="1">
      <alignment horizontal="center" vertical="center"/>
    </xf>
    <xf numFmtId="4" fontId="0" fillId="4" borderId="1" xfId="0" applyNumberFormat="1" applyFont="1" applyFill="1" applyBorder="1" applyAlignment="1" applyProtection="1">
      <alignment horizontal="center" vertical="center"/>
    </xf>
    <xf numFmtId="3" fontId="0" fillId="2" borderId="1" xfId="0" applyNumberFormat="1" applyFont="1" applyFill="1" applyBorder="1" applyAlignment="1" applyProtection="1">
      <alignment horizontal="center" vertical="center"/>
    </xf>
    <xf numFmtId="0" fontId="33" fillId="2" borderId="1" xfId="0" applyFont="1" applyFill="1" applyBorder="1" applyAlignment="1" applyProtection="1">
      <alignment horizontal="center" vertical="center"/>
    </xf>
    <xf numFmtId="2" fontId="33" fillId="2" borderId="1" xfId="0" applyNumberFormat="1" applyFont="1" applyFill="1" applyBorder="1" applyAlignment="1" applyProtection="1">
      <alignment horizontal="center" vertical="center" wrapText="1"/>
    </xf>
    <xf numFmtId="0" fontId="32" fillId="2" borderId="1" xfId="0" applyFont="1" applyFill="1" applyBorder="1" applyAlignment="1" applyProtection="1">
      <alignment horizontal="center" vertical="center" wrapText="1"/>
    </xf>
    <xf numFmtId="0" fontId="33"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xf>
    <xf numFmtId="0" fontId="33" fillId="2" borderId="2" xfId="0" applyFont="1" applyFill="1" applyBorder="1" applyAlignment="1" applyProtection="1">
      <alignment horizontal="center" vertical="center" wrapText="1"/>
    </xf>
    <xf numFmtId="1" fontId="2" fillId="2" borderId="1" xfId="0" applyNumberFormat="1" applyFont="1" applyFill="1" applyBorder="1" applyAlignment="1" applyProtection="1">
      <alignment horizontal="center" vertical="center"/>
    </xf>
    <xf numFmtId="15" fontId="53" fillId="4" borderId="1" xfId="0" applyNumberFormat="1" applyFont="1" applyFill="1" applyBorder="1" applyAlignment="1" applyProtection="1">
      <alignment horizontal="center" vertical="center"/>
    </xf>
    <xf numFmtId="15" fontId="53" fillId="12" borderId="1" xfId="0" applyNumberFormat="1" applyFont="1" applyFill="1" applyBorder="1" applyAlignment="1" applyProtection="1">
      <alignment horizontal="center" vertical="center"/>
    </xf>
    <xf numFmtId="170" fontId="1" fillId="2" borderId="1" xfId="0" applyNumberFormat="1" applyFont="1" applyFill="1" applyBorder="1" applyAlignment="1" applyProtection="1">
      <alignment horizontal="center" vertical="center"/>
    </xf>
    <xf numFmtId="0" fontId="2" fillId="2" borderId="1" xfId="0" applyFont="1" applyFill="1" applyBorder="1" applyAlignment="1" applyProtection="1">
      <alignment horizontal="center" vertical="center"/>
    </xf>
    <xf numFmtId="0" fontId="1" fillId="2" borderId="1" xfId="0" applyFont="1" applyFill="1" applyBorder="1" applyAlignment="1" applyProtection="1">
      <alignment vertical="center"/>
    </xf>
    <xf numFmtId="169" fontId="1" fillId="2" borderId="1" xfId="0" applyNumberFormat="1" applyFont="1" applyFill="1" applyBorder="1" applyAlignment="1" applyProtection="1">
      <alignment vertical="center"/>
    </xf>
    <xf numFmtId="173" fontId="12" fillId="4" borderId="3" xfId="0" applyNumberFormat="1" applyFont="1" applyFill="1" applyBorder="1" applyAlignment="1" applyProtection="1">
      <alignment horizontal="center" vertical="center"/>
      <protection locked="0"/>
    </xf>
    <xf numFmtId="171" fontId="12" fillId="4" borderId="3" xfId="0" applyNumberFormat="1" applyFont="1" applyFill="1" applyBorder="1" applyAlignment="1" applyProtection="1">
      <alignment horizontal="center" vertical="center"/>
      <protection locked="0"/>
    </xf>
    <xf numFmtId="0" fontId="8" fillId="2" borderId="1" xfId="0" applyFont="1" applyFill="1" applyBorder="1" applyAlignment="1" applyProtection="1">
      <alignment horizontal="center" vertical="center"/>
    </xf>
    <xf numFmtId="170" fontId="32" fillId="2" borderId="1" xfId="0" applyNumberFormat="1" applyFont="1" applyFill="1" applyBorder="1" applyAlignment="1" applyProtection="1">
      <alignment horizontal="center" vertical="center"/>
    </xf>
    <xf numFmtId="0" fontId="17" fillId="2" borderId="1" xfId="0" applyFont="1" applyFill="1" applyBorder="1" applyAlignment="1" applyProtection="1">
      <alignment horizontal="center" vertical="center"/>
    </xf>
    <xf numFmtId="3" fontId="12" fillId="4" borderId="3" xfId="0" applyNumberFormat="1" applyFont="1" applyFill="1" applyBorder="1" applyAlignment="1" applyProtection="1">
      <alignment horizontal="center" vertical="center"/>
    </xf>
    <xf numFmtId="3" fontId="12" fillId="4" borderId="1" xfId="0" applyNumberFormat="1" applyFont="1" applyFill="1" applyBorder="1" applyAlignment="1" applyProtection="1">
      <alignment horizontal="center" vertical="center"/>
    </xf>
    <xf numFmtId="0" fontId="12" fillId="4" borderId="1" xfId="0" applyFont="1" applyFill="1" applyBorder="1" applyAlignment="1" applyProtection="1">
      <alignment horizontal="left" vertical="center"/>
    </xf>
    <xf numFmtId="0" fontId="12" fillId="4" borderId="1" xfId="0" applyFont="1" applyFill="1" applyBorder="1" applyAlignment="1" applyProtection="1">
      <alignment horizontal="right" vertical="center"/>
    </xf>
    <xf numFmtId="14" fontId="33" fillId="4" borderId="4" xfId="0" applyNumberFormat="1" applyFont="1" applyFill="1" applyBorder="1" applyAlignment="1" applyProtection="1">
      <alignment horizontal="center" vertical="center"/>
    </xf>
    <xf numFmtId="180" fontId="33" fillId="4" borderId="1" xfId="0" applyNumberFormat="1" applyFont="1" applyFill="1" applyBorder="1" applyAlignment="1" applyProtection="1">
      <alignment horizontal="center" vertical="center"/>
    </xf>
    <xf numFmtId="181" fontId="32" fillId="4" borderId="1" xfId="0" applyNumberFormat="1" applyFont="1" applyFill="1" applyBorder="1" applyAlignment="1" applyProtection="1">
      <alignment horizontal="center" vertical="center"/>
    </xf>
    <xf numFmtId="14" fontId="33" fillId="4" borderId="1" xfId="0" applyNumberFormat="1" applyFont="1" applyFill="1" applyBorder="1" applyAlignment="1" applyProtection="1">
      <alignment horizontal="center" vertical="center"/>
    </xf>
    <xf numFmtId="14" fontId="33" fillId="12" borderId="4" xfId="0" applyNumberFormat="1" applyFont="1" applyFill="1" applyBorder="1" applyAlignment="1" applyProtection="1">
      <alignment horizontal="center" vertical="center"/>
    </xf>
    <xf numFmtId="180" fontId="33" fillId="12" borderId="1" xfId="0" applyNumberFormat="1" applyFont="1" applyFill="1" applyBorder="1" applyAlignment="1" applyProtection="1">
      <alignment horizontal="center" vertical="center"/>
    </xf>
    <xf numFmtId="181" fontId="32" fillId="12" borderId="1" xfId="0" applyNumberFormat="1" applyFont="1" applyFill="1" applyBorder="1" applyAlignment="1" applyProtection="1">
      <alignment horizontal="center" vertical="center"/>
    </xf>
    <xf numFmtId="14" fontId="33" fillId="12" borderId="1" xfId="0" applyNumberFormat="1" applyFont="1" applyFill="1" applyBorder="1" applyAlignment="1" applyProtection="1">
      <alignment horizontal="center" vertical="center"/>
    </xf>
    <xf numFmtId="0" fontId="75" fillId="4" borderId="1" xfId="0" applyFont="1" applyFill="1" applyBorder="1" applyAlignment="1" applyProtection="1">
      <alignment horizontal="center"/>
    </xf>
    <xf numFmtId="0" fontId="50" fillId="4" borderId="1" xfId="0" applyFont="1" applyFill="1" applyBorder="1" applyAlignment="1" applyProtection="1">
      <alignment horizontal="center"/>
    </xf>
    <xf numFmtId="0" fontId="75" fillId="4" borderId="4" xfId="0" applyFont="1" applyFill="1" applyBorder="1" applyAlignment="1" applyProtection="1">
      <alignment horizontal="center"/>
    </xf>
    <xf numFmtId="0" fontId="17" fillId="2" borderId="3" xfId="0" applyFont="1" applyFill="1" applyBorder="1" applyAlignment="1" applyProtection="1">
      <alignment horizontal="center" vertical="center"/>
    </xf>
    <xf numFmtId="0" fontId="17" fillId="4" borderId="1" xfId="0" applyFont="1" applyFill="1" applyBorder="1" applyAlignment="1" applyProtection="1">
      <alignment horizontal="center" vertical="center"/>
    </xf>
    <xf numFmtId="0" fontId="32" fillId="4" borderId="1" xfId="0" applyFont="1" applyFill="1" applyBorder="1" applyAlignment="1" applyProtection="1">
      <alignment horizontal="center" vertical="center"/>
    </xf>
    <xf numFmtId="0" fontId="97" fillId="0" borderId="1" xfId="0" applyFont="1" applyBorder="1" applyAlignment="1" applyProtection="1">
      <alignment horizontal="center" vertical="center"/>
      <protection locked="0"/>
    </xf>
    <xf numFmtId="0" fontId="75" fillId="0" borderId="1" xfId="0" applyFont="1" applyBorder="1" applyAlignment="1" applyProtection="1">
      <alignment horizontal="center" vertical="center" wrapText="1"/>
      <protection locked="0"/>
    </xf>
    <xf numFmtId="0" fontId="75" fillId="0" borderId="0" xfId="0" applyFont="1" applyAlignment="1" applyProtection="1">
      <alignment horizontal="center" vertical="center" wrapText="1"/>
      <protection locked="0"/>
    </xf>
    <xf numFmtId="186" fontId="32" fillId="4" borderId="1" xfId="0" applyNumberFormat="1" applyFont="1" applyFill="1" applyBorder="1" applyAlignment="1" applyProtection="1">
      <alignment horizontal="center" vertical="center"/>
    </xf>
    <xf numFmtId="0" fontId="30" fillId="2"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2" borderId="6" xfId="0" applyFont="1" applyFill="1" applyBorder="1" applyAlignment="1" applyProtection="1">
      <alignment horizontal="right" vertical="center"/>
    </xf>
    <xf numFmtId="0" fontId="15" fillId="0" borderId="4" xfId="0" applyFont="1" applyFill="1" applyBorder="1" applyAlignment="1" applyProtection="1">
      <alignment horizontal="left" vertical="center"/>
    </xf>
    <xf numFmtId="0" fontId="10" fillId="4" borderId="1" xfId="0" applyFont="1" applyFill="1" applyBorder="1" applyAlignment="1" applyProtection="1">
      <alignment horizontal="center" vertical="center"/>
    </xf>
    <xf numFmtId="0" fontId="1" fillId="0" borderId="0" xfId="0" applyFont="1" applyProtection="1">
      <protection locked="0"/>
    </xf>
    <xf numFmtId="4" fontId="0" fillId="0" borderId="0" xfId="0" applyNumberFormat="1" applyProtection="1">
      <protection locked="0"/>
    </xf>
    <xf numFmtId="4" fontId="53" fillId="4" borderId="1" xfId="0" applyNumberFormat="1" applyFont="1" applyFill="1" applyBorder="1" applyAlignment="1" applyProtection="1">
      <alignment horizontal="center" vertical="center"/>
    </xf>
    <xf numFmtId="4" fontId="31" fillId="2" borderId="1" xfId="0" applyNumberFormat="1" applyFont="1" applyFill="1" applyBorder="1" applyAlignment="1" applyProtection="1">
      <alignment horizontal="center" vertical="center"/>
    </xf>
    <xf numFmtId="4" fontId="25" fillId="11" borderId="1" xfId="0" applyNumberFormat="1" applyFont="1" applyFill="1" applyBorder="1" applyAlignment="1" applyProtection="1">
      <alignment vertical="center"/>
      <protection locked="0"/>
    </xf>
    <xf numFmtId="0" fontId="1" fillId="2" borderId="2" xfId="0" applyFont="1" applyFill="1" applyBorder="1" applyAlignment="1" applyProtection="1">
      <alignment horizontal="center" vertical="center"/>
    </xf>
    <xf numFmtId="0" fontId="82" fillId="5" borderId="2" xfId="0" applyFont="1" applyFill="1" applyBorder="1" applyAlignment="1" applyProtection="1">
      <alignment horizontal="center" vertical="center"/>
    </xf>
    <xf numFmtId="0" fontId="8" fillId="2" borderId="2" xfId="0" applyFont="1" applyFill="1" applyBorder="1" applyAlignment="1" applyProtection="1">
      <alignment horizontal="center" vertical="center"/>
    </xf>
    <xf numFmtId="0" fontId="5" fillId="2" borderId="4" xfId="0" applyFont="1" applyFill="1" applyBorder="1" applyAlignment="1" applyProtection="1">
      <alignment horizontal="left" vertical="center"/>
    </xf>
    <xf numFmtId="0" fontId="94" fillId="0" borderId="0" xfId="0" applyFont="1" applyAlignment="1" applyProtection="1">
      <alignment horizontal="center" vertical="center"/>
      <protection locked="0"/>
    </xf>
    <xf numFmtId="0" fontId="100" fillId="0" borderId="0" xfId="0" applyFont="1" applyAlignment="1" applyProtection="1">
      <alignment horizontal="center" vertical="center"/>
      <protection locked="0"/>
    </xf>
    <xf numFmtId="0" fontId="1" fillId="0" borderId="0" xfId="0" applyFont="1" applyAlignment="1" applyProtection="1">
      <alignment horizontal="left" vertical="center"/>
      <protection locked="0"/>
    </xf>
    <xf numFmtId="0" fontId="0" fillId="0" borderId="0" xfId="0" applyFont="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3" fontId="65" fillId="18" borderId="1" xfId="0" applyNumberFormat="1" applyFont="1" applyFill="1" applyBorder="1" applyAlignment="1" applyProtection="1">
      <alignment horizontal="center" vertical="center"/>
      <protection locked="0"/>
    </xf>
    <xf numFmtId="3" fontId="31" fillId="0" borderId="1" xfId="0" applyNumberFormat="1" applyFont="1" applyBorder="1" applyAlignment="1" applyProtection="1">
      <alignment horizontal="center" vertical="center"/>
      <protection locked="0"/>
    </xf>
    <xf numFmtId="3" fontId="55" fillId="0" borderId="1" xfId="0" applyNumberFormat="1" applyFont="1" applyBorder="1" applyAlignment="1" applyProtection="1">
      <alignment horizontal="center" vertical="center"/>
      <protection locked="0"/>
    </xf>
    <xf numFmtId="0" fontId="110" fillId="0" borderId="0" xfId="0" applyFont="1" applyBorder="1" applyAlignment="1" applyProtection="1">
      <alignment horizontal="center" vertical="center"/>
      <protection locked="0"/>
    </xf>
    <xf numFmtId="0" fontId="100" fillId="0" borderId="0" xfId="0" applyFont="1" applyBorder="1" applyAlignment="1" applyProtection="1">
      <alignment horizontal="center" vertical="center"/>
      <protection locked="0"/>
    </xf>
    <xf numFmtId="0" fontId="47" fillId="0" borderId="0" xfId="0" applyFont="1" applyBorder="1" applyAlignment="1" applyProtection="1">
      <alignment horizontal="center" vertical="center"/>
      <protection locked="0"/>
    </xf>
    <xf numFmtId="0" fontId="47" fillId="0" borderId="0" xfId="0" applyFont="1" applyAlignment="1" applyProtection="1">
      <alignment horizontal="center" vertical="center"/>
      <protection locked="0"/>
    </xf>
    <xf numFmtId="0" fontId="110" fillId="0" borderId="0" xfId="0" applyFont="1" applyAlignment="1" applyProtection="1">
      <alignment horizontal="center" vertical="center"/>
      <protection locked="0"/>
    </xf>
    <xf numFmtId="0" fontId="42" fillId="2" borderId="1" xfId="0" applyFont="1" applyFill="1" applyBorder="1" applyAlignment="1" applyProtection="1">
      <alignment horizontal="center" vertical="center"/>
    </xf>
    <xf numFmtId="0" fontId="16" fillId="2" borderId="1" xfId="0" applyFont="1" applyFill="1" applyBorder="1" applyAlignment="1" applyProtection="1">
      <alignment horizontal="center" vertical="center"/>
    </xf>
    <xf numFmtId="170" fontId="43" fillId="2" borderId="1" xfId="0" applyNumberFormat="1" applyFont="1" applyFill="1" applyBorder="1" applyAlignment="1" applyProtection="1">
      <alignment horizontal="center" vertical="center"/>
    </xf>
    <xf numFmtId="188" fontId="74" fillId="2" borderId="4" xfId="0" applyNumberFormat="1" applyFont="1" applyFill="1" applyBorder="1" applyAlignment="1" applyProtection="1">
      <alignment horizontal="center" vertical="center"/>
    </xf>
    <xf numFmtId="170" fontId="97" fillId="2" borderId="1" xfId="0" applyNumberFormat="1" applyFont="1" applyFill="1" applyBorder="1" applyAlignment="1" applyProtection="1">
      <alignment horizontal="center" vertical="center"/>
    </xf>
    <xf numFmtId="170" fontId="108" fillId="2" borderId="1" xfId="0" applyNumberFormat="1" applyFont="1" applyFill="1" applyBorder="1" applyAlignment="1" applyProtection="1">
      <alignment horizontal="center" vertical="center"/>
    </xf>
    <xf numFmtId="170" fontId="53" fillId="2" borderId="1" xfId="0" applyNumberFormat="1" applyFont="1" applyFill="1" applyBorder="1" applyAlignment="1" applyProtection="1">
      <alignment horizontal="center" vertical="center"/>
    </xf>
    <xf numFmtId="0" fontId="65" fillId="2" borderId="1" xfId="0" applyFont="1" applyFill="1" applyBorder="1" applyAlignment="1" applyProtection="1">
      <alignment horizontal="center" vertical="center"/>
    </xf>
    <xf numFmtId="0" fontId="69" fillId="2" borderId="1" xfId="0" applyFont="1" applyFill="1" applyBorder="1" applyAlignment="1" applyProtection="1">
      <alignment horizontal="center" vertical="center"/>
    </xf>
    <xf numFmtId="3" fontId="55" fillId="4" borderId="1" xfId="0" applyNumberFormat="1" applyFont="1" applyFill="1" applyBorder="1" applyAlignment="1" applyProtection="1">
      <alignment horizontal="center" vertical="center"/>
    </xf>
    <xf numFmtId="3" fontId="65" fillId="2" borderId="1" xfId="0" applyNumberFormat="1" applyFont="1" applyFill="1" applyBorder="1" applyAlignment="1" applyProtection="1">
      <alignment horizontal="center" vertical="center"/>
    </xf>
    <xf numFmtId="3" fontId="101" fillId="2" borderId="1" xfId="0" applyNumberFormat="1" applyFont="1" applyFill="1" applyBorder="1" applyAlignment="1" applyProtection="1">
      <alignment horizontal="center" vertical="center"/>
    </xf>
    <xf numFmtId="3" fontId="100" fillId="2" borderId="1" xfId="0" applyNumberFormat="1" applyFont="1" applyFill="1" applyBorder="1" applyAlignment="1" applyProtection="1">
      <alignment horizontal="center" vertical="center"/>
    </xf>
    <xf numFmtId="3" fontId="94" fillId="2" borderId="1" xfId="0" applyNumberFormat="1" applyFont="1" applyFill="1" applyBorder="1" applyAlignment="1" applyProtection="1">
      <alignment horizontal="center" vertical="center"/>
    </xf>
    <xf numFmtId="188" fontId="74" fillId="2" borderId="1" xfId="0" applyNumberFormat="1" applyFont="1" applyFill="1" applyBorder="1" applyAlignment="1" applyProtection="1">
      <alignment horizontal="center" vertical="center"/>
    </xf>
    <xf numFmtId="170" fontId="43" fillId="22" borderId="1" xfId="0" applyNumberFormat="1" applyFont="1" applyFill="1" applyBorder="1" applyAlignment="1" applyProtection="1">
      <alignment horizontal="center" vertical="center"/>
    </xf>
    <xf numFmtId="170" fontId="108" fillId="22" borderId="1" xfId="0" applyNumberFormat="1" applyFont="1" applyFill="1" applyBorder="1" applyAlignment="1" applyProtection="1">
      <alignment horizontal="center" vertical="center"/>
    </xf>
    <xf numFmtId="170" fontId="53" fillId="22" borderId="1" xfId="0" applyNumberFormat="1" applyFont="1" applyFill="1" applyBorder="1" applyAlignment="1" applyProtection="1">
      <alignment horizontal="center" vertical="center"/>
    </xf>
    <xf numFmtId="0" fontId="109" fillId="2" borderId="1" xfId="0" applyFont="1" applyFill="1" applyBorder="1" applyAlignment="1" applyProtection="1">
      <alignment horizontal="center" vertical="center"/>
    </xf>
    <xf numFmtId="0" fontId="65" fillId="22" borderId="1" xfId="0" applyFont="1" applyFill="1" applyBorder="1" applyAlignment="1" applyProtection="1">
      <alignment horizontal="center" vertical="center"/>
    </xf>
    <xf numFmtId="0" fontId="109" fillId="22" borderId="1" xfId="0" applyFont="1" applyFill="1" applyBorder="1" applyAlignment="1" applyProtection="1">
      <alignment horizontal="center" vertical="center"/>
    </xf>
    <xf numFmtId="3" fontId="47" fillId="22" borderId="1" xfId="0" applyNumberFormat="1" applyFont="1" applyFill="1" applyBorder="1" applyAlignment="1" applyProtection="1">
      <alignment horizontal="center" vertical="center"/>
    </xf>
    <xf numFmtId="3" fontId="100" fillId="22" borderId="1" xfId="0" applyNumberFormat="1" applyFont="1" applyFill="1" applyBorder="1" applyAlignment="1" applyProtection="1">
      <alignment horizontal="center" vertical="center"/>
    </xf>
    <xf numFmtId="0" fontId="0" fillId="0" borderId="0" xfId="0" applyAlignment="1" applyProtection="1">
      <alignment horizontal="center" vertical="center"/>
    </xf>
    <xf numFmtId="0" fontId="110" fillId="0" borderId="0" xfId="0" applyFont="1" applyAlignment="1" applyProtection="1">
      <alignment horizontal="center" vertical="center"/>
    </xf>
    <xf numFmtId="0" fontId="100" fillId="0" borderId="0" xfId="0" applyFont="1" applyAlignment="1" applyProtection="1">
      <alignment horizontal="center" vertical="center"/>
    </xf>
    <xf numFmtId="0" fontId="47" fillId="0" borderId="0" xfId="0" applyFont="1" applyAlignment="1" applyProtection="1">
      <alignment horizontal="center" vertical="center"/>
    </xf>
    <xf numFmtId="174" fontId="32" fillId="0" borderId="1" xfId="0" applyNumberFormat="1" applyFont="1" applyFill="1" applyBorder="1" applyAlignment="1" applyProtection="1">
      <alignment vertical="center"/>
      <protection locked="0"/>
    </xf>
    <xf numFmtId="2" fontId="32" fillId="24" borderId="2" xfId="0" applyNumberFormat="1" applyFont="1" applyFill="1" applyBorder="1" applyAlignment="1" applyProtection="1">
      <alignment horizontal="center" vertical="center"/>
      <protection locked="0"/>
    </xf>
    <xf numFmtId="0" fontId="46" fillId="6" borderId="5" xfId="0" applyFont="1" applyFill="1" applyBorder="1" applyAlignment="1" applyProtection="1">
      <alignment horizontal="right" vertical="center"/>
    </xf>
    <xf numFmtId="0" fontId="36" fillId="2" borderId="1" xfId="0" applyFont="1" applyFill="1" applyBorder="1" applyAlignment="1" applyProtection="1">
      <alignment horizontal="center" vertical="center"/>
    </xf>
    <xf numFmtId="0" fontId="80" fillId="5" borderId="18" xfId="0" applyFont="1" applyFill="1" applyBorder="1" applyAlignment="1" applyProtection="1">
      <alignment horizontal="center" vertical="center"/>
    </xf>
    <xf numFmtId="0" fontId="80" fillId="5" borderId="19" xfId="0" applyFont="1" applyFill="1" applyBorder="1" applyAlignment="1" applyProtection="1">
      <alignment horizontal="center" vertical="center"/>
    </xf>
    <xf numFmtId="0" fontId="80" fillId="5" borderId="10" xfId="0" applyFont="1" applyFill="1" applyBorder="1" applyAlignment="1" applyProtection="1">
      <alignment horizontal="center" vertical="center"/>
    </xf>
    <xf numFmtId="0" fontId="32" fillId="2" borderId="2" xfId="0" applyFont="1" applyFill="1" applyBorder="1" applyAlignment="1" applyProtection="1">
      <alignment horizontal="center" vertical="center"/>
    </xf>
    <xf numFmtId="0" fontId="17" fillId="2" borderId="2" xfId="0" applyFont="1" applyFill="1" applyBorder="1" applyAlignment="1" applyProtection="1">
      <alignment horizontal="center" vertical="center"/>
    </xf>
    <xf numFmtId="0" fontId="32" fillId="2" borderId="9" xfId="0" applyFont="1" applyFill="1" applyBorder="1" applyAlignment="1" applyProtection="1">
      <alignment horizontal="center" vertical="center"/>
    </xf>
    <xf numFmtId="0" fontId="49" fillId="2" borderId="1" xfId="0" applyFont="1" applyFill="1" applyBorder="1" applyAlignment="1" applyProtection="1">
      <alignment horizontal="center" vertical="center"/>
    </xf>
    <xf numFmtId="0" fontId="44" fillId="2" borderId="2" xfId="0" applyFont="1" applyFill="1" applyBorder="1" applyAlignment="1" applyProtection="1">
      <alignment horizontal="center" vertical="center"/>
    </xf>
    <xf numFmtId="0" fontId="45" fillId="2" borderId="2" xfId="0" applyFont="1" applyFill="1" applyBorder="1" applyAlignment="1" applyProtection="1">
      <alignment horizontal="center" vertical="center"/>
    </xf>
    <xf numFmtId="0" fontId="48" fillId="2" borderId="2" xfId="0" applyFont="1" applyFill="1" applyBorder="1" applyAlignment="1" applyProtection="1">
      <alignment horizontal="center" vertical="center"/>
    </xf>
    <xf numFmtId="0" fontId="44" fillId="2" borderId="1" xfId="0" applyFont="1" applyFill="1" applyBorder="1" applyAlignment="1" applyProtection="1">
      <alignment horizontal="center" vertical="center"/>
    </xf>
    <xf numFmtId="0" fontId="45" fillId="2" borderId="1" xfId="0" applyFont="1" applyFill="1" applyBorder="1" applyAlignment="1" applyProtection="1">
      <alignment horizontal="center" vertical="center"/>
    </xf>
    <xf numFmtId="0" fontId="50" fillId="2" borderId="1" xfId="0" applyFont="1" applyFill="1" applyBorder="1" applyAlignment="1" applyProtection="1">
      <alignment horizontal="center" vertical="center"/>
    </xf>
    <xf numFmtId="165" fontId="32" fillId="3" borderId="1" xfId="0" applyNumberFormat="1" applyFont="1" applyFill="1" applyBorder="1" applyAlignment="1" applyProtection="1">
      <alignment horizontal="center" vertical="center"/>
    </xf>
    <xf numFmtId="165" fontId="32" fillId="3" borderId="1" xfId="0" applyNumberFormat="1" applyFont="1" applyFill="1" applyBorder="1" applyAlignment="1" applyProtection="1">
      <alignment vertical="center"/>
    </xf>
    <xf numFmtId="0" fontId="32" fillId="3" borderId="1" xfId="0" applyFont="1" applyFill="1" applyBorder="1" applyAlignment="1" applyProtection="1">
      <alignment vertical="center"/>
    </xf>
    <xf numFmtId="0" fontId="122" fillId="0" borderId="0" xfId="0" applyFont="1" applyProtection="1">
      <protection locked="0"/>
    </xf>
    <xf numFmtId="0" fontId="122" fillId="0" borderId="0" xfId="0" applyFont="1" applyAlignment="1" applyProtection="1">
      <alignment horizontal="center" vertical="center"/>
      <protection locked="0"/>
    </xf>
    <xf numFmtId="0" fontId="8" fillId="2" borderId="1" xfId="0" applyFont="1" applyFill="1" applyBorder="1" applyAlignment="1" applyProtection="1">
      <alignment horizontal="center" vertical="center" wrapText="1"/>
    </xf>
    <xf numFmtId="0" fontId="1" fillId="0" borderId="7" xfId="0" applyFont="1" applyBorder="1" applyAlignment="1" applyProtection="1">
      <alignment horizontal="left" vertical="center" wrapText="1"/>
    </xf>
    <xf numFmtId="0" fontId="41" fillId="2" borderId="7" xfId="0" applyFont="1" applyFill="1" applyBorder="1" applyAlignment="1" applyProtection="1">
      <alignment horizontal="center" vertical="center" wrapText="1"/>
    </xf>
    <xf numFmtId="0" fontId="12" fillId="2" borderId="1" xfId="0" applyNumberFormat="1" applyFont="1" applyFill="1" applyBorder="1" applyAlignment="1" applyProtection="1">
      <alignment horizontal="center" vertical="center"/>
    </xf>
    <xf numFmtId="175" fontId="8" fillId="2" borderId="1" xfId="0" applyNumberFormat="1" applyFont="1" applyFill="1" applyBorder="1" applyAlignment="1" applyProtection="1">
      <alignment horizontal="center" vertical="center"/>
    </xf>
    <xf numFmtId="187" fontId="16" fillId="2" borderId="2" xfId="0" applyNumberFormat="1" applyFont="1" applyFill="1" applyBorder="1" applyAlignment="1" applyProtection="1">
      <alignment horizontal="center" vertical="center"/>
      <protection locked="0"/>
    </xf>
    <xf numFmtId="182" fontId="16" fillId="2" borderId="1" xfId="0" applyNumberFormat="1" applyFont="1" applyFill="1" applyBorder="1" applyAlignment="1" applyProtection="1">
      <alignment horizontal="center" vertical="center"/>
      <protection locked="0"/>
    </xf>
    <xf numFmtId="187" fontId="12" fillId="0" borderId="1" xfId="0" applyNumberFormat="1" applyFont="1" applyBorder="1" applyAlignment="1" applyProtection="1">
      <alignment horizontal="center" vertical="center"/>
      <protection locked="0"/>
    </xf>
    <xf numFmtId="0" fontId="38" fillId="0" borderId="1" xfId="0" applyFont="1" applyBorder="1" applyAlignment="1" applyProtection="1">
      <alignment horizontal="center" vertical="center"/>
      <protection locked="0"/>
    </xf>
    <xf numFmtId="187" fontId="42" fillId="19" borderId="1" xfId="0" applyNumberFormat="1" applyFont="1" applyFill="1" applyBorder="1" applyAlignment="1" applyProtection="1">
      <alignment horizontal="center" vertical="center"/>
      <protection locked="0"/>
    </xf>
    <xf numFmtId="187" fontId="104" fillId="0" borderId="1" xfId="0" applyNumberFormat="1" applyFont="1" applyBorder="1" applyAlignment="1" applyProtection="1">
      <alignment horizontal="center" vertical="center"/>
      <protection locked="0"/>
    </xf>
    <xf numFmtId="187" fontId="12" fillId="0" borderId="0" xfId="0" applyNumberFormat="1" applyFont="1" applyAlignment="1" applyProtection="1">
      <alignment horizontal="center" vertical="center"/>
      <protection locked="0"/>
    </xf>
    <xf numFmtId="3" fontId="38" fillId="0" borderId="0" xfId="0" applyNumberFormat="1" applyFont="1" applyAlignment="1" applyProtection="1">
      <alignment horizontal="center" vertical="center"/>
      <protection locked="0"/>
    </xf>
    <xf numFmtId="182" fontId="38" fillId="0" borderId="0" xfId="0" applyNumberFormat="1" applyFont="1" applyAlignment="1" applyProtection="1">
      <alignment horizontal="center" vertical="center"/>
      <protection locked="0"/>
    </xf>
    <xf numFmtId="0" fontId="104" fillId="4" borderId="1" xfId="0" applyFont="1" applyFill="1" applyBorder="1" applyAlignment="1" applyProtection="1">
      <alignment horizontal="center" vertical="center"/>
      <protection locked="0"/>
    </xf>
    <xf numFmtId="187" fontId="104" fillId="4" borderId="1" xfId="0" applyNumberFormat="1" applyFont="1" applyFill="1" applyBorder="1" applyAlignment="1" applyProtection="1">
      <alignment horizontal="center" vertical="center"/>
      <protection locked="0"/>
    </xf>
    <xf numFmtId="0" fontId="105" fillId="4" borderId="1" xfId="0" applyFont="1" applyFill="1" applyBorder="1" applyAlignment="1" applyProtection="1">
      <alignment horizontal="center" vertical="center"/>
      <protection locked="0"/>
    </xf>
    <xf numFmtId="3" fontId="105" fillId="4" borderId="1" xfId="0" applyNumberFormat="1" applyFont="1" applyFill="1" applyBorder="1" applyAlignment="1" applyProtection="1">
      <alignment horizontal="center" vertical="center"/>
      <protection locked="0"/>
    </xf>
    <xf numFmtId="182" fontId="105" fillId="4" borderId="1" xfId="0" applyNumberFormat="1" applyFont="1" applyFill="1" applyBorder="1" applyAlignment="1" applyProtection="1">
      <alignment horizontal="center" vertical="center"/>
      <protection locked="0"/>
    </xf>
    <xf numFmtId="187" fontId="12" fillId="4" borderId="1" xfId="0" applyNumberFormat="1" applyFont="1" applyFill="1" applyBorder="1" applyAlignment="1" applyProtection="1">
      <alignment horizontal="center" vertical="center"/>
      <protection locked="0"/>
    </xf>
    <xf numFmtId="0" fontId="38" fillId="4" borderId="1" xfId="0" applyFont="1" applyFill="1" applyBorder="1" applyAlignment="1" applyProtection="1">
      <alignment horizontal="center" vertical="center"/>
      <protection locked="0"/>
    </xf>
    <xf numFmtId="3" fontId="38" fillId="4" borderId="1" xfId="0" applyNumberFormat="1" applyFont="1" applyFill="1" applyBorder="1" applyAlignment="1" applyProtection="1">
      <alignment horizontal="center" vertical="center"/>
      <protection locked="0"/>
    </xf>
    <xf numFmtId="182" fontId="38" fillId="4" borderId="1" xfId="0" applyNumberFormat="1" applyFont="1" applyFill="1" applyBorder="1" applyAlignment="1" applyProtection="1">
      <alignment horizontal="center" vertical="center"/>
      <protection locked="0"/>
    </xf>
    <xf numFmtId="182" fontId="103" fillId="4" borderId="1" xfId="0" applyNumberFormat="1" applyFont="1" applyFill="1" applyBorder="1" applyAlignment="1" applyProtection="1">
      <alignment horizontal="center" vertical="center"/>
      <protection locked="0"/>
    </xf>
    <xf numFmtId="0" fontId="43" fillId="4" borderId="1" xfId="0" applyFont="1" applyFill="1" applyBorder="1" applyAlignment="1" applyProtection="1">
      <alignment horizontal="center" vertical="center"/>
      <protection locked="0"/>
    </xf>
    <xf numFmtId="187" fontId="104" fillId="4" borderId="1" xfId="0" applyNumberFormat="1" applyFont="1" applyFill="1" applyBorder="1" applyAlignment="1" applyProtection="1">
      <alignment horizontal="center" vertical="center"/>
    </xf>
    <xf numFmtId="0" fontId="105" fillId="4" borderId="1" xfId="0" applyFont="1" applyFill="1" applyBorder="1" applyAlignment="1" applyProtection="1">
      <alignment horizontal="center" vertical="center"/>
    </xf>
    <xf numFmtId="3" fontId="105" fillId="4" borderId="1" xfId="0" applyNumberFormat="1" applyFont="1" applyFill="1" applyBorder="1" applyAlignment="1" applyProtection="1">
      <alignment horizontal="center" vertical="center"/>
    </xf>
    <xf numFmtId="182" fontId="105" fillId="4" borderId="1" xfId="0" applyNumberFormat="1" applyFont="1" applyFill="1" applyBorder="1" applyAlignment="1" applyProtection="1">
      <alignment horizontal="center" vertical="center"/>
    </xf>
    <xf numFmtId="3" fontId="1" fillId="4" borderId="1" xfId="0" applyNumberFormat="1" applyFont="1" applyFill="1" applyBorder="1" applyAlignment="1" applyProtection="1">
      <alignment vertical="center"/>
      <protection locked="0"/>
    </xf>
    <xf numFmtId="14" fontId="1" fillId="4" borderId="1" xfId="0" applyNumberFormat="1" applyFont="1" applyFill="1" applyBorder="1" applyAlignment="1" applyProtection="1">
      <alignment horizontal="center" vertical="center"/>
      <protection locked="0"/>
    </xf>
    <xf numFmtId="3" fontId="1" fillId="0" borderId="1" xfId="0" applyNumberFormat="1" applyFont="1" applyFill="1" applyBorder="1" applyAlignment="1" applyProtection="1">
      <alignment vertical="center"/>
      <protection locked="0"/>
    </xf>
    <xf numFmtId="14" fontId="41" fillId="0" borderId="1" xfId="0" applyNumberFormat="1" applyFont="1" applyFill="1" applyBorder="1" applyAlignment="1" applyProtection="1">
      <alignment horizontal="center" vertical="center"/>
      <protection locked="0"/>
    </xf>
    <xf numFmtId="14" fontId="1" fillId="0" borderId="1" xfId="0" applyNumberFormat="1" applyFont="1" applyFill="1" applyBorder="1" applyAlignment="1" applyProtection="1">
      <alignment horizontal="center" vertical="center"/>
      <protection locked="0"/>
    </xf>
    <xf numFmtId="0" fontId="1" fillId="16" borderId="2" xfId="0" applyFont="1" applyFill="1" applyBorder="1" applyAlignment="1" applyProtection="1">
      <alignment horizontal="center" vertical="center"/>
    </xf>
    <xf numFmtId="0" fontId="2" fillId="16" borderId="1" xfId="0" applyFont="1" applyFill="1" applyBorder="1" applyAlignment="1" applyProtection="1">
      <alignment horizontal="center" vertical="center"/>
    </xf>
    <xf numFmtId="0" fontId="32" fillId="0" borderId="0" xfId="0" applyFont="1" applyBorder="1" applyAlignment="1" applyProtection="1">
      <alignment horizontal="center" vertical="center"/>
      <protection locked="0"/>
    </xf>
    <xf numFmtId="4" fontId="3" fillId="24" borderId="1" xfId="0" applyNumberFormat="1" applyFont="1" applyFill="1" applyBorder="1" applyAlignment="1" applyProtection="1">
      <alignment horizontal="center" vertical="center"/>
      <protection locked="0"/>
    </xf>
    <xf numFmtId="170" fontId="33" fillId="2" borderId="1" xfId="0" applyNumberFormat="1" applyFont="1" applyFill="1" applyBorder="1" applyAlignment="1" applyProtection="1">
      <alignment horizontal="center" vertical="center"/>
    </xf>
    <xf numFmtId="173" fontId="1" fillId="2" borderId="1" xfId="0" applyNumberFormat="1" applyFont="1" applyFill="1" applyBorder="1" applyAlignment="1" applyProtection="1">
      <alignment horizontal="center" vertical="center"/>
    </xf>
    <xf numFmtId="170" fontId="1" fillId="2" borderId="4" xfId="0" applyNumberFormat="1" applyFont="1" applyFill="1" applyBorder="1" applyAlignment="1" applyProtection="1">
      <alignment horizontal="center" vertical="center"/>
    </xf>
    <xf numFmtId="170" fontId="1" fillId="2" borderId="15"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xf>
    <xf numFmtId="4" fontId="3" fillId="4" borderId="1" xfId="0" applyNumberFormat="1" applyFont="1" applyFill="1" applyBorder="1" applyAlignment="1" applyProtection="1">
      <alignment horizontal="center" vertical="center"/>
    </xf>
    <xf numFmtId="0" fontId="32" fillId="9" borderId="1" xfId="0" applyFont="1" applyFill="1" applyBorder="1" applyAlignment="1" applyProtection="1">
      <alignment horizontal="center" vertical="center"/>
    </xf>
    <xf numFmtId="4" fontId="3" fillId="9" borderId="1" xfId="0" applyNumberFormat="1" applyFont="1" applyFill="1" applyBorder="1" applyAlignment="1" applyProtection="1">
      <alignment horizontal="center" vertical="center"/>
    </xf>
    <xf numFmtId="3" fontId="1" fillId="2" borderId="1" xfId="0" applyNumberFormat="1" applyFont="1" applyFill="1" applyBorder="1" applyAlignment="1" applyProtection="1">
      <alignment horizontal="center" vertical="center"/>
    </xf>
    <xf numFmtId="4" fontId="76" fillId="4" borderId="1" xfId="0" applyNumberFormat="1" applyFont="1" applyFill="1" applyBorder="1" applyAlignment="1" applyProtection="1">
      <alignment horizontal="center" vertical="center"/>
    </xf>
    <xf numFmtId="4" fontId="76" fillId="9" borderId="1" xfId="0" applyNumberFormat="1" applyFont="1" applyFill="1" applyBorder="1" applyAlignment="1" applyProtection="1">
      <alignment horizontal="center" vertical="center"/>
    </xf>
    <xf numFmtId="3" fontId="76" fillId="2" borderId="1" xfId="0" applyNumberFormat="1" applyFont="1" applyFill="1" applyBorder="1" applyAlignment="1" applyProtection="1">
      <alignment horizontal="center" vertical="center"/>
    </xf>
    <xf numFmtId="173" fontId="32" fillId="4" borderId="1" xfId="0" applyNumberFormat="1" applyFont="1" applyFill="1" applyBorder="1" applyAlignment="1" applyProtection="1">
      <alignment horizontal="center" vertical="center"/>
    </xf>
    <xf numFmtId="189" fontId="63" fillId="0" borderId="0" xfId="0" applyNumberFormat="1" applyFont="1" applyBorder="1" applyAlignment="1" applyProtection="1">
      <alignment horizontal="center" vertical="center" wrapText="1"/>
    </xf>
    <xf numFmtId="0" fontId="63" fillId="0" borderId="0" xfId="0" applyFont="1" applyBorder="1" applyAlignment="1" applyProtection="1">
      <alignment horizontal="center" vertical="center"/>
    </xf>
    <xf numFmtId="0" fontId="63" fillId="2" borderId="1" xfId="0" applyFont="1" applyFill="1" applyBorder="1" applyAlignment="1" applyProtection="1">
      <alignment horizontal="center" vertical="center"/>
    </xf>
    <xf numFmtId="0" fontId="123" fillId="4" borderId="1" xfId="0" applyFont="1" applyFill="1" applyBorder="1" applyAlignment="1" applyProtection="1">
      <alignment horizontal="center" vertical="center"/>
    </xf>
    <xf numFmtId="0" fontId="124" fillId="2" borderId="1" xfId="0" applyFont="1" applyFill="1" applyBorder="1" applyAlignment="1" applyProtection="1">
      <alignment horizontal="center" vertical="center"/>
    </xf>
    <xf numFmtId="0" fontId="36" fillId="0" borderId="0" xfId="0" applyFont="1" applyAlignment="1" applyProtection="1">
      <alignment vertical="center"/>
      <protection locked="0"/>
    </xf>
    <xf numFmtId="167" fontId="31" fillId="6" borderId="1" xfId="0" applyNumberFormat="1" applyFont="1" applyFill="1" applyBorder="1" applyAlignment="1" applyProtection="1">
      <alignment horizontal="center" vertical="center"/>
    </xf>
    <xf numFmtId="0" fontId="8" fillId="2"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12" fillId="8" borderId="1" xfId="0" applyFont="1" applyFill="1" applyBorder="1" applyAlignment="1" applyProtection="1">
      <alignment horizontal="center" vertical="center"/>
    </xf>
    <xf numFmtId="0" fontId="12" fillId="0" borderId="0" xfId="0" applyFont="1" applyAlignment="1" applyProtection="1">
      <alignment horizontal="center" vertical="center"/>
      <protection locked="0"/>
    </xf>
    <xf numFmtId="0" fontId="14" fillId="0" borderId="5" xfId="0" applyFont="1" applyFill="1" applyBorder="1" applyAlignment="1" applyProtection="1">
      <alignment horizontal="left" vertical="center"/>
    </xf>
    <xf numFmtId="0" fontId="14" fillId="2" borderId="5" xfId="0" applyFont="1" applyFill="1" applyBorder="1" applyAlignment="1" applyProtection="1">
      <alignment horizontal="left" vertical="center"/>
    </xf>
    <xf numFmtId="0" fontId="0" fillId="0" borderId="0" xfId="0" applyAlignment="1" applyProtection="1">
      <alignment horizontal="center" vertical="center"/>
      <protection locked="0"/>
    </xf>
    <xf numFmtId="3" fontId="42" fillId="2" borderId="1" xfId="0" applyNumberFormat="1" applyFont="1" applyFill="1" applyBorder="1" applyAlignment="1" applyProtection="1">
      <alignment vertical="center"/>
    </xf>
    <xf numFmtId="1" fontId="36" fillId="0" borderId="2" xfId="0" applyNumberFormat="1" applyFont="1" applyBorder="1" applyAlignment="1" applyProtection="1">
      <alignment vertical="center"/>
    </xf>
    <xf numFmtId="0" fontId="1" fillId="2" borderId="1" xfId="0" applyFont="1" applyFill="1" applyBorder="1" applyAlignment="1" applyProtection="1">
      <alignment horizontal="center" vertical="center"/>
    </xf>
    <xf numFmtId="0" fontId="0" fillId="0" borderId="0" xfId="0" applyAlignment="1" applyProtection="1">
      <alignment horizontal="center" vertical="center"/>
      <protection locked="0"/>
    </xf>
    <xf numFmtId="0" fontId="32" fillId="2" borderId="2" xfId="0" applyFont="1" applyFill="1" applyBorder="1" applyAlignment="1" applyProtection="1">
      <alignment horizontal="center" vertical="center"/>
    </xf>
    <xf numFmtId="0" fontId="18" fillId="4" borderId="1" xfId="0" applyFont="1" applyFill="1" applyBorder="1" applyAlignment="1" applyProtection="1">
      <alignment horizontal="left" vertical="center"/>
    </xf>
    <xf numFmtId="0" fontId="18" fillId="4" borderId="1" xfId="0" applyFont="1" applyFill="1" applyBorder="1" applyAlignment="1" applyProtection="1">
      <alignment horizontal="center" vertical="center"/>
    </xf>
    <xf numFmtId="0" fontId="18" fillId="4" borderId="1" xfId="0" applyFont="1" applyFill="1" applyBorder="1" applyAlignment="1" applyProtection="1">
      <alignment horizontal="right" vertical="center"/>
    </xf>
    <xf numFmtId="3" fontId="74" fillId="2" borderId="1" xfId="0" applyNumberFormat="1" applyFont="1" applyFill="1" applyBorder="1" applyAlignment="1" applyProtection="1">
      <alignment vertical="center"/>
    </xf>
    <xf numFmtId="179" fontId="42" fillId="2" borderId="1" xfId="0" applyNumberFormat="1" applyFont="1" applyFill="1" applyBorder="1" applyAlignment="1" applyProtection="1">
      <alignment horizontal="center" vertical="center"/>
    </xf>
    <xf numFmtId="0" fontId="1" fillId="2" borderId="2" xfId="0" applyFont="1" applyFill="1" applyBorder="1" applyAlignment="1" applyProtection="1">
      <alignment horizontal="center" vertical="center"/>
    </xf>
    <xf numFmtId="166" fontId="1" fillId="25" borderId="1" xfId="0" applyNumberFormat="1" applyFont="1" applyFill="1" applyBorder="1" applyAlignment="1" applyProtection="1">
      <alignment vertical="center"/>
      <protection locked="0"/>
    </xf>
    <xf numFmtId="0" fontId="36" fillId="0" borderId="1" xfId="0" applyFont="1" applyFill="1" applyBorder="1" applyAlignment="1" applyProtection="1">
      <alignment horizontal="center" vertical="center"/>
      <protection locked="0"/>
    </xf>
    <xf numFmtId="0" fontId="125" fillId="5" borderId="2" xfId="0" applyFont="1" applyFill="1" applyBorder="1" applyAlignment="1" applyProtection="1">
      <alignment horizontal="center" vertical="center"/>
    </xf>
    <xf numFmtId="4" fontId="36" fillId="4" borderId="1" xfId="0" applyNumberFormat="1" applyFont="1" applyFill="1" applyBorder="1" applyAlignment="1" applyProtection="1">
      <alignment vertical="center"/>
    </xf>
    <xf numFmtId="3" fontId="17" fillId="2" borderId="1" xfId="0" applyNumberFormat="1" applyFont="1" applyFill="1" applyBorder="1" applyAlignment="1" applyProtection="1">
      <alignment vertical="center"/>
    </xf>
    <xf numFmtId="0" fontId="2" fillId="2" borderId="3" xfId="0" applyFont="1" applyFill="1" applyBorder="1" applyAlignment="1" applyProtection="1">
      <alignment horizontal="center" vertical="center"/>
    </xf>
    <xf numFmtId="3" fontId="16" fillId="2" borderId="3" xfId="0" applyNumberFormat="1" applyFont="1" applyFill="1" applyBorder="1" applyAlignment="1" applyProtection="1">
      <alignment vertical="center"/>
    </xf>
    <xf numFmtId="0" fontId="1" fillId="2" borderId="10" xfId="0" applyFont="1" applyFill="1" applyBorder="1" applyAlignment="1" applyProtection="1">
      <alignment horizontal="center" vertical="center"/>
    </xf>
    <xf numFmtId="0" fontId="2" fillId="2" borderId="4" xfId="0" applyFont="1" applyFill="1" applyBorder="1" applyAlignment="1" applyProtection="1">
      <alignment horizontal="center" vertical="center"/>
    </xf>
    <xf numFmtId="3" fontId="16" fillId="2" borderId="4" xfId="0" applyNumberFormat="1" applyFont="1" applyFill="1" applyBorder="1" applyAlignment="1" applyProtection="1">
      <alignment vertical="center"/>
    </xf>
    <xf numFmtId="0" fontId="1" fillId="2" borderId="24" xfId="0" applyFont="1" applyFill="1" applyBorder="1" applyAlignment="1" applyProtection="1">
      <alignment horizontal="center" vertical="center"/>
    </xf>
    <xf numFmtId="0" fontId="82" fillId="5" borderId="25" xfId="0" applyFont="1" applyFill="1" applyBorder="1" applyAlignment="1" applyProtection="1">
      <alignment horizontal="center" vertical="center"/>
    </xf>
    <xf numFmtId="0" fontId="2" fillId="2" borderId="27" xfId="0" applyFont="1" applyFill="1" applyBorder="1" applyAlignment="1" applyProtection="1">
      <alignment horizontal="center" vertical="center"/>
    </xf>
    <xf numFmtId="4" fontId="1" fillId="25" borderId="26" xfId="0" applyNumberFormat="1" applyFont="1" applyFill="1" applyBorder="1" applyAlignment="1" applyProtection="1">
      <alignment vertical="center"/>
      <protection locked="0"/>
    </xf>
    <xf numFmtId="4" fontId="1" fillId="0" borderId="27" xfId="0" applyNumberFormat="1" applyFont="1" applyFill="1" applyBorder="1" applyAlignment="1" applyProtection="1">
      <alignment vertical="center"/>
      <protection locked="0"/>
    </xf>
    <xf numFmtId="3" fontId="16" fillId="2" borderId="29" xfId="0" applyNumberFormat="1" applyFont="1" applyFill="1" applyBorder="1" applyAlignment="1" applyProtection="1">
      <alignment vertical="center"/>
    </xf>
    <xf numFmtId="3" fontId="16" fillId="2" borderId="30" xfId="0" applyNumberFormat="1" applyFont="1" applyFill="1" applyBorder="1" applyAlignment="1" applyProtection="1">
      <alignment vertical="center"/>
    </xf>
    <xf numFmtId="4" fontId="2" fillId="4" borderId="1" xfId="0" applyNumberFormat="1" applyFont="1" applyFill="1" applyBorder="1" applyAlignment="1" applyProtection="1">
      <alignment vertical="center"/>
    </xf>
    <xf numFmtId="4" fontId="3" fillId="4" borderId="1" xfId="0" applyNumberFormat="1" applyFont="1" applyFill="1" applyBorder="1" applyAlignment="1" applyProtection="1">
      <alignment vertical="center"/>
    </xf>
    <xf numFmtId="4" fontId="2" fillId="4" borderId="3" xfId="0" applyNumberFormat="1" applyFont="1" applyFill="1" applyBorder="1" applyAlignment="1" applyProtection="1">
      <alignment vertical="center"/>
    </xf>
    <xf numFmtId="4" fontId="3" fillId="4" borderId="4" xfId="0" applyNumberFormat="1" applyFont="1" applyFill="1" applyBorder="1" applyAlignment="1" applyProtection="1">
      <alignment vertical="center"/>
    </xf>
    <xf numFmtId="0" fontId="1" fillId="2" borderId="2" xfId="0" applyFont="1" applyFill="1" applyBorder="1" applyAlignment="1" applyProtection="1">
      <alignment horizontal="center" vertical="center"/>
    </xf>
    <xf numFmtId="0" fontId="8" fillId="2"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12" fillId="8" borderId="1" xfId="0" applyFont="1" applyFill="1" applyBorder="1" applyAlignment="1" applyProtection="1">
      <alignment horizontal="center" vertical="center"/>
    </xf>
    <xf numFmtId="0" fontId="12" fillId="0" borderId="0" xfId="0" applyFont="1" applyAlignment="1" applyProtection="1">
      <alignment horizontal="center" vertical="center"/>
      <protection locked="0"/>
    </xf>
    <xf numFmtId="0" fontId="8" fillId="2" borderId="2" xfId="0" applyFont="1" applyFill="1" applyBorder="1" applyAlignment="1" applyProtection="1">
      <alignment horizontal="center" vertical="center"/>
    </xf>
    <xf numFmtId="4" fontId="41" fillId="0" borderId="1" xfId="0" applyNumberFormat="1" applyFont="1" applyFill="1" applyBorder="1" applyAlignment="1" applyProtection="1">
      <alignment horizontal="center" vertical="center"/>
    </xf>
    <xf numFmtId="0" fontId="127" fillId="0" borderId="0" xfId="0" applyFont="1" applyFill="1" applyAlignment="1" applyProtection="1">
      <alignment vertical="center"/>
      <protection locked="0"/>
    </xf>
    <xf numFmtId="0" fontId="5" fillId="2" borderId="1" xfId="0" applyFont="1" applyFill="1" applyBorder="1" applyAlignment="1" applyProtection="1">
      <alignment horizontal="center" vertical="center"/>
    </xf>
    <xf numFmtId="4" fontId="59" fillId="8" borderId="1" xfId="0" applyNumberFormat="1" applyFont="1" applyFill="1" applyBorder="1" applyAlignment="1" applyProtection="1">
      <alignment horizontal="center" vertical="center"/>
    </xf>
    <xf numFmtId="4" fontId="59" fillId="0" borderId="1" xfId="0" applyNumberFormat="1" applyFont="1" applyFill="1" applyBorder="1" applyAlignment="1" applyProtection="1">
      <alignment horizontal="center" vertical="center"/>
    </xf>
    <xf numFmtId="4" fontId="51" fillId="0" borderId="1" xfId="0" applyNumberFormat="1" applyFont="1" applyFill="1" applyBorder="1" applyAlignment="1" applyProtection="1">
      <alignment horizontal="center" vertical="center"/>
    </xf>
    <xf numFmtId="3" fontId="67" fillId="2" borderId="1" xfId="0" applyNumberFormat="1" applyFont="1" applyFill="1" applyBorder="1" applyAlignment="1" applyProtection="1">
      <alignment horizontal="center" vertical="center"/>
    </xf>
    <xf numFmtId="0" fontId="95" fillId="8" borderId="1" xfId="0" applyFont="1" applyFill="1" applyBorder="1" applyAlignment="1" applyProtection="1">
      <alignment horizontal="center" vertical="center"/>
    </xf>
    <xf numFmtId="0" fontId="95" fillId="0" borderId="1" xfId="0" applyFont="1" applyFill="1" applyBorder="1" applyAlignment="1" applyProtection="1">
      <alignment horizontal="center" vertical="center"/>
    </xf>
    <xf numFmtId="2" fontId="95" fillId="0" borderId="1" xfId="0" applyNumberFormat="1" applyFont="1" applyFill="1" applyBorder="1" applyAlignment="1" applyProtection="1">
      <alignment horizontal="center" vertical="center"/>
    </xf>
    <xf numFmtId="3" fontId="95" fillId="2" borderId="1" xfId="0" applyNumberFormat="1" applyFont="1" applyFill="1" applyBorder="1" applyAlignment="1" applyProtection="1">
      <alignment horizontal="center" vertical="center"/>
    </xf>
    <xf numFmtId="0" fontId="95" fillId="2" borderId="2" xfId="0" applyFont="1" applyFill="1" applyBorder="1" applyAlignment="1" applyProtection="1">
      <alignment horizontal="center" vertical="center"/>
    </xf>
    <xf numFmtId="0" fontId="95" fillId="2" borderId="1" xfId="0" applyFont="1" applyFill="1" applyBorder="1" applyAlignment="1" applyProtection="1">
      <alignment horizontal="center" vertical="center"/>
    </xf>
    <xf numFmtId="0" fontId="6" fillId="0" borderId="3" xfId="0" applyFont="1" applyBorder="1" applyAlignment="1" applyProtection="1">
      <alignment vertical="center"/>
    </xf>
    <xf numFmtId="0" fontId="6" fillId="0" borderId="5" xfId="0" applyFont="1" applyBorder="1" applyAlignment="1" applyProtection="1">
      <alignment vertical="center"/>
    </xf>
    <xf numFmtId="3" fontId="41" fillId="0" borderId="1" xfId="0" applyNumberFormat="1" applyFont="1" applyFill="1" applyBorder="1" applyAlignment="1" applyProtection="1">
      <alignment horizontal="center" vertical="center"/>
      <protection locked="0"/>
    </xf>
    <xf numFmtId="182" fontId="41" fillId="4" borderId="1" xfId="0" applyNumberFormat="1" applyFont="1" applyFill="1" applyBorder="1" applyAlignment="1" applyProtection="1">
      <alignment horizontal="center" vertical="center"/>
    </xf>
    <xf numFmtId="175" fontId="13" fillId="11" borderId="1" xfId="0" applyNumberFormat="1" applyFont="1" applyFill="1" applyBorder="1" applyAlignment="1" applyProtection="1">
      <alignment horizontal="center" vertical="center"/>
    </xf>
    <xf numFmtId="0" fontId="60" fillId="2" borderId="1" xfId="0" applyFont="1" applyFill="1" applyBorder="1" applyAlignment="1" applyProtection="1">
      <alignment horizontal="center" vertical="center" textRotation="90"/>
    </xf>
    <xf numFmtId="0" fontId="107" fillId="0" borderId="1" xfId="0" applyFont="1" applyBorder="1" applyAlignment="1" applyProtection="1">
      <alignment horizontal="center" vertical="center"/>
      <protection locked="0"/>
    </xf>
    <xf numFmtId="0" fontId="1" fillId="2" borderId="3" xfId="0" applyFont="1" applyFill="1" applyBorder="1" applyAlignment="1" applyProtection="1">
      <alignment horizontal="center" vertical="center"/>
    </xf>
    <xf numFmtId="0" fontId="1" fillId="2" borderId="4" xfId="0" applyFont="1" applyFill="1" applyBorder="1" applyAlignment="1" applyProtection="1">
      <alignment horizontal="center" vertical="center"/>
    </xf>
    <xf numFmtId="0" fontId="1" fillId="2" borderId="2" xfId="0" applyFont="1" applyFill="1" applyBorder="1" applyAlignment="1" applyProtection="1">
      <alignment horizontal="center" vertical="center"/>
    </xf>
    <xf numFmtId="0" fontId="49" fillId="3" borderId="1" xfId="0" applyFont="1" applyFill="1" applyBorder="1" applyAlignment="1" applyProtection="1">
      <alignment horizontal="left" vertical="center"/>
    </xf>
    <xf numFmtId="3" fontId="5" fillId="7" borderId="1" xfId="0" applyNumberFormat="1" applyFont="1" applyFill="1" applyBorder="1" applyAlignment="1" applyProtection="1">
      <alignment horizontal="center" vertical="center"/>
    </xf>
    <xf numFmtId="4" fontId="16" fillId="2" borderId="3" xfId="0" applyNumberFormat="1" applyFont="1" applyFill="1" applyBorder="1" applyAlignment="1" applyProtection="1">
      <alignment vertical="center"/>
    </xf>
    <xf numFmtId="0" fontId="1" fillId="2" borderId="9" xfId="0" applyFont="1" applyFill="1" applyBorder="1" applyAlignment="1" applyProtection="1">
      <alignment horizontal="center" vertical="center"/>
    </xf>
    <xf numFmtId="4" fontId="16" fillId="2" borderId="4" xfId="0" applyNumberFormat="1" applyFont="1" applyFill="1" applyBorder="1" applyAlignment="1" applyProtection="1">
      <alignment vertical="center"/>
    </xf>
    <xf numFmtId="0" fontId="2" fillId="2" borderId="31" xfId="0" applyFont="1" applyFill="1" applyBorder="1" applyAlignment="1" applyProtection="1">
      <alignment horizontal="center" vertical="center"/>
    </xf>
    <xf numFmtId="166" fontId="2" fillId="4" borderId="3" xfId="0" applyNumberFormat="1" applyFont="1" applyFill="1" applyBorder="1" applyAlignment="1" applyProtection="1">
      <alignment vertical="center"/>
    </xf>
    <xf numFmtId="166" fontId="1" fillId="4" borderId="4" xfId="0" applyNumberFormat="1" applyFont="1" applyFill="1" applyBorder="1" applyAlignment="1" applyProtection="1">
      <alignment vertical="center"/>
    </xf>
    <xf numFmtId="4" fontId="42" fillId="2" borderId="28" xfId="0" applyNumberFormat="1" applyFont="1" applyFill="1" applyBorder="1" applyAlignment="1" applyProtection="1">
      <alignment vertical="center"/>
    </xf>
    <xf numFmtId="0" fontId="8" fillId="2" borderId="1" xfId="0" applyFont="1" applyFill="1" applyBorder="1" applyAlignment="1" applyProtection="1">
      <alignment horizontal="center" vertical="center"/>
    </xf>
    <xf numFmtId="0" fontId="12" fillId="8"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14" fillId="2" borderId="5" xfId="0" applyFont="1" applyFill="1" applyBorder="1" applyAlignment="1" applyProtection="1">
      <alignment horizontal="left" vertical="center"/>
    </xf>
    <xf numFmtId="0" fontId="14" fillId="0" borderId="5" xfId="0" applyFont="1" applyFill="1" applyBorder="1" applyAlignment="1" applyProtection="1">
      <alignment horizontal="left" vertical="center"/>
    </xf>
    <xf numFmtId="0" fontId="12"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8" fillId="2"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167" fontId="16" fillId="2" borderId="29" xfId="0" applyNumberFormat="1" applyFont="1" applyFill="1" applyBorder="1" applyAlignment="1" applyProtection="1">
      <alignment vertical="center"/>
    </xf>
    <xf numFmtId="0" fontId="17" fillId="11" borderId="1" xfId="0" applyFont="1" applyFill="1" applyBorder="1" applyAlignment="1" applyProtection="1">
      <alignment horizontal="center" vertical="center"/>
      <protection locked="0"/>
    </xf>
    <xf numFmtId="185" fontId="63" fillId="0" borderId="6" xfId="0" applyNumberFormat="1" applyFont="1" applyBorder="1" applyAlignment="1" applyProtection="1">
      <alignment horizontal="center" vertical="center" wrapText="1"/>
    </xf>
    <xf numFmtId="0" fontId="63" fillId="0" borderId="6" xfId="0" applyFont="1" applyBorder="1" applyAlignment="1" applyProtection="1">
      <alignment horizontal="center" vertical="center" wrapText="1"/>
    </xf>
    <xf numFmtId="0" fontId="63" fillId="4" borderId="6" xfId="0" applyFont="1" applyFill="1" applyBorder="1" applyAlignment="1" applyProtection="1">
      <alignment horizontal="center" vertical="center" wrapText="1"/>
    </xf>
    <xf numFmtId="184" fontId="63" fillId="0" borderId="6" xfId="0" applyNumberFormat="1" applyFont="1" applyBorder="1" applyAlignment="1" applyProtection="1">
      <alignment horizontal="center" vertical="center" wrapText="1"/>
    </xf>
    <xf numFmtId="0" fontId="6" fillId="0" borderId="3" xfId="0" applyFont="1" applyBorder="1" applyAlignment="1" applyProtection="1">
      <alignment vertical="center"/>
      <protection locked="0"/>
    </xf>
    <xf numFmtId="0" fontId="6" fillId="0" borderId="5" xfId="0" applyFont="1" applyBorder="1" applyAlignment="1" applyProtection="1">
      <alignment vertical="center"/>
      <protection locked="0"/>
    </xf>
    <xf numFmtId="3" fontId="31" fillId="4" borderId="1" xfId="0" applyNumberFormat="1" applyFont="1" applyFill="1" applyBorder="1" applyAlignment="1" applyProtection="1">
      <alignment horizontal="center" vertical="center"/>
      <protection locked="0"/>
    </xf>
    <xf numFmtId="3" fontId="3" fillId="18" borderId="1" xfId="0" applyNumberFormat="1" applyFont="1" applyFill="1" applyBorder="1" applyAlignment="1" applyProtection="1">
      <alignment horizontal="center" vertical="center"/>
      <protection locked="0"/>
    </xf>
    <xf numFmtId="3" fontId="54" fillId="4" borderId="1" xfId="0" applyNumberFormat="1" applyFont="1" applyFill="1" applyBorder="1" applyAlignment="1" applyProtection="1">
      <alignment horizontal="center" vertical="center"/>
    </xf>
    <xf numFmtId="3" fontId="60" fillId="22" borderId="1" xfId="0" applyNumberFormat="1" applyFont="1" applyFill="1" applyBorder="1" applyAlignment="1" applyProtection="1">
      <alignment horizontal="center" vertical="center"/>
      <protection locked="0"/>
    </xf>
    <xf numFmtId="3" fontId="54" fillId="22" borderId="1" xfId="0" applyNumberFormat="1" applyFont="1" applyFill="1" applyBorder="1" applyAlignment="1" applyProtection="1">
      <alignment horizontal="center" vertical="center"/>
      <protection locked="0"/>
    </xf>
    <xf numFmtId="2" fontId="1" fillId="0" borderId="0" xfId="0" applyNumberFormat="1" applyFont="1" applyAlignment="1" applyProtection="1">
      <alignment horizontal="center" vertical="center"/>
      <protection locked="0"/>
    </xf>
    <xf numFmtId="190" fontId="63" fillId="0" borderId="0" xfId="0" applyNumberFormat="1" applyFont="1" applyBorder="1" applyAlignment="1" applyProtection="1">
      <alignment horizontal="center" vertical="center" wrapText="1"/>
    </xf>
    <xf numFmtId="10" fontId="31" fillId="2" borderId="1" xfId="0" applyNumberFormat="1" applyFont="1" applyFill="1" applyBorder="1" applyAlignment="1" applyProtection="1">
      <alignment horizontal="center" vertical="center"/>
    </xf>
    <xf numFmtId="0" fontId="94" fillId="2"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11" fillId="2" borderId="5" xfId="0" applyFont="1" applyFill="1" applyBorder="1" applyAlignment="1" applyProtection="1">
      <alignment horizontal="left" vertical="center"/>
    </xf>
    <xf numFmtId="0" fontId="17" fillId="2" borderId="1" xfId="0" applyFont="1" applyFill="1" applyBorder="1" applyAlignment="1" applyProtection="1">
      <alignment horizontal="center" vertical="center"/>
    </xf>
    <xf numFmtId="0" fontId="32" fillId="2" borderId="2" xfId="0" applyFont="1" applyFill="1" applyBorder="1" applyAlignment="1" applyProtection="1">
      <alignment horizontal="center" vertical="center"/>
    </xf>
    <xf numFmtId="0" fontId="17" fillId="2" borderId="1" xfId="0" applyFont="1" applyFill="1" applyBorder="1" applyAlignment="1" applyProtection="1">
      <alignment horizontal="center" vertical="center"/>
    </xf>
    <xf numFmtId="0" fontId="1" fillId="2" borderId="2" xfId="0" applyFont="1" applyFill="1" applyBorder="1" applyAlignment="1" applyProtection="1">
      <alignment horizontal="center" vertical="center"/>
    </xf>
    <xf numFmtId="2" fontId="1" fillId="0" borderId="11" xfId="0" applyNumberFormat="1" applyFont="1" applyBorder="1" applyAlignment="1" applyProtection="1">
      <alignment horizontal="center" vertical="center"/>
      <protection locked="0"/>
    </xf>
    <xf numFmtId="2" fontId="133" fillId="4" borderId="7" xfId="0" applyNumberFormat="1" applyFont="1" applyFill="1" applyBorder="1" applyAlignment="1" applyProtection="1">
      <alignment horizontal="center" vertical="center"/>
    </xf>
    <xf numFmtId="182" fontId="11" fillId="7" borderId="7" xfId="0" applyNumberFormat="1" applyFont="1" applyFill="1" applyBorder="1" applyAlignment="1" applyProtection="1">
      <alignment horizontal="center" vertical="center"/>
    </xf>
    <xf numFmtId="168" fontId="133" fillId="4" borderId="7" xfId="0" applyNumberFormat="1" applyFont="1" applyFill="1" applyBorder="1" applyAlignment="1" applyProtection="1">
      <alignment horizontal="center" vertical="center"/>
    </xf>
    <xf numFmtId="0" fontId="133" fillId="4" borderId="7" xfId="0" applyFont="1" applyFill="1" applyBorder="1" applyAlignment="1" applyProtection="1">
      <alignment horizontal="center" vertical="center"/>
    </xf>
    <xf numFmtId="3" fontId="5" fillId="0" borderId="7" xfId="0" applyNumberFormat="1" applyFont="1" applyFill="1" applyBorder="1" applyAlignment="1" applyProtection="1">
      <alignment horizontal="center" vertical="center"/>
      <protection locked="0"/>
    </xf>
    <xf numFmtId="2" fontId="133" fillId="4" borderId="12" xfId="0" applyNumberFormat="1" applyFont="1" applyFill="1" applyBorder="1" applyAlignment="1" applyProtection="1">
      <alignment horizontal="center" vertical="center"/>
    </xf>
    <xf numFmtId="0" fontId="135" fillId="2" borderId="1" xfId="0" applyFont="1" applyFill="1" applyBorder="1" applyAlignment="1" applyProtection="1">
      <alignment horizontal="center" vertical="center"/>
    </xf>
    <xf numFmtId="2" fontId="41" fillId="0" borderId="1" xfId="0" applyNumberFormat="1" applyFont="1" applyFill="1" applyBorder="1" applyAlignment="1" applyProtection="1">
      <alignment horizontal="center" vertical="center"/>
      <protection locked="0"/>
    </xf>
    <xf numFmtId="2" fontId="136" fillId="4" borderId="1" xfId="0" applyNumberFormat="1" applyFont="1" applyFill="1" applyBorder="1" applyAlignment="1" applyProtection="1">
      <alignment horizontal="center" vertical="center"/>
    </xf>
    <xf numFmtId="0" fontId="41" fillId="0" borderId="1" xfId="0" applyFont="1" applyFill="1" applyBorder="1" applyAlignment="1" applyProtection="1">
      <alignment horizontal="center" vertical="center"/>
      <protection locked="0"/>
    </xf>
    <xf numFmtId="3" fontId="136" fillId="4" borderId="1" xfId="0" applyNumberFormat="1" applyFont="1" applyFill="1" applyBorder="1" applyAlignment="1" applyProtection="1">
      <alignment horizontal="center" vertical="center"/>
    </xf>
    <xf numFmtId="2" fontId="60" fillId="0" borderId="1" xfId="0" applyNumberFormat="1" applyFont="1" applyFill="1" applyBorder="1" applyAlignment="1" applyProtection="1">
      <alignment horizontal="center" vertical="center"/>
      <protection locked="0"/>
    </xf>
    <xf numFmtId="0" fontId="37" fillId="0" borderId="0" xfId="0" applyFont="1" applyAlignment="1" applyProtection="1">
      <alignment horizontal="center" vertical="center"/>
      <protection locked="0"/>
    </xf>
    <xf numFmtId="0" fontId="137" fillId="0" borderId="0" xfId="0" applyFont="1" applyAlignment="1" applyProtection="1">
      <alignment horizontal="center" vertical="center"/>
      <protection locked="0"/>
    </xf>
    <xf numFmtId="0" fontId="24" fillId="0" borderId="0" xfId="5" applyAlignment="1" applyProtection="1">
      <alignment horizontal="center" vertical="center"/>
    </xf>
    <xf numFmtId="0" fontId="22" fillId="2" borderId="1" xfId="6" applyFont="1" applyFill="1" applyBorder="1" applyAlignment="1" applyProtection="1">
      <alignment horizontal="center" vertical="center"/>
    </xf>
    <xf numFmtId="0" fontId="5" fillId="2" borderId="1" xfId="6" applyFont="1" applyFill="1" applyBorder="1" applyAlignment="1" applyProtection="1">
      <alignment horizontal="center" vertical="center" wrapText="1"/>
    </xf>
    <xf numFmtId="0" fontId="134" fillId="2" borderId="1" xfId="6" applyFont="1" applyFill="1" applyBorder="1" applyAlignment="1" applyProtection="1">
      <alignment horizontal="center" vertical="center"/>
    </xf>
    <xf numFmtId="0" fontId="13" fillId="2" borderId="1" xfId="6" applyFont="1" applyFill="1" applyBorder="1" applyAlignment="1" applyProtection="1">
      <alignment horizontal="center" vertical="center"/>
    </xf>
    <xf numFmtId="0" fontId="59" fillId="2" borderId="1" xfId="6" applyFont="1" applyFill="1" applyBorder="1" applyAlignment="1" applyProtection="1">
      <alignment horizontal="center" vertical="center" wrapText="1"/>
    </xf>
    <xf numFmtId="49" fontId="94" fillId="2" borderId="1" xfId="0" applyNumberFormat="1" applyFont="1" applyFill="1" applyBorder="1" applyAlignment="1" applyProtection="1">
      <alignment horizontal="center" vertical="center"/>
    </xf>
    <xf numFmtId="0" fontId="42" fillId="2" borderId="1" xfId="6" applyFont="1" applyFill="1" applyBorder="1" applyAlignment="1" applyProtection="1">
      <alignment horizontal="center" vertical="center"/>
    </xf>
    <xf numFmtId="49" fontId="42" fillId="2" borderId="1" xfId="6" applyNumberFormat="1" applyFont="1" applyFill="1" applyBorder="1" applyAlignment="1" applyProtection="1">
      <alignment horizontal="center" vertical="center"/>
    </xf>
    <xf numFmtId="4" fontId="30" fillId="0" borderId="1" xfId="0" applyNumberFormat="1" applyFont="1" applyBorder="1" applyAlignment="1" applyProtection="1">
      <alignment horizontal="center"/>
    </xf>
    <xf numFmtId="4" fontId="0" fillId="0" borderId="1" xfId="0" applyNumberFormat="1" applyBorder="1" applyAlignment="1" applyProtection="1">
      <alignment horizontal="center"/>
    </xf>
    <xf numFmtId="167" fontId="0" fillId="0" borderId="1" xfId="0" applyNumberFormat="1" applyBorder="1" applyAlignment="1" applyProtection="1">
      <alignment horizontal="center"/>
    </xf>
    <xf numFmtId="167" fontId="101" fillId="0" borderId="1" xfId="0" applyNumberFormat="1" applyFont="1" applyBorder="1" applyAlignment="1" applyProtection="1">
      <alignment horizontal="center"/>
    </xf>
    <xf numFmtId="3" fontId="30" fillId="0" borderId="1" xfId="0" applyNumberFormat="1" applyFont="1" applyBorder="1" applyAlignment="1" applyProtection="1">
      <alignment horizontal="center"/>
    </xf>
    <xf numFmtId="3" fontId="0" fillId="0" borderId="1" xfId="0" applyNumberFormat="1" applyBorder="1" applyAlignment="1" applyProtection="1">
      <alignment horizontal="center"/>
    </xf>
    <xf numFmtId="3" fontId="94" fillId="0" borderId="1" xfId="0" applyNumberFormat="1" applyFont="1" applyBorder="1" applyAlignment="1" applyProtection="1">
      <alignment horizontal="center"/>
    </xf>
    <xf numFmtId="0" fontId="140" fillId="28" borderId="1" xfId="5" applyNumberFormat="1" applyFont="1" applyFill="1" applyBorder="1" applyAlignment="1" applyProtection="1">
      <alignment horizontal="center" vertical="center"/>
    </xf>
    <xf numFmtId="0" fontId="141" fillId="28" borderId="1" xfId="5" applyNumberFormat="1" applyFont="1" applyFill="1" applyBorder="1" applyAlignment="1" applyProtection="1">
      <alignment horizontal="center" vertical="center"/>
    </xf>
    <xf numFmtId="0" fontId="142" fillId="28" borderId="1" xfId="6" applyFont="1" applyFill="1" applyBorder="1" applyAlignment="1" applyProtection="1">
      <alignment horizontal="center" vertical="center"/>
    </xf>
    <xf numFmtId="3" fontId="143" fillId="28" borderId="1" xfId="5" applyNumberFormat="1" applyFont="1" applyFill="1" applyBorder="1" applyAlignment="1" applyProtection="1">
      <alignment horizontal="center" vertical="center"/>
    </xf>
    <xf numFmtId="3" fontId="144" fillId="28" borderId="1" xfId="5" applyNumberFormat="1" applyFont="1" applyFill="1" applyBorder="1" applyAlignment="1" applyProtection="1">
      <alignment horizontal="center" vertical="center"/>
    </xf>
    <xf numFmtId="0" fontId="140" fillId="0" borderId="1" xfId="5" applyNumberFormat="1" applyFont="1" applyFill="1" applyBorder="1" applyAlignment="1" applyProtection="1">
      <alignment horizontal="center" vertical="center"/>
      <protection locked="0"/>
    </xf>
    <xf numFmtId="0" fontId="141" fillId="4" borderId="1" xfId="5" applyNumberFormat="1" applyFont="1" applyFill="1" applyBorder="1" applyAlignment="1" applyProtection="1">
      <alignment horizontal="center" vertical="center"/>
    </xf>
    <xf numFmtId="0" fontId="142" fillId="4" borderId="1" xfId="6" applyFont="1" applyFill="1" applyBorder="1" applyAlignment="1" applyProtection="1">
      <alignment horizontal="center" vertical="center"/>
    </xf>
    <xf numFmtId="3" fontId="143" fillId="12" borderId="1" xfId="5" applyNumberFormat="1" applyFont="1" applyFill="1" applyBorder="1" applyAlignment="1" applyProtection="1">
      <alignment horizontal="center" vertical="center"/>
    </xf>
    <xf numFmtId="3" fontId="144" fillId="29" borderId="1" xfId="5" applyNumberFormat="1" applyFont="1" applyFill="1" applyBorder="1" applyAlignment="1" applyProtection="1">
      <alignment horizontal="center" vertical="center"/>
    </xf>
    <xf numFmtId="0" fontId="145" fillId="4" borderId="1" xfId="5" applyNumberFormat="1" applyFont="1" applyFill="1" applyBorder="1" applyAlignment="1" applyProtection="1">
      <alignment horizontal="center" vertical="center"/>
    </xf>
    <xf numFmtId="0" fontId="0" fillId="0" borderId="0" xfId="0" applyAlignment="1" applyProtection="1">
      <alignment horizontal="center"/>
    </xf>
    <xf numFmtId="0" fontId="101" fillId="0" borderId="0" xfId="0" applyFont="1" applyAlignment="1" applyProtection="1">
      <alignment horizontal="center"/>
    </xf>
    <xf numFmtId="0" fontId="146" fillId="0" borderId="0" xfId="5" applyFont="1" applyAlignment="1" applyProtection="1">
      <alignment horizontal="center" vertical="center"/>
    </xf>
    <xf numFmtId="2" fontId="5" fillId="4" borderId="1" xfId="0" applyNumberFormat="1" applyFont="1" applyFill="1" applyBorder="1" applyAlignment="1" applyProtection="1">
      <alignment horizontal="center" vertical="center"/>
      <protection locked="0"/>
    </xf>
    <xf numFmtId="2" fontId="133" fillId="11" borderId="1" xfId="0" applyNumberFormat="1" applyFont="1" applyFill="1" applyBorder="1" applyAlignment="1" applyProtection="1">
      <alignment horizontal="center" vertical="center"/>
    </xf>
    <xf numFmtId="0" fontId="5" fillId="4" borderId="1" xfId="0" applyFont="1" applyFill="1" applyBorder="1" applyAlignment="1" applyProtection="1">
      <alignment horizontal="center" vertical="center"/>
      <protection locked="0"/>
    </xf>
    <xf numFmtId="3" fontId="133" fillId="11" borderId="1" xfId="0" applyNumberFormat="1" applyFont="1" applyFill="1" applyBorder="1" applyAlignment="1" applyProtection="1">
      <alignment horizontal="center" vertical="center"/>
    </xf>
    <xf numFmtId="0" fontId="18" fillId="0" borderId="0" xfId="0" applyFont="1" applyAlignment="1" applyProtection="1">
      <alignment horizontal="center" vertical="center"/>
      <protection locked="0"/>
    </xf>
    <xf numFmtId="2" fontId="11" fillId="0" borderId="1" xfId="0" applyNumberFormat="1" applyFont="1" applyFill="1" applyBorder="1" applyAlignment="1" applyProtection="1">
      <alignment horizontal="center" vertical="center"/>
      <protection locked="0"/>
    </xf>
    <xf numFmtId="2" fontId="14" fillId="3" borderId="1" xfId="0" applyNumberFormat="1" applyFont="1" applyFill="1" applyBorder="1" applyAlignment="1" applyProtection="1">
      <alignment horizontal="center" vertical="center"/>
    </xf>
    <xf numFmtId="3" fontId="11" fillId="3" borderId="1" xfId="0" applyNumberFormat="1" applyFont="1" applyFill="1" applyBorder="1" applyAlignment="1" applyProtection="1">
      <alignment horizontal="center" vertical="center"/>
    </xf>
    <xf numFmtId="3" fontId="14" fillId="3" borderId="1" xfId="0" applyNumberFormat="1" applyFont="1" applyFill="1" applyBorder="1" applyAlignment="1" applyProtection="1">
      <alignment horizontal="center" vertical="center"/>
    </xf>
    <xf numFmtId="2" fontId="11" fillId="3" borderId="1" xfId="0" applyNumberFormat="1" applyFont="1" applyFill="1" applyBorder="1" applyAlignment="1" applyProtection="1">
      <alignment horizontal="center" vertical="center"/>
    </xf>
    <xf numFmtId="191" fontId="164" fillId="9" borderId="1" xfId="0" applyNumberFormat="1" applyFont="1" applyFill="1" applyBorder="1" applyAlignment="1" applyProtection="1">
      <alignment horizontal="center" vertical="center"/>
      <protection locked="0"/>
    </xf>
    <xf numFmtId="0" fontId="165" fillId="5" borderId="2" xfId="0" applyFont="1" applyFill="1" applyBorder="1" applyAlignment="1" applyProtection="1">
      <alignment horizontal="center" vertical="center"/>
    </xf>
    <xf numFmtId="9" fontId="1" fillId="0" borderId="1" xfId="0" applyNumberFormat="1" applyFont="1" applyFill="1" applyBorder="1" applyAlignment="1" applyProtection="1">
      <alignment horizontal="center" vertical="center"/>
      <protection locked="0"/>
    </xf>
    <xf numFmtId="4" fontId="166" fillId="5" borderId="1" xfId="0" applyNumberFormat="1" applyFont="1" applyFill="1" applyBorder="1" applyAlignment="1" applyProtection="1">
      <alignment horizontal="center" vertical="center"/>
    </xf>
    <xf numFmtId="164" fontId="1" fillId="7" borderId="1" xfId="0" applyNumberFormat="1" applyFont="1" applyFill="1" applyBorder="1" applyAlignment="1" applyProtection="1">
      <alignment vertical="center"/>
    </xf>
    <xf numFmtId="0" fontId="167" fillId="5" borderId="2" xfId="0" applyFont="1" applyFill="1" applyBorder="1" applyAlignment="1" applyProtection="1">
      <alignment horizontal="center" vertical="center" wrapText="1"/>
    </xf>
    <xf numFmtId="0" fontId="12" fillId="11" borderId="1" xfId="0" applyFont="1" applyFill="1" applyBorder="1" applyAlignment="1" applyProtection="1">
      <alignment horizontal="center" vertical="center"/>
      <protection locked="0"/>
    </xf>
    <xf numFmtId="0" fontId="10" fillId="22" borderId="1" xfId="0" applyFont="1" applyFill="1" applyBorder="1" applyAlignment="1" applyProtection="1">
      <alignment horizontal="center" vertical="center"/>
    </xf>
    <xf numFmtId="0" fontId="0" fillId="0" borderId="0" xfId="0" applyAlignment="1" applyProtection="1">
      <alignment horizontal="center" vertical="center"/>
      <protection locked="0"/>
    </xf>
    <xf numFmtId="0" fontId="168" fillId="2" borderId="1" xfId="0" applyFont="1" applyFill="1" applyBorder="1" applyAlignment="1" applyProtection="1">
      <alignment horizontal="center" vertical="center"/>
    </xf>
    <xf numFmtId="0" fontId="169" fillId="0" borderId="0" xfId="0" applyFont="1" applyAlignment="1" applyProtection="1">
      <alignment horizontal="center" vertical="center"/>
    </xf>
    <xf numFmtId="0" fontId="170" fillId="22" borderId="1" xfId="0" applyFont="1" applyFill="1" applyBorder="1" applyAlignment="1" applyProtection="1">
      <alignment horizontal="center" vertical="center"/>
    </xf>
    <xf numFmtId="3" fontId="174" fillId="20" borderId="1" xfId="0" applyNumberFormat="1" applyFont="1" applyFill="1" applyBorder="1" applyAlignment="1" applyProtection="1">
      <alignment horizontal="center" vertical="center"/>
    </xf>
    <xf numFmtId="0" fontId="8" fillId="6" borderId="1" xfId="0" applyFont="1" applyFill="1" applyBorder="1" applyAlignment="1" applyProtection="1">
      <alignment horizontal="center" vertical="center"/>
    </xf>
    <xf numFmtId="0" fontId="171" fillId="2" borderId="1" xfId="0" applyFont="1" applyFill="1" applyBorder="1" applyAlignment="1" applyProtection="1">
      <alignment horizontal="center" vertical="center"/>
    </xf>
    <xf numFmtId="0" fontId="46" fillId="2" borderId="1" xfId="0" applyFont="1" applyFill="1" applyBorder="1" applyAlignment="1" applyProtection="1">
      <alignment horizontal="center" vertical="center"/>
    </xf>
    <xf numFmtId="3" fontId="10" fillId="6" borderId="1" xfId="0" applyNumberFormat="1" applyFont="1" applyFill="1" applyBorder="1" applyAlignment="1" applyProtection="1">
      <alignment horizontal="center" vertical="center"/>
    </xf>
    <xf numFmtId="3" fontId="59" fillId="0" borderId="1" xfId="0" applyNumberFormat="1" applyFont="1" applyBorder="1" applyAlignment="1" applyProtection="1">
      <alignment vertical="center"/>
    </xf>
    <xf numFmtId="3" fontId="17" fillId="0" borderId="1" xfId="0" applyNumberFormat="1" applyFont="1" applyBorder="1" applyAlignment="1" applyProtection="1">
      <alignment vertical="center"/>
    </xf>
    <xf numFmtId="0" fontId="17" fillId="2" borderId="1" xfId="0" applyFont="1" applyFill="1" applyBorder="1" applyAlignment="1" applyProtection="1">
      <alignment horizontal="center" vertical="center"/>
    </xf>
    <xf numFmtId="0" fontId="0" fillId="0" borderId="0" xfId="0" applyAlignment="1" applyProtection="1">
      <alignment horizontal="center" vertical="center"/>
      <protection locked="0"/>
    </xf>
    <xf numFmtId="0" fontId="12" fillId="0" borderId="0" xfId="0" applyFont="1" applyAlignment="1" applyProtection="1">
      <alignment horizontal="center" vertical="center"/>
      <protection locked="0"/>
    </xf>
    <xf numFmtId="0" fontId="41" fillId="23" borderId="1" xfId="0" applyFont="1" applyFill="1" applyBorder="1" applyAlignment="1" applyProtection="1">
      <alignment horizontal="center" vertical="center"/>
    </xf>
    <xf numFmtId="3" fontId="1" fillId="23" borderId="1" xfId="0" applyNumberFormat="1" applyFont="1" applyFill="1" applyBorder="1" applyAlignment="1" applyProtection="1">
      <alignment horizontal="center" vertical="center"/>
    </xf>
    <xf numFmtId="182" fontId="51" fillId="23" borderId="1" xfId="0" applyNumberFormat="1" applyFont="1" applyFill="1" applyBorder="1" applyAlignment="1" applyProtection="1">
      <alignment horizontal="center" vertical="center"/>
    </xf>
    <xf numFmtId="0" fontId="1" fillId="23" borderId="1" xfId="0" applyFont="1" applyFill="1" applyBorder="1" applyAlignment="1" applyProtection="1">
      <alignment vertical="center"/>
    </xf>
    <xf numFmtId="2" fontId="1" fillId="23" borderId="1" xfId="0" applyNumberFormat="1" applyFont="1" applyFill="1" applyBorder="1" applyAlignment="1" applyProtection="1">
      <alignment vertical="center"/>
    </xf>
    <xf numFmtId="4" fontId="12" fillId="23" borderId="1" xfId="0" applyNumberFormat="1" applyFont="1" applyFill="1" applyBorder="1" applyAlignment="1" applyProtection="1">
      <alignment horizontal="center" vertical="center"/>
    </xf>
    <xf numFmtId="4" fontId="12" fillId="23" borderId="3" xfId="0" applyNumberFormat="1" applyFont="1" applyFill="1" applyBorder="1" applyAlignment="1" applyProtection="1">
      <alignment horizontal="center" vertical="center"/>
    </xf>
    <xf numFmtId="4" fontId="12" fillId="23" borderId="14" xfId="0" applyNumberFormat="1" applyFont="1" applyFill="1" applyBorder="1" applyAlignment="1" applyProtection="1">
      <alignment horizontal="center" vertical="center"/>
    </xf>
    <xf numFmtId="4" fontId="26" fillId="23" borderId="1" xfId="0" applyNumberFormat="1" applyFont="1" applyFill="1" applyBorder="1" applyAlignment="1" applyProtection="1">
      <alignment horizontal="center" vertical="center"/>
    </xf>
    <xf numFmtId="4" fontId="65" fillId="23" borderId="1" xfId="0" applyNumberFormat="1" applyFont="1" applyFill="1" applyBorder="1" applyAlignment="1" applyProtection="1">
      <alignment horizontal="center" vertical="center"/>
    </xf>
    <xf numFmtId="4" fontId="64" fillId="23" borderId="3" xfId="0" applyNumberFormat="1" applyFont="1" applyFill="1" applyBorder="1" applyAlignment="1" applyProtection="1">
      <alignment horizontal="center" vertical="center"/>
    </xf>
    <xf numFmtId="4" fontId="64" fillId="23" borderId="1" xfId="0" applyNumberFormat="1" applyFont="1" applyFill="1" applyBorder="1" applyAlignment="1" applyProtection="1">
      <alignment horizontal="center" vertical="center"/>
    </xf>
    <xf numFmtId="0" fontId="1" fillId="23" borderId="1" xfId="0" applyFont="1" applyFill="1" applyBorder="1" applyAlignment="1" applyProtection="1">
      <alignment horizontal="center" vertical="center"/>
    </xf>
    <xf numFmtId="4" fontId="25" fillId="23" borderId="1" xfId="0" applyNumberFormat="1" applyFont="1" applyFill="1" applyBorder="1" applyAlignment="1" applyProtection="1">
      <alignment vertical="center"/>
    </xf>
    <xf numFmtId="9" fontId="1" fillId="23" borderId="1" xfId="0" applyNumberFormat="1" applyFont="1" applyFill="1" applyBorder="1" applyAlignment="1" applyProtection="1">
      <alignment horizontal="center" vertical="center"/>
    </xf>
    <xf numFmtId="0" fontId="12" fillId="23" borderId="1" xfId="0" applyFont="1" applyFill="1" applyBorder="1" applyAlignment="1" applyProtection="1">
      <alignment horizontal="center" vertical="center"/>
    </xf>
    <xf numFmtId="0" fontId="0" fillId="2" borderId="7" xfId="0" applyFill="1" applyBorder="1"/>
    <xf numFmtId="0" fontId="0" fillId="19" borderId="1" xfId="0" applyFill="1" applyBorder="1"/>
    <xf numFmtId="2" fontId="0" fillId="19" borderId="1" xfId="0" applyNumberFormat="1" applyFill="1" applyBorder="1"/>
    <xf numFmtId="0" fontId="12" fillId="23" borderId="3" xfId="0" applyFont="1" applyFill="1" applyBorder="1" applyAlignment="1" applyProtection="1">
      <alignment horizontal="center" vertical="center"/>
    </xf>
    <xf numFmtId="0" fontId="32" fillId="23" borderId="3" xfId="0" applyFont="1" applyFill="1" applyBorder="1" applyAlignment="1" applyProtection="1">
      <alignment horizontal="center" vertical="center"/>
    </xf>
    <xf numFmtId="0" fontId="13" fillId="23" borderId="7" xfId="0" applyFont="1" applyFill="1" applyBorder="1" applyAlignment="1" applyProtection="1">
      <alignment horizontal="center" vertical="center" wrapText="1"/>
    </xf>
    <xf numFmtId="0" fontId="13" fillId="23" borderId="2" xfId="0" applyFont="1" applyFill="1" applyBorder="1" applyAlignment="1" applyProtection="1">
      <alignment horizontal="center" vertical="center" wrapText="1"/>
    </xf>
    <xf numFmtId="0" fontId="120" fillId="5" borderId="1" xfId="0" applyFont="1" applyFill="1" applyBorder="1" applyAlignment="1" applyProtection="1">
      <alignment horizontal="center" vertical="center" wrapText="1"/>
    </xf>
    <xf numFmtId="0" fontId="120" fillId="5" borderId="1" xfId="0" applyFont="1" applyFill="1" applyBorder="1" applyAlignment="1" applyProtection="1">
      <alignment horizontal="center" vertical="center"/>
    </xf>
    <xf numFmtId="0" fontId="85" fillId="10" borderId="1" xfId="0" applyFont="1" applyFill="1" applyBorder="1" applyAlignment="1" applyProtection="1">
      <alignment horizontal="center" vertical="center"/>
    </xf>
    <xf numFmtId="0" fontId="6" fillId="2" borderId="1" xfId="0" applyFont="1" applyFill="1" applyBorder="1" applyAlignment="1" applyProtection="1">
      <alignment horizontal="center" vertical="center"/>
    </xf>
    <xf numFmtId="0" fontId="94" fillId="2" borderId="1" xfId="0" applyFont="1" applyFill="1" applyBorder="1" applyAlignment="1" applyProtection="1">
      <alignment horizontal="center" vertical="center"/>
    </xf>
    <xf numFmtId="0" fontId="119" fillId="0" borderId="1" xfId="4" applyFont="1" applyBorder="1" applyAlignment="1" applyProtection="1">
      <alignment horizontal="center" vertical="center" wrapText="1"/>
    </xf>
    <xf numFmtId="0" fontId="119" fillId="0" borderId="1" xfId="4" applyFont="1" applyBorder="1" applyAlignment="1" applyProtection="1">
      <alignment horizontal="center" vertical="center"/>
    </xf>
    <xf numFmtId="0" fontId="0" fillId="0" borderId="1" xfId="0" applyBorder="1" applyAlignment="1" applyProtection="1">
      <alignment horizontal="center" vertical="center"/>
    </xf>
    <xf numFmtId="0" fontId="0" fillId="0" borderId="0" xfId="0" applyBorder="1" applyAlignment="1" applyProtection="1">
      <alignment horizontal="center" vertical="center"/>
    </xf>
    <xf numFmtId="0" fontId="118" fillId="10" borderId="1" xfId="0" applyFont="1" applyFill="1" applyBorder="1" applyAlignment="1" applyProtection="1">
      <alignment horizontal="center" vertical="center"/>
    </xf>
    <xf numFmtId="0" fontId="31" fillId="0" borderId="3" xfId="0" applyFont="1" applyFill="1" applyBorder="1" applyAlignment="1" applyProtection="1">
      <alignment horizontal="center" vertical="center" wrapText="1"/>
    </xf>
    <xf numFmtId="0" fontId="31" fillId="0" borderId="5" xfId="0" applyFont="1" applyFill="1" applyBorder="1" applyAlignment="1" applyProtection="1">
      <alignment horizontal="center" vertical="center"/>
    </xf>
    <xf numFmtId="0" fontId="31" fillId="0" borderId="4" xfId="0" applyFont="1" applyFill="1" applyBorder="1" applyAlignment="1" applyProtection="1">
      <alignment horizontal="center" vertical="center"/>
    </xf>
    <xf numFmtId="175" fontId="69" fillId="0" borderId="0" xfId="0" applyNumberFormat="1" applyFont="1" applyBorder="1" applyAlignment="1" applyProtection="1">
      <alignment horizontal="center" vertical="center"/>
      <protection locked="0"/>
    </xf>
    <xf numFmtId="175" fontId="90" fillId="0" borderId="0" xfId="0" applyNumberFormat="1" applyFont="1" applyBorder="1" applyAlignment="1" applyProtection="1">
      <alignment horizontal="center" vertical="center"/>
    </xf>
    <xf numFmtId="175" fontId="91" fillId="0" borderId="0" xfId="0" applyNumberFormat="1" applyFont="1" applyBorder="1" applyAlignment="1" applyProtection="1">
      <alignment horizontal="center" vertical="center"/>
    </xf>
    <xf numFmtId="175" fontId="65" fillId="0" borderId="0" xfId="0" applyNumberFormat="1" applyFont="1" applyBorder="1" applyAlignment="1" applyProtection="1">
      <alignment horizontal="center" vertical="center"/>
      <protection locked="0"/>
    </xf>
    <xf numFmtId="175" fontId="16" fillId="0" borderId="0" xfId="0" applyNumberFormat="1" applyFont="1" applyBorder="1" applyAlignment="1" applyProtection="1">
      <alignment horizontal="center" vertical="center"/>
      <protection locked="0"/>
    </xf>
    <xf numFmtId="175" fontId="58" fillId="2" borderId="7" xfId="0" applyNumberFormat="1" applyFont="1" applyFill="1" applyBorder="1" applyAlignment="1" applyProtection="1">
      <alignment horizontal="center" vertical="center"/>
    </xf>
    <xf numFmtId="175" fontId="58" fillId="2" borderId="2" xfId="0" applyNumberFormat="1" applyFont="1" applyFill="1" applyBorder="1" applyAlignment="1" applyProtection="1">
      <alignment horizontal="center" vertical="center"/>
    </xf>
    <xf numFmtId="175" fontId="8" fillId="2" borderId="7" xfId="0" applyNumberFormat="1" applyFont="1" applyFill="1" applyBorder="1" applyAlignment="1" applyProtection="1">
      <alignment horizontal="center" vertical="center"/>
    </xf>
    <xf numFmtId="175" fontId="8" fillId="2" borderId="2" xfId="0" applyNumberFormat="1" applyFont="1" applyFill="1" applyBorder="1" applyAlignment="1" applyProtection="1">
      <alignment horizontal="center" vertical="center"/>
    </xf>
    <xf numFmtId="175" fontId="31" fillId="2" borderId="3" xfId="0" applyNumberFormat="1" applyFont="1" applyFill="1" applyBorder="1" applyAlignment="1" applyProtection="1">
      <alignment horizontal="center" vertical="center"/>
    </xf>
    <xf numFmtId="175" fontId="31" fillId="2" borderId="5" xfId="0" applyNumberFormat="1" applyFont="1" applyFill="1" applyBorder="1" applyAlignment="1" applyProtection="1">
      <alignment horizontal="center" vertical="center"/>
    </xf>
    <xf numFmtId="175" fontId="31" fillId="2" borderId="4" xfId="0" applyNumberFormat="1" applyFont="1" applyFill="1" applyBorder="1" applyAlignment="1" applyProtection="1">
      <alignment horizontal="center" vertical="center"/>
    </xf>
    <xf numFmtId="0" fontId="95" fillId="2" borderId="3" xfId="0" applyNumberFormat="1" applyFont="1" applyFill="1" applyBorder="1" applyAlignment="1" applyProtection="1">
      <alignment horizontal="center" vertical="center"/>
    </xf>
    <xf numFmtId="0" fontId="95" fillId="2" borderId="5" xfId="0" applyNumberFormat="1" applyFont="1" applyFill="1" applyBorder="1" applyAlignment="1" applyProtection="1">
      <alignment horizontal="center" vertical="center"/>
    </xf>
    <xf numFmtId="0" fontId="95" fillId="2" borderId="4" xfId="0" applyNumberFormat="1" applyFont="1" applyFill="1" applyBorder="1" applyAlignment="1" applyProtection="1">
      <alignment horizontal="center" vertical="center"/>
    </xf>
    <xf numFmtId="0" fontId="8" fillId="2" borderId="1" xfId="0" applyFont="1" applyFill="1" applyBorder="1" applyAlignment="1" applyProtection="1">
      <alignment horizontal="center" vertical="center"/>
    </xf>
    <xf numFmtId="172" fontId="8" fillId="2" borderId="1" xfId="0" applyNumberFormat="1" applyFont="1" applyFill="1" applyBorder="1" applyAlignment="1" applyProtection="1">
      <alignment horizontal="center" vertical="center"/>
    </xf>
    <xf numFmtId="0" fontId="96" fillId="9" borderId="1" xfId="4" applyFont="1" applyFill="1" applyBorder="1" applyAlignment="1" applyProtection="1">
      <alignment horizontal="center" vertical="center"/>
    </xf>
    <xf numFmtId="0" fontId="73" fillId="17" borderId="7" xfId="0" applyFont="1" applyFill="1" applyBorder="1" applyAlignment="1" applyProtection="1">
      <alignment vertical="center" textRotation="255" wrapText="1"/>
    </xf>
    <xf numFmtId="0" fontId="73" fillId="17" borderId="8" xfId="0" applyFont="1" applyFill="1" applyBorder="1" applyAlignment="1" applyProtection="1">
      <alignment vertical="center" textRotation="255" wrapText="1"/>
    </xf>
    <xf numFmtId="0" fontId="73" fillId="17" borderId="2" xfId="0" applyFont="1" applyFill="1" applyBorder="1" applyAlignment="1" applyProtection="1">
      <alignment vertical="center" textRotation="255" wrapText="1"/>
    </xf>
    <xf numFmtId="0" fontId="22" fillId="2" borderId="1" xfId="0" applyFont="1" applyFill="1" applyBorder="1" applyAlignment="1" applyProtection="1">
      <alignment horizontal="center" vertical="center"/>
    </xf>
    <xf numFmtId="172" fontId="66" fillId="0" borderId="0" xfId="0" applyNumberFormat="1" applyFont="1" applyBorder="1" applyAlignment="1" applyProtection="1">
      <alignment horizontal="center" vertical="center" wrapText="1"/>
    </xf>
    <xf numFmtId="0" fontId="77" fillId="0" borderId="0" xfId="0" applyFont="1" applyBorder="1" applyAlignment="1" applyProtection="1">
      <alignment horizontal="center" vertical="center" wrapText="1"/>
    </xf>
    <xf numFmtId="183" fontId="66" fillId="0" borderId="0" xfId="0" applyNumberFormat="1" applyFont="1" applyBorder="1" applyAlignment="1" applyProtection="1">
      <alignment horizontal="center" vertical="center" wrapText="1"/>
    </xf>
    <xf numFmtId="0" fontId="63" fillId="0" borderId="6" xfId="0" applyFont="1" applyBorder="1" applyAlignment="1" applyProtection="1">
      <alignment horizontal="center" vertical="center" wrapText="1"/>
    </xf>
    <xf numFmtId="0" fontId="61" fillId="2" borderId="3" xfId="0" applyFont="1" applyFill="1" applyBorder="1" applyAlignment="1" applyProtection="1">
      <alignment horizontal="center" vertical="center"/>
    </xf>
    <xf numFmtId="0" fontId="61" fillId="2" borderId="5" xfId="0" applyFont="1" applyFill="1" applyBorder="1" applyAlignment="1" applyProtection="1">
      <alignment horizontal="center" vertical="center"/>
    </xf>
    <xf numFmtId="0" fontId="22" fillId="2" borderId="3" xfId="0" applyFont="1" applyFill="1" applyBorder="1" applyAlignment="1" applyProtection="1">
      <alignment horizontal="center" vertical="center"/>
    </xf>
    <xf numFmtId="0" fontId="22" fillId="2" borderId="5" xfId="0" applyFont="1" applyFill="1" applyBorder="1" applyAlignment="1" applyProtection="1">
      <alignment horizontal="center" vertical="center"/>
    </xf>
    <xf numFmtId="0" fontId="62" fillId="4" borderId="3" xfId="0" applyFont="1" applyFill="1" applyBorder="1" applyAlignment="1" applyProtection="1">
      <alignment horizontal="center" vertical="center"/>
    </xf>
    <xf numFmtId="0" fontId="62" fillId="4" borderId="5" xfId="0" applyFont="1" applyFill="1" applyBorder="1" applyAlignment="1" applyProtection="1">
      <alignment horizontal="center" vertical="center"/>
    </xf>
    <xf numFmtId="0" fontId="2" fillId="27" borderId="1" xfId="0" applyFont="1" applyFill="1" applyBorder="1" applyAlignment="1" applyProtection="1">
      <alignment horizontal="center" vertical="center"/>
      <protection locked="0"/>
    </xf>
    <xf numFmtId="0" fontId="58" fillId="2" borderId="1" xfId="0" applyFont="1" applyFill="1" applyBorder="1" applyAlignment="1" applyProtection="1">
      <alignment horizontal="center" vertical="center"/>
    </xf>
    <xf numFmtId="2" fontId="86" fillId="10" borderId="1" xfId="4" applyNumberFormat="1" applyFont="1" applyFill="1" applyBorder="1" applyAlignment="1" applyProtection="1">
      <alignment horizontal="center" vertical="center" wrapText="1"/>
    </xf>
    <xf numFmtId="0" fontId="1" fillId="2" borderId="1" xfId="0" applyFont="1" applyFill="1" applyBorder="1" applyAlignment="1" applyProtection="1">
      <alignment horizontal="center" vertical="center"/>
    </xf>
    <xf numFmtId="0" fontId="33" fillId="2" borderId="1" xfId="0" applyFont="1" applyFill="1" applyBorder="1" applyAlignment="1" applyProtection="1">
      <alignment horizontal="center" vertical="center" wrapText="1"/>
    </xf>
    <xf numFmtId="0" fontId="33" fillId="2" borderId="3" xfId="0" applyFont="1" applyFill="1" applyBorder="1" applyAlignment="1" applyProtection="1">
      <alignment horizontal="center" vertical="center" wrapText="1"/>
    </xf>
    <xf numFmtId="2" fontId="1" fillId="0" borderId="11" xfId="0" applyNumberFormat="1" applyFont="1" applyBorder="1" applyAlignment="1" applyProtection="1">
      <alignment horizontal="center" vertical="center" wrapText="1"/>
      <protection locked="0"/>
    </xf>
    <xf numFmtId="2" fontId="1" fillId="0" borderId="6" xfId="0" applyNumberFormat="1" applyFont="1" applyBorder="1" applyAlignment="1" applyProtection="1">
      <alignment horizontal="center" vertical="center" wrapText="1"/>
      <protection locked="0"/>
    </xf>
    <xf numFmtId="2" fontId="96" fillId="0" borderId="11" xfId="4" applyNumberFormat="1" applyFont="1" applyBorder="1" applyAlignment="1" applyProtection="1">
      <alignment horizontal="left" vertical="center"/>
      <protection locked="0"/>
    </xf>
    <xf numFmtId="2" fontId="39" fillId="0" borderId="6" xfId="4" applyNumberFormat="1" applyBorder="1" applyAlignment="1" applyProtection="1">
      <alignment horizontal="left" vertical="center"/>
      <protection locked="0"/>
    </xf>
    <xf numFmtId="172" fontId="134" fillId="2" borderId="3" xfId="0" applyNumberFormat="1" applyFont="1" applyFill="1" applyBorder="1" applyAlignment="1" applyProtection="1">
      <alignment horizontal="center" vertical="center"/>
    </xf>
    <xf numFmtId="172" fontId="134" fillId="2" borderId="5" xfId="0" applyNumberFormat="1" applyFont="1" applyFill="1" applyBorder="1" applyAlignment="1" applyProtection="1">
      <alignment horizontal="center" vertical="center"/>
    </xf>
    <xf numFmtId="172" fontId="134" fillId="2" borderId="4" xfId="0" applyNumberFormat="1" applyFont="1" applyFill="1" applyBorder="1" applyAlignment="1" applyProtection="1">
      <alignment horizontal="center" vertical="center"/>
    </xf>
    <xf numFmtId="0" fontId="5" fillId="0" borderId="1" xfId="0" applyFont="1" applyBorder="1" applyAlignment="1" applyProtection="1">
      <alignment horizontal="center" vertical="center"/>
    </xf>
    <xf numFmtId="0" fontId="5" fillId="0" borderId="3" xfId="0" applyFont="1" applyBorder="1" applyAlignment="1" applyProtection="1">
      <alignment horizontal="center" vertical="center"/>
    </xf>
    <xf numFmtId="172" fontId="22" fillId="0" borderId="1" xfId="0" applyNumberFormat="1" applyFont="1" applyFill="1" applyBorder="1" applyAlignment="1" applyProtection="1">
      <alignment horizontal="center" vertical="center"/>
    </xf>
    <xf numFmtId="0" fontId="10" fillId="0" borderId="1" xfId="0" applyFont="1" applyFill="1" applyBorder="1" applyAlignment="1" applyProtection="1">
      <alignment horizontal="center" vertical="center"/>
    </xf>
    <xf numFmtId="0" fontId="1" fillId="2" borderId="3" xfId="0" applyFont="1" applyFill="1" applyBorder="1" applyAlignment="1" applyProtection="1">
      <alignment horizontal="center" vertical="center"/>
    </xf>
    <xf numFmtId="0" fontId="1" fillId="2" borderId="5" xfId="0" applyFont="1" applyFill="1" applyBorder="1" applyAlignment="1" applyProtection="1">
      <alignment horizontal="center" vertical="center"/>
    </xf>
    <xf numFmtId="2" fontId="13" fillId="0" borderId="3" xfId="0" applyNumberFormat="1" applyFont="1" applyBorder="1" applyAlignment="1" applyProtection="1">
      <alignment horizontal="center" vertical="center"/>
    </xf>
    <xf numFmtId="2" fontId="13" fillId="0" borderId="5" xfId="0" applyNumberFormat="1" applyFont="1" applyBorder="1" applyAlignment="1" applyProtection="1">
      <alignment horizontal="center" vertical="center"/>
    </xf>
    <xf numFmtId="2" fontId="13" fillId="0" borderId="4" xfId="0" applyNumberFormat="1" applyFont="1" applyBorder="1" applyAlignment="1" applyProtection="1">
      <alignment horizontal="center" vertical="center"/>
    </xf>
    <xf numFmtId="0" fontId="52" fillId="2" borderId="7" xfId="0" applyFont="1" applyFill="1" applyBorder="1" applyAlignment="1" applyProtection="1">
      <alignment horizontal="center" vertical="center" wrapText="1"/>
    </xf>
    <xf numFmtId="0" fontId="52" fillId="2" borderId="2" xfId="0" applyFont="1" applyFill="1" applyBorder="1" applyAlignment="1" applyProtection="1">
      <alignment horizontal="center" vertical="center" wrapText="1"/>
    </xf>
    <xf numFmtId="0" fontId="37" fillId="2" borderId="1" xfId="0" applyFont="1" applyFill="1" applyBorder="1" applyAlignment="1" applyProtection="1">
      <alignment horizontal="center" vertical="center" wrapText="1"/>
    </xf>
    <xf numFmtId="2" fontId="1" fillId="2" borderId="1" xfId="0" applyNumberFormat="1" applyFont="1" applyFill="1" applyBorder="1" applyAlignment="1" applyProtection="1">
      <alignment horizontal="center" vertical="center"/>
    </xf>
    <xf numFmtId="0" fontId="33" fillId="2" borderId="1" xfId="0" applyFont="1" applyFill="1" applyBorder="1" applyAlignment="1" applyProtection="1">
      <alignment horizontal="center" vertical="center"/>
    </xf>
    <xf numFmtId="0" fontId="32" fillId="2" borderId="3" xfId="0" applyFont="1" applyFill="1" applyBorder="1" applyAlignment="1" applyProtection="1">
      <alignment horizontal="center" vertical="center"/>
    </xf>
    <xf numFmtId="0" fontId="32" fillId="2" borderId="5" xfId="0" applyFont="1" applyFill="1" applyBorder="1" applyAlignment="1" applyProtection="1">
      <alignment horizontal="center" vertical="center"/>
    </xf>
    <xf numFmtId="0" fontId="32" fillId="2" borderId="4" xfId="0" applyFont="1" applyFill="1" applyBorder="1" applyAlignment="1" applyProtection="1">
      <alignment horizontal="center" vertical="center"/>
    </xf>
    <xf numFmtId="0" fontId="1" fillId="2" borderId="4" xfId="0" applyFont="1" applyFill="1" applyBorder="1" applyAlignment="1" applyProtection="1">
      <alignment horizontal="center" vertical="center"/>
    </xf>
    <xf numFmtId="2" fontId="32" fillId="2" borderId="7" xfId="0" applyNumberFormat="1" applyFont="1" applyFill="1" applyBorder="1" applyAlignment="1" applyProtection="1">
      <alignment horizontal="center" vertical="center"/>
    </xf>
    <xf numFmtId="2" fontId="32" fillId="2" borderId="2" xfId="0" applyNumberFormat="1" applyFont="1" applyFill="1" applyBorder="1" applyAlignment="1" applyProtection="1">
      <alignment horizontal="center" vertical="center"/>
    </xf>
    <xf numFmtId="0" fontId="86" fillId="10" borderId="1" xfId="4"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23" fillId="0" borderId="6" xfId="0" applyFont="1" applyBorder="1" applyAlignment="1" applyProtection="1">
      <alignment horizontal="center" vertical="center"/>
    </xf>
    <xf numFmtId="171" fontId="79" fillId="0" borderId="6" xfId="0" applyNumberFormat="1" applyFont="1" applyBorder="1" applyAlignment="1" applyProtection="1">
      <alignment horizontal="center" vertical="center"/>
    </xf>
    <xf numFmtId="0" fontId="30" fillId="2" borderId="1" xfId="0" applyFont="1" applyFill="1" applyBorder="1" applyAlignment="1" applyProtection="1">
      <alignment horizontal="center" vertical="center"/>
    </xf>
    <xf numFmtId="0" fontId="12" fillId="4" borderId="7" xfId="0" applyFont="1" applyFill="1" applyBorder="1" applyAlignment="1" applyProtection="1">
      <alignment horizontal="center" vertical="center"/>
    </xf>
    <xf numFmtId="0" fontId="12" fillId="4" borderId="8" xfId="0" applyFont="1" applyFill="1" applyBorder="1" applyAlignment="1" applyProtection="1">
      <alignment horizontal="center" vertical="center"/>
    </xf>
    <xf numFmtId="0" fontId="12" fillId="4" borderId="2" xfId="0" applyFont="1" applyFill="1" applyBorder="1" applyAlignment="1" applyProtection="1">
      <alignment horizontal="center" vertical="center"/>
    </xf>
    <xf numFmtId="0" fontId="41" fillId="2" borderId="12" xfId="0" applyFont="1" applyFill="1" applyBorder="1" applyAlignment="1" applyProtection="1">
      <alignment horizontal="center" vertical="center"/>
    </xf>
    <xf numFmtId="0" fontId="41" fillId="2" borderId="17" xfId="0" applyFont="1" applyFill="1" applyBorder="1" applyAlignment="1" applyProtection="1">
      <alignment horizontal="center" vertical="center"/>
    </xf>
    <xf numFmtId="0" fontId="41" fillId="2" borderId="9" xfId="0" applyFont="1" applyFill="1" applyBorder="1" applyAlignment="1" applyProtection="1">
      <alignment horizontal="center" vertical="center"/>
    </xf>
    <xf numFmtId="0" fontId="41" fillId="2" borderId="10" xfId="0" applyFont="1" applyFill="1" applyBorder="1" applyAlignment="1" applyProtection="1">
      <alignment horizontal="center" vertical="center"/>
    </xf>
    <xf numFmtId="0" fontId="60" fillId="0" borderId="16" xfId="0" applyFont="1" applyFill="1" applyBorder="1" applyAlignment="1" applyProtection="1">
      <alignment horizontal="center" vertical="center"/>
      <protection locked="0"/>
    </xf>
    <xf numFmtId="0" fontId="60" fillId="0" borderId="15" xfId="0" applyFont="1" applyFill="1" applyBorder="1" applyAlignment="1" applyProtection="1">
      <alignment horizontal="center" vertical="center"/>
      <protection locked="0"/>
    </xf>
    <xf numFmtId="0" fontId="60" fillId="0" borderId="16" xfId="0" applyNumberFormat="1" applyFont="1" applyFill="1" applyBorder="1" applyAlignment="1" applyProtection="1">
      <alignment horizontal="center" vertical="center"/>
      <protection locked="0"/>
    </xf>
    <xf numFmtId="0" fontId="60" fillId="0" borderId="15" xfId="0" applyNumberFormat="1" applyFont="1" applyFill="1" applyBorder="1" applyAlignment="1" applyProtection="1">
      <alignment horizontal="center" vertical="center"/>
      <protection locked="0"/>
    </xf>
    <xf numFmtId="0" fontId="83" fillId="10" borderId="1" xfId="4" applyFont="1" applyFill="1" applyBorder="1" applyAlignment="1" applyProtection="1">
      <alignment horizontal="center" vertical="center"/>
    </xf>
    <xf numFmtId="0" fontId="17" fillId="2" borderId="1" xfId="0" applyFont="1" applyFill="1" applyBorder="1" applyAlignment="1" applyProtection="1">
      <alignment horizontal="center" vertical="center"/>
    </xf>
    <xf numFmtId="0" fontId="94" fillId="2" borderId="3" xfId="0" applyFont="1" applyFill="1" applyBorder="1" applyAlignment="1" applyProtection="1">
      <alignment horizontal="center" vertical="center"/>
    </xf>
    <xf numFmtId="0" fontId="60" fillId="2" borderId="5" xfId="0" applyFont="1" applyFill="1" applyBorder="1" applyAlignment="1" applyProtection="1">
      <alignment horizontal="center" vertical="center"/>
    </xf>
    <xf numFmtId="0" fontId="60" fillId="2" borderId="4" xfId="0" applyFont="1" applyFill="1" applyBorder="1" applyAlignment="1" applyProtection="1">
      <alignment horizontal="center" vertical="center"/>
    </xf>
    <xf numFmtId="0" fontId="86" fillId="10" borderId="3" xfId="4" applyFont="1" applyFill="1" applyBorder="1" applyAlignment="1" applyProtection="1">
      <alignment horizontal="center" vertical="center"/>
    </xf>
    <xf numFmtId="0" fontId="86" fillId="10" borderId="5" xfId="4" applyFont="1" applyFill="1" applyBorder="1" applyAlignment="1" applyProtection="1">
      <alignment horizontal="center" vertical="center"/>
    </xf>
    <xf numFmtId="0" fontId="86" fillId="10" borderId="4" xfId="4" applyFont="1" applyFill="1" applyBorder="1" applyAlignment="1" applyProtection="1">
      <alignment horizontal="center" vertical="center"/>
    </xf>
    <xf numFmtId="0" fontId="11" fillId="2" borderId="3" xfId="0" applyFont="1" applyFill="1" applyBorder="1" applyAlignment="1" applyProtection="1">
      <alignment horizontal="center" vertical="center"/>
    </xf>
    <xf numFmtId="0" fontId="11" fillId="2" borderId="5" xfId="0" applyFont="1" applyFill="1" applyBorder="1" applyAlignment="1" applyProtection="1">
      <alignment horizontal="center" vertical="center"/>
    </xf>
    <xf numFmtId="0" fontId="11" fillId="2" borderId="1" xfId="0" applyFont="1" applyFill="1" applyBorder="1" applyAlignment="1" applyProtection="1">
      <alignment horizontal="center" vertical="center"/>
    </xf>
    <xf numFmtId="0" fontId="11" fillId="2" borderId="21" xfId="0" applyFont="1" applyFill="1" applyBorder="1" applyAlignment="1" applyProtection="1">
      <alignment horizontal="center" vertical="center"/>
    </xf>
    <xf numFmtId="0" fontId="11" fillId="2" borderId="22" xfId="0" applyFont="1" applyFill="1" applyBorder="1" applyAlignment="1" applyProtection="1">
      <alignment horizontal="center" vertical="center"/>
    </xf>
    <xf numFmtId="0" fontId="11" fillId="2" borderId="23" xfId="0" applyFont="1" applyFill="1" applyBorder="1" applyAlignment="1" applyProtection="1">
      <alignment horizontal="center" vertical="center"/>
    </xf>
    <xf numFmtId="0" fontId="1" fillId="2" borderId="7" xfId="0" applyFont="1" applyFill="1" applyBorder="1" applyAlignment="1" applyProtection="1">
      <alignment horizontal="center" vertical="center"/>
    </xf>
    <xf numFmtId="0" fontId="1" fillId="2" borderId="8" xfId="0" applyFont="1" applyFill="1" applyBorder="1" applyAlignment="1" applyProtection="1">
      <alignment horizontal="center" vertical="center"/>
    </xf>
    <xf numFmtId="0" fontId="1" fillId="2" borderId="2" xfId="0" applyFont="1" applyFill="1" applyBorder="1" applyAlignment="1" applyProtection="1">
      <alignment horizontal="center" vertical="center"/>
    </xf>
    <xf numFmtId="0" fontId="46" fillId="2" borderId="7" xfId="0" applyFont="1" applyFill="1" applyBorder="1" applyAlignment="1" applyProtection="1">
      <alignment horizontal="center" vertical="center" wrapText="1"/>
    </xf>
    <xf numFmtId="0" fontId="46" fillId="2" borderId="2" xfId="0" applyFont="1" applyFill="1" applyBorder="1" applyAlignment="1" applyProtection="1">
      <alignment horizontal="center" vertical="center" wrapText="1"/>
    </xf>
    <xf numFmtId="0" fontId="23" fillId="0" borderId="5" xfId="0" applyFont="1" applyBorder="1" applyAlignment="1" applyProtection="1">
      <alignment horizontal="center" vertical="center"/>
    </xf>
    <xf numFmtId="171" fontId="22" fillId="0" borderId="5" xfId="0" applyNumberFormat="1" applyFont="1" applyBorder="1" applyAlignment="1" applyProtection="1">
      <alignment horizontal="center" vertical="center"/>
    </xf>
    <xf numFmtId="173" fontId="22" fillId="0" borderId="5" xfId="0" applyNumberFormat="1" applyFont="1" applyBorder="1" applyAlignment="1" applyProtection="1">
      <alignment horizontal="left" vertical="center"/>
    </xf>
    <xf numFmtId="173" fontId="22" fillId="0" borderId="4" xfId="0" applyNumberFormat="1" applyFont="1" applyBorder="1" applyAlignment="1" applyProtection="1">
      <alignment horizontal="left" vertical="center"/>
    </xf>
    <xf numFmtId="0" fontId="11" fillId="2" borderId="11" xfId="0" applyFont="1" applyFill="1" applyBorder="1" applyAlignment="1" applyProtection="1">
      <alignment horizontal="left" vertical="center"/>
    </xf>
    <xf numFmtId="0" fontId="11" fillId="2" borderId="17" xfId="0" applyFont="1" applyFill="1" applyBorder="1" applyAlignment="1" applyProtection="1">
      <alignment horizontal="left" vertical="center"/>
    </xf>
    <xf numFmtId="0" fontId="5" fillId="2" borderId="5" xfId="0" applyFont="1" applyFill="1" applyBorder="1" applyAlignment="1" applyProtection="1">
      <alignment horizontal="center" vertical="center"/>
    </xf>
    <xf numFmtId="0" fontId="23" fillId="0" borderId="0" xfId="0" applyFont="1" applyBorder="1" applyAlignment="1" applyProtection="1">
      <alignment horizontal="center" vertical="center"/>
    </xf>
    <xf numFmtId="173" fontId="22" fillId="0" borderId="6" xfId="0" applyNumberFormat="1" applyFont="1" applyBorder="1" applyAlignment="1" applyProtection="1">
      <alignment horizontal="center" vertical="center"/>
    </xf>
    <xf numFmtId="171" fontId="22" fillId="0" borderId="0" xfId="0" applyNumberFormat="1" applyFont="1" applyBorder="1" applyAlignment="1" applyProtection="1">
      <alignment horizontal="right" vertical="center"/>
    </xf>
    <xf numFmtId="0" fontId="11" fillId="2" borderId="5" xfId="0" applyFont="1" applyFill="1" applyBorder="1" applyAlignment="1" applyProtection="1">
      <alignment horizontal="left" vertical="center"/>
    </xf>
    <xf numFmtId="0" fontId="11" fillId="2" borderId="4" xfId="0" applyFont="1" applyFill="1" applyBorder="1" applyAlignment="1" applyProtection="1">
      <alignment horizontal="left" vertical="center"/>
    </xf>
    <xf numFmtId="0" fontId="10" fillId="2" borderId="3" xfId="0" applyFont="1" applyFill="1" applyBorder="1" applyAlignment="1" applyProtection="1">
      <alignment horizontal="center" vertical="center"/>
    </xf>
    <xf numFmtId="0" fontId="10" fillId="2" borderId="5" xfId="0" applyFont="1" applyFill="1" applyBorder="1" applyAlignment="1" applyProtection="1">
      <alignment horizontal="center" vertical="center"/>
    </xf>
    <xf numFmtId="0" fontId="10" fillId="2" borderId="4" xfId="0" applyFont="1" applyFill="1" applyBorder="1" applyAlignment="1" applyProtection="1">
      <alignment horizontal="center" vertical="center"/>
    </xf>
    <xf numFmtId="172" fontId="13" fillId="0" borderId="6" xfId="0" applyNumberFormat="1" applyFont="1" applyBorder="1" applyAlignment="1" applyProtection="1">
      <alignment horizontal="center" vertical="center"/>
    </xf>
    <xf numFmtId="0" fontId="12" fillId="0" borderId="7" xfId="0" applyFont="1" applyFill="1" applyBorder="1" applyAlignment="1" applyProtection="1">
      <alignment horizontal="center" vertical="center"/>
      <protection locked="0"/>
    </xf>
    <xf numFmtId="0" fontId="12" fillId="0" borderId="2" xfId="0" applyFont="1" applyFill="1" applyBorder="1" applyAlignment="1" applyProtection="1">
      <alignment horizontal="center" vertical="center"/>
      <protection locked="0"/>
    </xf>
    <xf numFmtId="0" fontId="14" fillId="0" borderId="0" xfId="0" applyFont="1" applyFill="1" applyBorder="1" applyAlignment="1" applyProtection="1">
      <alignment horizontal="right" vertical="center"/>
      <protection locked="0"/>
    </xf>
    <xf numFmtId="0" fontId="19" fillId="4" borderId="9" xfId="0" applyFont="1" applyFill="1" applyBorder="1" applyAlignment="1" applyProtection="1">
      <alignment horizontal="left" vertical="center"/>
    </xf>
    <xf numFmtId="0" fontId="20" fillId="4" borderId="6" xfId="0" applyFont="1" applyFill="1" applyBorder="1" applyAlignment="1" applyProtection="1">
      <alignment horizontal="left" vertical="center"/>
    </xf>
    <xf numFmtId="0" fontId="12" fillId="0" borderId="1" xfId="0" applyFont="1" applyFill="1" applyBorder="1" applyAlignment="1" applyProtection="1">
      <alignment horizontal="center" vertical="center" wrapText="1"/>
      <protection locked="0"/>
    </xf>
    <xf numFmtId="0" fontId="31" fillId="2" borderId="3" xfId="0" applyFont="1" applyFill="1" applyBorder="1" applyAlignment="1" applyProtection="1">
      <alignment horizontal="center" vertical="center"/>
    </xf>
    <xf numFmtId="0" fontId="31" fillId="2" borderId="5" xfId="0" applyFont="1" applyFill="1" applyBorder="1" applyAlignment="1" applyProtection="1">
      <alignment horizontal="center" vertical="center"/>
    </xf>
    <xf numFmtId="0" fontId="19" fillId="4" borderId="6" xfId="0" applyFont="1" applyFill="1" applyBorder="1" applyAlignment="1" applyProtection="1">
      <alignment horizontal="right" vertical="center"/>
    </xf>
    <xf numFmtId="0" fontId="19" fillId="4" borderId="10" xfId="0" applyFont="1" applyFill="1" applyBorder="1" applyAlignment="1" applyProtection="1">
      <alignment horizontal="right" vertical="center"/>
    </xf>
    <xf numFmtId="0" fontId="12" fillId="0" borderId="1" xfId="0" applyFont="1" applyFill="1" applyBorder="1" applyAlignment="1" applyProtection="1">
      <alignment horizontal="center" vertical="center"/>
      <protection locked="0"/>
    </xf>
    <xf numFmtId="172" fontId="5" fillId="0" borderId="6" xfId="0" applyNumberFormat="1" applyFont="1" applyBorder="1" applyAlignment="1" applyProtection="1">
      <alignment horizontal="left" vertical="center"/>
    </xf>
    <xf numFmtId="0" fontId="9" fillId="0" borderId="6" xfId="0" applyFont="1" applyBorder="1" applyAlignment="1" applyProtection="1">
      <alignment horizontal="left" vertical="center"/>
    </xf>
    <xf numFmtId="0" fontId="19" fillId="0" borderId="12" xfId="0" applyFont="1" applyFill="1" applyBorder="1" applyAlignment="1" applyProtection="1">
      <alignment horizontal="left" vertical="center"/>
    </xf>
    <xf numFmtId="0" fontId="20" fillId="0" borderId="11" xfId="0" applyFont="1" applyFill="1" applyBorder="1" applyAlignment="1" applyProtection="1">
      <alignment horizontal="left" vertical="center"/>
    </xf>
    <xf numFmtId="0" fontId="20" fillId="0" borderId="0" xfId="0" applyFont="1" applyFill="1" applyBorder="1" applyAlignment="1" applyProtection="1">
      <alignment horizontal="left" vertical="center"/>
    </xf>
    <xf numFmtId="0" fontId="19" fillId="0" borderId="5" xfId="0" applyFont="1" applyFill="1" applyBorder="1" applyAlignment="1" applyProtection="1">
      <alignment horizontal="center" vertical="center"/>
    </xf>
    <xf numFmtId="0" fontId="19" fillId="0" borderId="4" xfId="0" applyFont="1" applyFill="1" applyBorder="1" applyAlignment="1" applyProtection="1">
      <alignment horizontal="center" vertical="center"/>
    </xf>
    <xf numFmtId="0" fontId="12" fillId="8" borderId="7" xfId="0" applyFont="1" applyFill="1" applyBorder="1" applyAlignment="1" applyProtection="1">
      <alignment horizontal="center" vertical="center" wrapText="1"/>
    </xf>
    <xf numFmtId="0" fontId="12" fillId="8" borderId="8" xfId="0" applyFont="1" applyFill="1" applyBorder="1" applyAlignment="1" applyProtection="1">
      <alignment horizontal="center" vertical="center" wrapText="1"/>
    </xf>
    <xf numFmtId="0" fontId="12" fillId="8" borderId="2" xfId="0" applyFont="1" applyFill="1" applyBorder="1" applyAlignment="1" applyProtection="1">
      <alignment horizontal="center" vertical="center" wrapText="1"/>
    </xf>
    <xf numFmtId="0" fontId="14" fillId="0" borderId="5" xfId="0" applyFont="1" applyFill="1" applyBorder="1" applyAlignment="1" applyProtection="1">
      <alignment horizontal="left" vertical="center"/>
    </xf>
    <xf numFmtId="0" fontId="14" fillId="0" borderId="4" xfId="0" applyFont="1" applyFill="1" applyBorder="1" applyAlignment="1" applyProtection="1">
      <alignment horizontal="left" vertical="center"/>
    </xf>
    <xf numFmtId="0" fontId="14" fillId="2" borderId="5" xfId="0" applyFont="1" applyFill="1" applyBorder="1" applyAlignment="1" applyProtection="1">
      <alignment horizontal="left" vertical="center"/>
    </xf>
    <xf numFmtId="0" fontId="14" fillId="2" borderId="4" xfId="0" applyFont="1" applyFill="1" applyBorder="1" applyAlignment="1" applyProtection="1">
      <alignment horizontal="left" vertical="center"/>
    </xf>
    <xf numFmtId="0" fontId="12" fillId="0" borderId="7" xfId="0" applyFont="1" applyFill="1" applyBorder="1" applyAlignment="1" applyProtection="1">
      <alignment horizontal="center" vertical="center"/>
    </xf>
    <xf numFmtId="0" fontId="12" fillId="0" borderId="2" xfId="0" applyFont="1" applyFill="1" applyBorder="1" applyAlignment="1" applyProtection="1">
      <alignment horizontal="center" vertical="center"/>
    </xf>
    <xf numFmtId="0" fontId="12" fillId="8" borderId="7" xfId="0" applyFont="1" applyFill="1" applyBorder="1" applyAlignment="1" applyProtection="1">
      <alignment horizontal="center" vertical="center"/>
    </xf>
    <xf numFmtId="0" fontId="12" fillId="8" borderId="2" xfId="0" applyFont="1" applyFill="1" applyBorder="1" applyAlignment="1" applyProtection="1">
      <alignment horizontal="center" vertical="center"/>
    </xf>
    <xf numFmtId="0" fontId="12" fillId="8" borderId="1" xfId="0" applyFont="1" applyFill="1" applyBorder="1" applyAlignment="1" applyProtection="1">
      <alignment horizontal="center" vertical="center" wrapText="1"/>
    </xf>
    <xf numFmtId="0" fontId="12" fillId="8" borderId="1" xfId="0" applyFont="1" applyFill="1" applyBorder="1" applyAlignment="1" applyProtection="1">
      <alignment horizontal="center" vertical="center"/>
    </xf>
    <xf numFmtId="0" fontId="5" fillId="0" borderId="3" xfId="0" applyFont="1" applyFill="1" applyBorder="1" applyAlignment="1" applyProtection="1">
      <alignment horizontal="center" vertical="center"/>
    </xf>
    <xf numFmtId="0" fontId="5" fillId="0" borderId="6" xfId="0" applyFont="1" applyFill="1" applyBorder="1" applyAlignment="1" applyProtection="1">
      <alignment horizontal="center" vertical="center"/>
    </xf>
    <xf numFmtId="0" fontId="40" fillId="0" borderId="6" xfId="4" applyFont="1" applyBorder="1" applyAlignment="1" applyProtection="1">
      <alignment horizontal="center" vertical="center" wrapText="1"/>
      <protection locked="0"/>
    </xf>
    <xf numFmtId="0" fontId="87" fillId="0" borderId="11" xfId="4" applyFont="1" applyBorder="1" applyAlignment="1" applyProtection="1">
      <alignment horizontal="center" vertical="center"/>
    </xf>
    <xf numFmtId="0" fontId="15" fillId="0" borderId="11" xfId="0" applyFont="1" applyBorder="1" applyAlignment="1" applyProtection="1">
      <alignment horizontal="center" vertical="center" wrapText="1"/>
    </xf>
    <xf numFmtId="0" fontId="18" fillId="0" borderId="11" xfId="0" applyFont="1" applyBorder="1" applyAlignment="1" applyProtection="1">
      <alignment horizontal="center" vertical="center" wrapText="1"/>
    </xf>
    <xf numFmtId="0" fontId="57" fillId="0" borderId="0" xfId="4" applyFont="1" applyBorder="1" applyAlignment="1" applyProtection="1">
      <alignment horizontal="center" vertical="center" wrapText="1"/>
    </xf>
    <xf numFmtId="0" fontId="95" fillId="0" borderId="1" xfId="0" applyFont="1" applyBorder="1" applyAlignment="1" applyProtection="1">
      <alignment horizontal="center" vertical="center" wrapText="1"/>
    </xf>
    <xf numFmtId="0" fontId="95" fillId="0" borderId="1" xfId="0" applyFont="1" applyBorder="1" applyAlignment="1" applyProtection="1">
      <alignment horizontal="center" vertical="center"/>
    </xf>
    <xf numFmtId="0" fontId="58" fillId="0" borderId="12" xfId="0" applyFont="1" applyFill="1" applyBorder="1" applyAlignment="1" applyProtection="1">
      <alignment horizontal="center" vertical="center" wrapText="1"/>
    </xf>
    <xf numFmtId="0" fontId="58" fillId="0" borderId="11" xfId="0" applyFont="1" applyFill="1" applyBorder="1" applyAlignment="1" applyProtection="1">
      <alignment horizontal="center" vertical="center" wrapText="1"/>
    </xf>
    <xf numFmtId="0" fontId="58" fillId="0" borderId="17" xfId="0" applyFont="1" applyFill="1" applyBorder="1" applyAlignment="1" applyProtection="1">
      <alignment horizontal="center" vertical="center" wrapText="1"/>
    </xf>
    <xf numFmtId="0" fontId="58" fillId="0" borderId="16" xfId="0" applyFont="1" applyFill="1" applyBorder="1" applyAlignment="1" applyProtection="1">
      <alignment horizontal="center" vertical="center" wrapText="1"/>
    </xf>
    <xf numFmtId="0" fontId="58" fillId="0" borderId="0" xfId="0" applyFont="1" applyFill="1" applyBorder="1" applyAlignment="1" applyProtection="1">
      <alignment horizontal="center" vertical="center" wrapText="1"/>
    </xf>
    <xf numFmtId="0" fontId="58" fillId="0" borderId="15" xfId="0" applyFont="1" applyFill="1" applyBorder="1" applyAlignment="1" applyProtection="1">
      <alignment horizontal="center" vertical="center" wrapText="1"/>
    </xf>
    <xf numFmtId="0" fontId="58" fillId="0" borderId="9" xfId="0" applyFont="1" applyFill="1" applyBorder="1" applyAlignment="1" applyProtection="1">
      <alignment horizontal="center" vertical="center" wrapText="1"/>
    </xf>
    <xf numFmtId="0" fontId="58" fillId="0" borderId="6" xfId="0" applyFont="1" applyFill="1" applyBorder="1" applyAlignment="1" applyProtection="1">
      <alignment horizontal="center" vertical="center" wrapText="1"/>
    </xf>
    <xf numFmtId="0" fontId="58" fillId="0" borderId="10" xfId="0" applyFont="1" applyFill="1" applyBorder="1" applyAlignment="1" applyProtection="1">
      <alignment horizontal="center" vertical="center" wrapText="1"/>
    </xf>
    <xf numFmtId="183" fontId="98" fillId="0" borderId="6" xfId="4" applyNumberFormat="1" applyFont="1" applyBorder="1" applyAlignment="1" applyProtection="1">
      <alignment horizontal="center" vertical="center" wrapText="1"/>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17"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99" fillId="0" borderId="5" xfId="4" applyFont="1" applyBorder="1" applyAlignment="1" applyProtection="1">
      <alignment horizontal="center" vertical="center"/>
    </xf>
    <xf numFmtId="0" fontId="113" fillId="9" borderId="1" xfId="4" applyFont="1" applyFill="1" applyBorder="1" applyAlignment="1" applyProtection="1">
      <alignment horizontal="center" vertical="center"/>
    </xf>
    <xf numFmtId="175" fontId="10" fillId="2" borderId="7" xfId="0" applyNumberFormat="1" applyFont="1" applyFill="1" applyBorder="1" applyAlignment="1" applyProtection="1">
      <alignment horizontal="center" vertical="center"/>
    </xf>
    <xf numFmtId="175" fontId="10" fillId="2" borderId="2" xfId="0" applyNumberFormat="1" applyFont="1" applyFill="1" applyBorder="1" applyAlignment="1" applyProtection="1">
      <alignment horizontal="center" vertical="center"/>
    </xf>
    <xf numFmtId="0" fontId="38" fillId="0" borderId="1" xfId="0" applyFont="1" applyBorder="1" applyAlignment="1" applyProtection="1">
      <alignment horizontal="center" vertical="center"/>
      <protection locked="0"/>
    </xf>
    <xf numFmtId="0" fontId="126" fillId="0" borderId="3" xfId="0" applyFont="1" applyFill="1" applyBorder="1" applyAlignment="1" applyProtection="1">
      <alignment vertical="center"/>
    </xf>
    <xf numFmtId="0" fontId="126" fillId="0" borderId="5" xfId="0" applyFont="1" applyFill="1" applyBorder="1" applyAlignment="1" applyProtection="1">
      <alignment vertical="center"/>
    </xf>
    <xf numFmtId="0" fontId="129" fillId="0" borderId="5" xfId="0" applyFont="1" applyBorder="1" applyAlignment="1" applyProtection="1">
      <alignment horizontal="center" vertical="center"/>
    </xf>
    <xf numFmtId="0" fontId="13" fillId="26" borderId="1" xfId="0" applyFont="1" applyFill="1" applyBorder="1" applyAlignment="1" applyProtection="1">
      <alignment horizontal="center" vertical="center"/>
    </xf>
    <xf numFmtId="0" fontId="38" fillId="4" borderId="1" xfId="0" applyFont="1" applyFill="1" applyBorder="1" applyAlignment="1" applyProtection="1">
      <alignment horizontal="center" vertical="center"/>
    </xf>
    <xf numFmtId="0" fontId="132" fillId="4" borderId="1" xfId="0" applyFont="1" applyFill="1" applyBorder="1" applyAlignment="1" applyProtection="1">
      <alignment horizontal="center" vertical="center"/>
    </xf>
    <xf numFmtId="172" fontId="79" fillId="0" borderId="5" xfId="0" applyNumberFormat="1" applyFont="1" applyBorder="1" applyAlignment="1" applyProtection="1">
      <alignment horizontal="center" vertical="center"/>
    </xf>
    <xf numFmtId="172" fontId="131" fillId="0" borderId="5" xfId="0" applyNumberFormat="1" applyFont="1" applyBorder="1" applyAlignment="1" applyProtection="1">
      <alignment horizontal="center" vertical="center"/>
    </xf>
    <xf numFmtId="172" fontId="131" fillId="0" borderId="4" xfId="0" applyNumberFormat="1" applyFont="1" applyBorder="1" applyAlignment="1" applyProtection="1">
      <alignment horizontal="center" vertical="center"/>
    </xf>
    <xf numFmtId="0" fontId="130" fillId="0" borderId="1" xfId="0" applyFont="1" applyFill="1" applyBorder="1" applyAlignment="1" applyProtection="1">
      <alignment horizontal="right" vertical="center"/>
    </xf>
    <xf numFmtId="0" fontId="128" fillId="2" borderId="3" xfId="0" applyFont="1" applyFill="1" applyBorder="1" applyAlignment="1" applyProtection="1">
      <alignment horizontal="center" vertical="center"/>
    </xf>
    <xf numFmtId="0" fontId="128" fillId="2" borderId="5" xfId="0" applyFont="1" applyFill="1" applyBorder="1" applyAlignment="1" applyProtection="1">
      <alignment horizontal="center" vertical="center"/>
    </xf>
    <xf numFmtId="0" fontId="24" fillId="23" borderId="1" xfId="5" applyFont="1" applyFill="1" applyBorder="1" applyAlignment="1" applyProtection="1">
      <alignment horizontal="center" vertical="center"/>
    </xf>
    <xf numFmtId="0" fontId="163" fillId="2" borderId="1" xfId="0" applyFont="1" applyFill="1" applyBorder="1" applyAlignment="1" applyProtection="1">
      <alignment horizontal="center" vertical="center"/>
    </xf>
    <xf numFmtId="0" fontId="86" fillId="9" borderId="1" xfId="4" applyFont="1" applyFill="1" applyBorder="1" applyAlignment="1" applyProtection="1">
      <alignment horizontal="center" vertical="center"/>
    </xf>
    <xf numFmtId="2" fontId="31" fillId="7" borderId="5" xfId="0" applyNumberFormat="1" applyFont="1" applyFill="1" applyBorder="1" applyAlignment="1" applyProtection="1">
      <alignment horizontal="center" vertical="center"/>
    </xf>
    <xf numFmtId="2" fontId="31" fillId="7" borderId="4" xfId="0" applyNumberFormat="1" applyFont="1" applyFill="1" applyBorder="1" applyAlignment="1" applyProtection="1">
      <alignment horizontal="center" vertical="center"/>
    </xf>
    <xf numFmtId="3" fontId="31" fillId="7" borderId="5" xfId="0" applyNumberFormat="1" applyFont="1" applyFill="1" applyBorder="1" applyAlignment="1" applyProtection="1">
      <alignment horizontal="center" vertical="center"/>
    </xf>
    <xf numFmtId="3" fontId="31" fillId="7" borderId="4" xfId="0" applyNumberFormat="1" applyFont="1" applyFill="1" applyBorder="1" applyAlignment="1" applyProtection="1">
      <alignment horizontal="center" vertical="center"/>
    </xf>
    <xf numFmtId="0" fontId="81" fillId="5" borderId="3" xfId="0" applyFont="1" applyFill="1" applyBorder="1" applyAlignment="1" applyProtection="1">
      <alignment horizontal="right" vertical="center"/>
    </xf>
    <xf numFmtId="0" fontId="81" fillId="5" borderId="5" xfId="0" applyFont="1" applyFill="1" applyBorder="1" applyAlignment="1" applyProtection="1">
      <alignment horizontal="right" vertical="center"/>
    </xf>
    <xf numFmtId="171" fontId="22" fillId="0" borderId="6" xfId="0" applyNumberFormat="1" applyFont="1" applyBorder="1" applyAlignment="1" applyProtection="1">
      <alignment horizontal="center" vertical="center" wrapText="1"/>
    </xf>
    <xf numFmtId="0" fontId="32" fillId="2" borderId="7" xfId="0" applyFont="1" applyFill="1" applyBorder="1" applyAlignment="1" applyProtection="1">
      <alignment horizontal="center" vertical="center"/>
    </xf>
    <xf numFmtId="0" fontId="32" fillId="2" borderId="2" xfId="0" applyFont="1" applyFill="1" applyBorder="1" applyAlignment="1" applyProtection="1">
      <alignment horizontal="center" vertical="center"/>
    </xf>
    <xf numFmtId="0" fontId="23" fillId="0" borderId="6" xfId="0" applyFont="1" applyBorder="1" applyAlignment="1" applyProtection="1">
      <alignment horizontal="right" vertical="center"/>
    </xf>
    <xf numFmtId="0" fontId="10" fillId="14" borderId="1" xfId="0" applyFont="1" applyFill="1" applyBorder="1" applyAlignment="1" applyProtection="1">
      <alignment horizontal="center" vertical="center" wrapText="1"/>
      <protection locked="0"/>
    </xf>
    <xf numFmtId="0" fontId="30" fillId="2" borderId="1" xfId="0" applyFont="1" applyFill="1" applyBorder="1" applyAlignment="1" applyProtection="1">
      <alignment horizontal="center" vertical="center" wrapText="1"/>
      <protection locked="0"/>
    </xf>
    <xf numFmtId="0" fontId="10" fillId="51" borderId="1" xfId="0" applyFont="1" applyFill="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0" fillId="0" borderId="6" xfId="0" applyFont="1" applyBorder="1" applyAlignment="1" applyProtection="1">
      <alignment horizontal="center" vertical="center" wrapText="1"/>
    </xf>
    <xf numFmtId="0" fontId="1" fillId="0" borderId="0" xfId="0" applyFont="1" applyAlignment="1" applyProtection="1">
      <alignment horizontal="left" vertical="center"/>
      <protection locked="0"/>
    </xf>
    <xf numFmtId="0" fontId="100" fillId="0" borderId="0" xfId="0" applyFont="1" applyAlignment="1" applyProtection="1">
      <alignment horizontal="left" vertical="center"/>
      <protection locked="0"/>
    </xf>
    <xf numFmtId="0" fontId="71" fillId="0" borderId="0" xfId="0" applyFont="1" applyAlignment="1" applyProtection="1">
      <alignment horizontal="center" vertical="center" wrapText="1"/>
      <protection locked="0"/>
    </xf>
    <xf numFmtId="0" fontId="0" fillId="0" borderId="0" xfId="0" applyAlignment="1" applyProtection="1">
      <alignment horizontal="center" vertical="center"/>
    </xf>
    <xf numFmtId="0" fontId="112" fillId="0" borderId="6" xfId="0" applyFont="1" applyBorder="1" applyAlignment="1" applyProtection="1">
      <alignment horizontal="center" vertical="center"/>
    </xf>
    <xf numFmtId="0" fontId="107" fillId="2" borderId="1" xfId="0" applyFont="1" applyFill="1" applyBorder="1" applyAlignment="1" applyProtection="1">
      <alignment horizontal="center" vertical="center"/>
    </xf>
    <xf numFmtId="0" fontId="101" fillId="2" borderId="1" xfId="0" applyFont="1" applyFill="1" applyBorder="1" applyAlignment="1" applyProtection="1">
      <alignment horizontal="center" vertical="center"/>
    </xf>
    <xf numFmtId="0" fontId="101" fillId="2" borderId="3" xfId="0" applyFont="1" applyFill="1" applyBorder="1" applyAlignment="1" applyProtection="1">
      <alignment horizontal="center" vertical="center"/>
    </xf>
    <xf numFmtId="0" fontId="101" fillId="2" borderId="5" xfId="0" applyFont="1" applyFill="1" applyBorder="1" applyAlignment="1" applyProtection="1">
      <alignment horizontal="center" vertical="center"/>
    </xf>
    <xf numFmtId="0" fontId="101" fillId="2" borderId="4" xfId="0" applyFont="1" applyFill="1" applyBorder="1" applyAlignment="1" applyProtection="1">
      <alignment horizontal="center" vertical="center"/>
    </xf>
    <xf numFmtId="0" fontId="115" fillId="0" borderId="0" xfId="4" applyFont="1" applyBorder="1" applyAlignment="1" applyProtection="1">
      <alignment horizontal="center" vertical="center"/>
    </xf>
    <xf numFmtId="3" fontId="69" fillId="0" borderId="1" xfId="0" applyNumberFormat="1" applyFont="1" applyBorder="1" applyAlignment="1" applyProtection="1">
      <alignment horizontal="center" vertical="center"/>
      <protection locked="0"/>
    </xf>
    <xf numFmtId="175" fontId="70" fillId="0" borderId="0" xfId="0" applyNumberFormat="1" applyFont="1" applyBorder="1" applyAlignment="1" applyProtection="1">
      <alignment horizontal="center" vertical="center"/>
    </xf>
    <xf numFmtId="3" fontId="16" fillId="0" borderId="1" xfId="0" applyNumberFormat="1" applyFont="1" applyBorder="1" applyAlignment="1" applyProtection="1">
      <alignment horizontal="center" vertical="center"/>
      <protection locked="0"/>
    </xf>
    <xf numFmtId="175" fontId="12" fillId="4" borderId="0" xfId="0" applyNumberFormat="1" applyFont="1" applyFill="1" applyBorder="1" applyAlignment="1" applyProtection="1">
      <alignment horizontal="left" vertical="center" wrapText="1"/>
      <protection locked="0"/>
    </xf>
    <xf numFmtId="3" fontId="65" fillId="0" borderId="1" xfId="0" applyNumberFormat="1" applyFont="1" applyBorder="1" applyAlignment="1" applyProtection="1">
      <alignment horizontal="center" vertical="center"/>
      <protection locked="0"/>
    </xf>
    <xf numFmtId="175" fontId="69" fillId="0" borderId="1" xfId="0" applyNumberFormat="1" applyFont="1" applyBorder="1" applyAlignment="1" applyProtection="1">
      <alignment horizontal="left" vertical="center"/>
      <protection locked="0"/>
    </xf>
    <xf numFmtId="175" fontId="16" fillId="0" borderId="1" xfId="0" applyNumberFormat="1" applyFont="1" applyBorder="1" applyAlignment="1" applyProtection="1">
      <alignment horizontal="right" vertical="center"/>
      <protection locked="0"/>
    </xf>
    <xf numFmtId="177" fontId="32" fillId="0" borderId="0" xfId="0" applyNumberFormat="1" applyFont="1" applyBorder="1" applyAlignment="1" applyProtection="1">
      <alignment horizontal="center" vertical="center" wrapText="1"/>
      <protection locked="0"/>
    </xf>
    <xf numFmtId="0" fontId="114" fillId="9" borderId="1" xfId="4" applyFont="1" applyFill="1" applyBorder="1" applyAlignment="1" applyProtection="1">
      <alignment horizontal="center" vertical="center"/>
    </xf>
    <xf numFmtId="0" fontId="72" fillId="0" borderId="0" xfId="0" applyFont="1" applyAlignment="1" applyProtection="1">
      <alignment horizontal="center" vertical="center"/>
    </xf>
    <xf numFmtId="0" fontId="0" fillId="4" borderId="0" xfId="0" applyFill="1" applyBorder="1" applyAlignment="1" applyProtection="1">
      <alignment horizontal="right" vertical="center"/>
      <protection locked="0"/>
    </xf>
    <xf numFmtId="175" fontId="0" fillId="0" borderId="0" xfId="0" applyNumberFormat="1" applyBorder="1" applyAlignment="1" applyProtection="1">
      <alignment horizontal="left" vertical="center" wrapText="1"/>
      <protection locked="0"/>
    </xf>
    <xf numFmtId="175" fontId="0" fillId="0" borderId="0" xfId="0" applyNumberFormat="1" applyFont="1" applyBorder="1" applyAlignment="1" applyProtection="1">
      <alignment horizontal="left" vertical="center" wrapText="1"/>
      <protection locked="0"/>
    </xf>
    <xf numFmtId="175" fontId="71" fillId="0" borderId="0" xfId="0" applyNumberFormat="1" applyFont="1" applyBorder="1" applyAlignment="1" applyProtection="1">
      <alignment horizontal="center" vertical="center"/>
      <protection locked="0"/>
    </xf>
    <xf numFmtId="175" fontId="0" fillId="4" borderId="0" xfId="0" applyNumberFormat="1" applyFill="1" applyBorder="1" applyAlignment="1" applyProtection="1">
      <alignment horizontal="left" vertical="center" wrapText="1"/>
      <protection locked="0"/>
    </xf>
    <xf numFmtId="175" fontId="0" fillId="4" borderId="0" xfId="0" applyNumberFormat="1" applyFont="1" applyFill="1" applyBorder="1" applyAlignment="1" applyProtection="1">
      <alignment horizontal="left" vertical="center" wrapText="1"/>
      <protection locked="0"/>
    </xf>
    <xf numFmtId="175" fontId="8" fillId="2" borderId="1" xfId="0" applyNumberFormat="1" applyFont="1" applyFill="1" applyBorder="1" applyAlignment="1" applyProtection="1">
      <alignment horizontal="center" vertical="center"/>
    </xf>
    <xf numFmtId="175" fontId="59" fillId="2" borderId="1" xfId="0" applyNumberFormat="1" applyFont="1" applyFill="1" applyBorder="1" applyAlignment="1" applyProtection="1">
      <alignment horizontal="center" vertical="center"/>
    </xf>
    <xf numFmtId="175" fontId="17" fillId="2" borderId="1" xfId="0" applyNumberFormat="1" applyFont="1" applyFill="1" applyBorder="1" applyAlignment="1" applyProtection="1">
      <alignment horizontal="center" vertical="center"/>
    </xf>
    <xf numFmtId="175" fontId="31" fillId="2" borderId="1" xfId="0" applyNumberFormat="1" applyFont="1" applyFill="1" applyBorder="1" applyAlignment="1" applyProtection="1">
      <alignment horizontal="center" vertical="center"/>
    </xf>
    <xf numFmtId="0" fontId="0" fillId="0" borderId="0" xfId="0" applyFill="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8" fillId="2" borderId="1" xfId="0" applyNumberFormat="1" applyFont="1" applyFill="1" applyBorder="1" applyAlignment="1" applyProtection="1">
      <alignment horizontal="center" vertical="center"/>
    </xf>
    <xf numFmtId="3" fontId="59" fillId="2" borderId="1" xfId="0" applyNumberFormat="1" applyFont="1" applyFill="1" applyBorder="1" applyAlignment="1" applyProtection="1">
      <alignment horizontal="center" vertical="center"/>
    </xf>
    <xf numFmtId="3" fontId="17" fillId="2" borderId="1" xfId="0" applyNumberFormat="1" applyFont="1" applyFill="1" applyBorder="1" applyAlignment="1" applyProtection="1">
      <alignment horizontal="center" vertical="center"/>
    </xf>
    <xf numFmtId="0" fontId="58" fillId="0" borderId="11" xfId="0" applyNumberFormat="1" applyFont="1" applyBorder="1" applyAlignment="1" applyProtection="1">
      <alignment horizontal="center" vertical="center"/>
      <protection locked="0"/>
    </xf>
    <xf numFmtId="3" fontId="73" fillId="2" borderId="1" xfId="0" applyNumberFormat="1" applyFont="1" applyFill="1" applyBorder="1" applyAlignment="1" applyProtection="1">
      <alignment horizontal="center" vertical="center"/>
    </xf>
    <xf numFmtId="0" fontId="41" fillId="2" borderId="1" xfId="0" applyFont="1" applyFill="1" applyBorder="1" applyAlignment="1" applyProtection="1">
      <alignment horizontal="center" vertical="center"/>
    </xf>
    <xf numFmtId="0" fontId="31" fillId="2" borderId="5" xfId="0" applyFont="1" applyFill="1" applyBorder="1" applyAlignment="1" applyProtection="1">
      <alignment horizontal="left" vertical="center"/>
    </xf>
    <xf numFmtId="0" fontId="31" fillId="2" borderId="4" xfId="0" applyFont="1" applyFill="1" applyBorder="1" applyAlignment="1" applyProtection="1">
      <alignment horizontal="left" vertical="center"/>
    </xf>
    <xf numFmtId="0" fontId="0" fillId="2" borderId="7" xfId="0" applyFill="1" applyBorder="1" applyAlignment="1" applyProtection="1">
      <alignment horizontal="center" vertical="center"/>
    </xf>
    <xf numFmtId="0" fontId="0" fillId="2" borderId="2" xfId="0" applyFill="1" applyBorder="1" applyAlignment="1" applyProtection="1">
      <alignment horizontal="center" vertical="center"/>
    </xf>
    <xf numFmtId="0" fontId="59" fillId="2" borderId="5" xfId="0" applyFont="1" applyFill="1" applyBorder="1" applyAlignment="1" applyProtection="1">
      <alignment horizontal="center" vertical="center"/>
    </xf>
    <xf numFmtId="0" fontId="11" fillId="2" borderId="2" xfId="0" applyFont="1" applyFill="1" applyBorder="1" applyAlignment="1" applyProtection="1">
      <alignment horizontal="center" vertical="center"/>
    </xf>
    <xf numFmtId="0" fontId="11" fillId="2" borderId="4" xfId="0" applyFont="1" applyFill="1" applyBorder="1" applyAlignment="1" applyProtection="1">
      <alignment horizontal="center" vertical="center"/>
    </xf>
    <xf numFmtId="187" fontId="16" fillId="19" borderId="3" xfId="0" applyNumberFormat="1" applyFont="1" applyFill="1" applyBorder="1" applyAlignment="1" applyProtection="1">
      <alignment horizontal="center" vertical="center"/>
      <protection locked="0"/>
    </xf>
    <xf numFmtId="187" fontId="16" fillId="19" borderId="5" xfId="0" applyNumberFormat="1" applyFont="1" applyFill="1" applyBorder="1" applyAlignment="1" applyProtection="1">
      <alignment horizontal="center" vertical="center"/>
      <protection locked="0"/>
    </xf>
    <xf numFmtId="187" fontId="16" fillId="19" borderId="4" xfId="0" applyNumberFormat="1" applyFont="1" applyFill="1" applyBorder="1" applyAlignment="1" applyProtection="1">
      <alignment horizontal="center" vertical="center"/>
      <protection locked="0"/>
    </xf>
    <xf numFmtId="3" fontId="103" fillId="19" borderId="3" xfId="0" applyNumberFormat="1" applyFont="1" applyFill="1" applyBorder="1" applyAlignment="1" applyProtection="1">
      <alignment horizontal="center" vertical="center"/>
      <protection locked="0"/>
    </xf>
    <xf numFmtId="3" fontId="103" fillId="19" borderId="5" xfId="0" applyNumberFormat="1" applyFont="1" applyFill="1" applyBorder="1" applyAlignment="1" applyProtection="1">
      <alignment horizontal="center" vertical="center"/>
      <protection locked="0"/>
    </xf>
    <xf numFmtId="3" fontId="103" fillId="19" borderId="4" xfId="0" applyNumberFormat="1" applyFont="1" applyFill="1" applyBorder="1" applyAlignment="1" applyProtection="1">
      <alignment horizontal="center" vertical="center"/>
      <protection locked="0"/>
    </xf>
    <xf numFmtId="0" fontId="103" fillId="19" borderId="1" xfId="0" applyFont="1" applyFill="1" applyBorder="1" applyAlignment="1" applyProtection="1">
      <alignment horizontal="center" vertical="center"/>
      <protection locked="0"/>
    </xf>
    <xf numFmtId="0" fontId="86" fillId="9" borderId="1" xfId="4" applyFont="1" applyFill="1" applyBorder="1" applyAlignment="1" applyProtection="1">
      <alignment horizontal="center" vertical="center"/>
      <protection locked="0"/>
    </xf>
    <xf numFmtId="0" fontId="42" fillId="2" borderId="7" xfId="0" applyFont="1" applyFill="1" applyBorder="1" applyAlignment="1" applyProtection="1">
      <alignment horizontal="center" vertical="center"/>
      <protection locked="0"/>
    </xf>
    <xf numFmtId="0" fontId="42" fillId="2" borderId="2" xfId="0" applyFont="1" applyFill="1" applyBorder="1" applyAlignment="1" applyProtection="1">
      <alignment horizontal="center" vertical="center"/>
      <protection locked="0"/>
    </xf>
    <xf numFmtId="187" fontId="16" fillId="2" borderId="1" xfId="0" applyNumberFormat="1" applyFont="1" applyFill="1" applyBorder="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3" fontId="103" fillId="2" borderId="7" xfId="0" applyNumberFormat="1" applyFont="1" applyFill="1" applyBorder="1" applyAlignment="1" applyProtection="1">
      <alignment horizontal="center" vertical="center"/>
      <protection locked="0"/>
    </xf>
    <xf numFmtId="3" fontId="103" fillId="2" borderId="2" xfId="0" applyNumberFormat="1" applyFont="1" applyFill="1" applyBorder="1" applyAlignment="1" applyProtection="1">
      <alignment horizontal="center" vertical="center"/>
      <protection locked="0"/>
    </xf>
    <xf numFmtId="0" fontId="111" fillId="0" borderId="6" xfId="0" applyFont="1" applyBorder="1" applyAlignment="1" applyProtection="1">
      <alignment horizontal="right" vertical="center"/>
    </xf>
    <xf numFmtId="0" fontId="116" fillId="0" borderId="0" xfId="4" applyFont="1" applyFill="1" applyBorder="1" applyAlignment="1" applyProtection="1">
      <alignment horizontal="center" vertical="center"/>
    </xf>
    <xf numFmtId="0" fontId="50" fillId="16" borderId="1" xfId="0" applyFont="1" applyFill="1" applyBorder="1" applyAlignment="1" applyProtection="1">
      <alignment horizontal="center" vertical="center"/>
    </xf>
    <xf numFmtId="0" fontId="50" fillId="16" borderId="7" xfId="0" applyFont="1" applyFill="1" applyBorder="1" applyAlignment="1" applyProtection="1">
      <alignment horizontal="center" vertical="center" wrapText="1"/>
    </xf>
    <xf numFmtId="0" fontId="50" fillId="16" borderId="2" xfId="0" applyFont="1" applyFill="1" applyBorder="1" applyAlignment="1" applyProtection="1">
      <alignment horizontal="center" vertical="center" wrapText="1"/>
    </xf>
    <xf numFmtId="0" fontId="5" fillId="16" borderId="7" xfId="0" applyNumberFormat="1" applyFont="1" applyFill="1" applyBorder="1" applyAlignment="1" applyProtection="1">
      <alignment horizontal="center" vertical="center" wrapText="1"/>
    </xf>
    <xf numFmtId="0" fontId="5" fillId="16" borderId="2" xfId="0" applyNumberFormat="1" applyFont="1" applyFill="1" applyBorder="1" applyAlignment="1" applyProtection="1">
      <alignment horizontal="center" vertical="center" wrapText="1"/>
    </xf>
    <xf numFmtId="0" fontId="17" fillId="16" borderId="1" xfId="0" applyFont="1" applyFill="1" applyBorder="1" applyAlignment="1" applyProtection="1">
      <alignment horizontal="center" vertical="center"/>
    </xf>
    <xf numFmtId="0" fontId="1" fillId="16" borderId="7" xfId="0" applyFont="1" applyFill="1" applyBorder="1" applyAlignment="1" applyProtection="1">
      <alignment horizontal="center" vertical="center"/>
    </xf>
    <xf numFmtId="0" fontId="1" fillId="16" borderId="8" xfId="0" applyFont="1" applyFill="1" applyBorder="1" applyAlignment="1" applyProtection="1">
      <alignment horizontal="center" vertical="center"/>
    </xf>
    <xf numFmtId="0" fontId="1" fillId="16" borderId="2" xfId="0" applyFont="1" applyFill="1" applyBorder="1" applyAlignment="1" applyProtection="1">
      <alignment horizontal="center" vertical="center"/>
    </xf>
    <xf numFmtId="0" fontId="11" fillId="16" borderId="3" xfId="0" applyFont="1" applyFill="1" applyBorder="1" applyAlignment="1" applyProtection="1">
      <alignment horizontal="center" vertical="center"/>
    </xf>
    <xf numFmtId="0" fontId="11" fillId="16" borderId="5" xfId="0" applyFont="1" applyFill="1" applyBorder="1" applyAlignment="1" applyProtection="1">
      <alignment horizontal="center" vertical="center"/>
    </xf>
    <xf numFmtId="0" fontId="5" fillId="16" borderId="5" xfId="0" applyFont="1" applyFill="1" applyBorder="1" applyAlignment="1" applyProtection="1">
      <alignment horizontal="center" vertical="center"/>
    </xf>
    <xf numFmtId="0" fontId="11" fillId="16" borderId="5" xfId="0" applyFont="1" applyFill="1" applyBorder="1" applyAlignment="1" applyProtection="1">
      <alignment horizontal="left" vertical="center"/>
    </xf>
    <xf numFmtId="0" fontId="11" fillId="16" borderId="6" xfId="0" applyFont="1" applyFill="1" applyBorder="1" applyAlignment="1" applyProtection="1">
      <alignment horizontal="left" vertical="center"/>
    </xf>
    <xf numFmtId="0" fontId="11" fillId="16" borderId="10" xfId="0" applyFont="1" applyFill="1" applyBorder="1" applyAlignment="1" applyProtection="1">
      <alignment horizontal="left" vertical="center"/>
    </xf>
    <xf numFmtId="0" fontId="11" fillId="16" borderId="1" xfId="0" applyFont="1" applyFill="1" applyBorder="1" applyAlignment="1" applyProtection="1">
      <alignment horizontal="center" vertical="center"/>
    </xf>
    <xf numFmtId="0" fontId="8" fillId="2" borderId="7" xfId="0" applyFont="1" applyFill="1" applyBorder="1" applyAlignment="1" applyProtection="1">
      <alignment horizontal="center" vertical="center"/>
    </xf>
    <xf numFmtId="0" fontId="8" fillId="2" borderId="2" xfId="0" applyFont="1" applyFill="1" applyBorder="1" applyAlignment="1" applyProtection="1">
      <alignment horizontal="center" vertical="center"/>
    </xf>
    <xf numFmtId="0" fontId="7" fillId="0" borderId="6" xfId="0" applyFont="1" applyBorder="1" applyAlignment="1" applyProtection="1">
      <alignment horizontal="center" vertical="center" wrapText="1"/>
      <protection locked="0"/>
    </xf>
    <xf numFmtId="170" fontId="53" fillId="2" borderId="7" xfId="0" applyNumberFormat="1" applyFont="1" applyFill="1" applyBorder="1" applyAlignment="1" applyProtection="1">
      <alignment horizontal="center" vertical="center"/>
    </xf>
    <xf numFmtId="170" fontId="53" fillId="2" borderId="8" xfId="0" applyNumberFormat="1" applyFont="1" applyFill="1" applyBorder="1" applyAlignment="1" applyProtection="1">
      <alignment horizontal="center" vertical="center"/>
    </xf>
    <xf numFmtId="170" fontId="53" fillId="2" borderId="2" xfId="0" applyNumberFormat="1" applyFont="1" applyFill="1" applyBorder="1" applyAlignment="1" applyProtection="1">
      <alignment horizontal="center" vertical="center"/>
    </xf>
    <xf numFmtId="170" fontId="53" fillId="2" borderId="7" xfId="0" applyNumberFormat="1" applyFont="1" applyFill="1" applyBorder="1" applyAlignment="1" applyProtection="1">
      <alignment horizontal="center" vertical="center" wrapText="1"/>
    </xf>
    <xf numFmtId="170" fontId="53" fillId="2" borderId="8" xfId="0" applyNumberFormat="1" applyFont="1" applyFill="1" applyBorder="1" applyAlignment="1" applyProtection="1">
      <alignment horizontal="center" vertical="center" wrapText="1"/>
    </xf>
    <xf numFmtId="170" fontId="53" fillId="2" borderId="2" xfId="0" applyNumberFormat="1" applyFont="1" applyFill="1" applyBorder="1" applyAlignment="1" applyProtection="1">
      <alignment horizontal="center" vertical="center" wrapText="1"/>
    </xf>
    <xf numFmtId="9" fontId="0" fillId="0" borderId="1" xfId="0" applyNumberFormat="1" applyFont="1" applyFill="1" applyBorder="1" applyAlignment="1" applyProtection="1">
      <alignment horizontal="center" vertical="center"/>
      <protection locked="0"/>
    </xf>
  </cellXfs>
  <cellStyles count="47">
    <cellStyle name="20% - Akzent1" xfId="7"/>
    <cellStyle name="20% - Akzent2" xfId="8"/>
    <cellStyle name="20% - Akzent3" xfId="9"/>
    <cellStyle name="20% - Akzent4" xfId="10"/>
    <cellStyle name="20% - Akzent5" xfId="11"/>
    <cellStyle name="20% - Akzent6" xfId="12"/>
    <cellStyle name="40% - Akzent1" xfId="13"/>
    <cellStyle name="40% - Akzent2" xfId="14"/>
    <cellStyle name="40% - Akzent3" xfId="15"/>
    <cellStyle name="40% - Akzent4" xfId="16"/>
    <cellStyle name="40% - Akzent5" xfId="17"/>
    <cellStyle name="40% - Akzent6" xfId="18"/>
    <cellStyle name="60% - Akzent1" xfId="19"/>
    <cellStyle name="60% - Akzent2" xfId="20"/>
    <cellStyle name="60% - Akzent3" xfId="21"/>
    <cellStyle name="60% - Akzent4" xfId="22"/>
    <cellStyle name="60% - Akzent5" xfId="23"/>
    <cellStyle name="60% - Akzent6" xfId="24"/>
    <cellStyle name="Akzent1" xfId="25"/>
    <cellStyle name="Akzent2" xfId="26"/>
    <cellStyle name="Akzent3" xfId="27"/>
    <cellStyle name="Akzent4" xfId="28"/>
    <cellStyle name="Akzent5" xfId="29"/>
    <cellStyle name="Akzent6" xfId="30"/>
    <cellStyle name="Ausgabe" xfId="31"/>
    <cellStyle name="Berechnung" xfId="32"/>
    <cellStyle name="Eingabe" xfId="33"/>
    <cellStyle name="Ergebnis" xfId="34"/>
    <cellStyle name="Erklärender Text" xfId="35"/>
    <cellStyle name="Gut" xfId="36"/>
    <cellStyle name="Notiz" xfId="37"/>
    <cellStyle name="Schlecht" xfId="38"/>
    <cellStyle name="Standard_tankvolumen_c" xfId="5"/>
    <cellStyle name="Überschrift" xfId="39"/>
    <cellStyle name="Überschrift 1" xfId="40"/>
    <cellStyle name="Überschrift 2" xfId="41"/>
    <cellStyle name="Überschrift 3" xfId="42"/>
    <cellStyle name="Überschrift 4" xfId="43"/>
    <cellStyle name="Verknüpfte Zelle" xfId="44"/>
    <cellStyle name="Warnender Text" xfId="45"/>
    <cellStyle name="Zelle überprüfen" xfId="46"/>
    <cellStyle name="Κανονικό" xfId="0" builtinId="0"/>
    <cellStyle name="Κανονικό 2" xfId="1"/>
    <cellStyle name="Κανονικό 3" xfId="2"/>
    <cellStyle name="Κανονικό 4" xfId="6"/>
    <cellStyle name="Νόμισμα 2" xfId="3"/>
    <cellStyle name="Υπερ-σύνδεση" xfId="4" builtinId="8"/>
  </cellStyles>
  <dxfs count="5263">
    <dxf>
      <font>
        <condense val="0"/>
        <extend val="0"/>
        <color indexed="55"/>
      </font>
      <fill>
        <patternFill>
          <bgColor indexed="22"/>
        </patternFill>
      </fill>
      <border>
        <left style="thin">
          <color indexed="64"/>
        </left>
        <right style="thin">
          <color indexed="64"/>
        </right>
        <top style="thin">
          <color indexed="64"/>
        </top>
        <bottom style="thin">
          <color indexed="64"/>
        </bottom>
      </bord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002060"/>
      </font>
    </dxf>
    <dxf>
      <font>
        <condense val="0"/>
        <extend val="0"/>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fill>
        <patternFill>
          <bgColor theme="6" tint="0.39994506668294322"/>
        </patternFill>
      </fill>
    </dxf>
    <dxf>
      <font>
        <b/>
        <i val="0"/>
        <color rgb="FF002060"/>
      </font>
    </dxf>
    <dxf>
      <font>
        <condense val="0"/>
        <extend val="0"/>
        <color rgb="FF9C0006"/>
      </font>
    </dxf>
    <dxf>
      <font>
        <b/>
        <i val="0"/>
        <color rgb="FFFF0000"/>
      </font>
    </dxf>
    <dxf>
      <font>
        <b/>
        <i val="0"/>
        <color rgb="FFFF0000"/>
      </font>
    </dxf>
    <dxf>
      <font>
        <color rgb="FFFF0000"/>
      </font>
      <fill>
        <patternFill>
          <bgColor theme="6" tint="0.39994506668294322"/>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fill>
        <patternFill>
          <bgColor theme="6" tint="0.39994506668294322"/>
        </patternFill>
      </fill>
    </dxf>
    <dxf>
      <font>
        <b/>
        <i val="0"/>
        <color rgb="FF002060"/>
      </font>
    </dxf>
    <dxf>
      <font>
        <condense val="0"/>
        <extend val="0"/>
        <color rgb="FF9C0006"/>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charts/chart1.xml><?xml version="1.0" encoding="utf-8"?>
<c:chartSpace xmlns:c="http://schemas.openxmlformats.org/drawingml/2006/chart" xmlns:a="http://schemas.openxmlformats.org/drawingml/2006/main" xmlns:r="http://schemas.openxmlformats.org/officeDocument/2006/relationships">
  <c:lang val="el-GR"/>
  <c:chart>
    <c:view3D>
      <c:rotX val="30"/>
      <c:perspective val="30"/>
    </c:view3D>
    <c:plotArea>
      <c:layout>
        <c:manualLayout>
          <c:layoutTarget val="inner"/>
          <c:xMode val="edge"/>
          <c:yMode val="edge"/>
          <c:x val="6.4382728794024582E-2"/>
          <c:y val="1.1076549315633368E-2"/>
          <c:w val="0.77318021121560065"/>
          <c:h val="0.98519309053311466"/>
        </c:manualLayout>
      </c:layout>
      <c:pie3DChart>
        <c:varyColors val="1"/>
        <c:ser>
          <c:idx val="0"/>
          <c:order val="0"/>
          <c:dLbls>
            <c:showVal val="1"/>
            <c:showCatName val="1"/>
            <c:showPercent val="1"/>
            <c:showLeaderLines val="1"/>
          </c:dLbls>
          <c:cat>
            <c:strRef>
              <c:f>Συνέλευση!$C$5:$C$16</c:f>
              <c:strCache>
                <c:ptCount val="12"/>
                <c:pt idx="0">
                  <c:v>ΔΕΗ Κοινόχρηστων Χώρων</c:v>
                </c:pt>
                <c:pt idx="1">
                  <c:v>Καθαρισμός Κοινόχρηστων Χώρων</c:v>
                </c:pt>
                <c:pt idx="2">
                  <c:v>Υλικά Αναλώσιμα (Λάμπες κλπ)</c:v>
                </c:pt>
                <c:pt idx="3">
                  <c:v>Συντήρηση Ανελκυστήρα</c:v>
                </c:pt>
                <c:pt idx="4">
                  <c:v>Συντήρηση Κήπου</c:v>
                </c:pt>
                <c:pt idx="5">
                  <c:v>ΕΥΔΑΠ (Νερό) Κοινόχρηστων Χώρων</c:v>
                </c:pt>
                <c:pt idx="6">
                  <c:v>Πετρέλαιο Αυτόνομης Θέρμανσης</c:v>
                </c:pt>
                <c:pt idx="7">
                  <c:v>Συντήρηση Καυστήρα</c:v>
                </c:pt>
                <c:pt idx="8">
                  <c:v>Συντήρηση Πολυκατοικίας</c:v>
                </c:pt>
                <c:pt idx="9">
                  <c:v>Πάγιο Αποθεματικό</c:v>
                </c:pt>
                <c:pt idx="10">
                  <c:v>Αμοιβή Διαχειριστή</c:v>
                </c:pt>
                <c:pt idx="11">
                  <c:v>Έκδοση Κοινοχρήστων</c:v>
                </c:pt>
              </c:strCache>
            </c:strRef>
          </c:cat>
          <c:val>
            <c:numRef>
              <c:f>Συνέλευση!$Q$5:$Q$16</c:f>
              <c:numCache>
                <c:formatCode>#,##0</c:formatCode>
                <c:ptCount val="12"/>
                <c:pt idx="0">
                  <c:v>100</c:v>
                </c:pt>
                <c:pt idx="1">
                  <c:v>70</c:v>
                </c:pt>
                <c:pt idx="2">
                  <c:v>10</c:v>
                </c:pt>
                <c:pt idx="3">
                  <c:v>50</c:v>
                </c:pt>
                <c:pt idx="4">
                  <c:v>60</c:v>
                </c:pt>
                <c:pt idx="5">
                  <c:v>20</c:v>
                </c:pt>
                <c:pt idx="6">
                  <c:v>1090</c:v>
                </c:pt>
                <c:pt idx="7">
                  <c:v>70</c:v>
                </c:pt>
                <c:pt idx="8">
                  <c:v>100</c:v>
                </c:pt>
                <c:pt idx="9">
                  <c:v>200</c:v>
                </c:pt>
                <c:pt idx="10">
                  <c:v>80</c:v>
                </c:pt>
                <c:pt idx="11">
                  <c:v>20</c:v>
                </c:pt>
              </c:numCache>
            </c:numRef>
          </c:val>
        </c:ser>
      </c:pie3DChart>
    </c:plotArea>
    <c:legend>
      <c:legendPos val="r"/>
      <c:layout>
        <c:manualLayout>
          <c:xMode val="edge"/>
          <c:yMode val="edge"/>
          <c:x val="8.0467989098918606E-3"/>
          <c:y val="0.90496330520668256"/>
          <c:w val="0.98359374537184407"/>
          <c:h val="8.9981562222077746E-2"/>
        </c:manualLayout>
      </c:layout>
      <c:txPr>
        <a:bodyPr/>
        <a:lstStyle/>
        <a:p>
          <a:pPr rtl="0">
            <a:defRPr sz="800" baseline="0"/>
          </a:pPr>
          <a:endParaRPr lang="el-GR"/>
        </a:p>
      </c:txPr>
    </c:legend>
    <c:plotVisOnly val="1"/>
  </c:chart>
  <c:printSettings>
    <c:headerFooter/>
    <c:pageMargins b="0.75000000000000988" l="0.70000000000000062" r="0.70000000000000062" t="0.75000000000000988"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928;&#923;&#927;&#919;&#915;&#919;&#931;&#919;!A1"/></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9.gif"/></Relationships>
</file>

<file path=xl/drawings/_rels/drawing2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3.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12.jpeg"/><Relationship Id="rId1" Type="http://schemas.openxmlformats.org/officeDocument/2006/relationships/image" Target="../media/image11.jpeg"/><Relationship Id="rId4" Type="http://schemas.openxmlformats.org/officeDocument/2006/relationships/image" Target="../media/image1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5.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media/image16.jpeg"/><Relationship Id="rId1" Type="http://schemas.openxmlformats.org/officeDocument/2006/relationships/hyperlink" Target="#&#928;&#923;&#927;&#919;&#915;&#919;&#931;&#919;!A1"/></Relationships>
</file>

<file path=xl/drawings/drawing1.xml><?xml version="1.0" encoding="utf-8"?>
<xdr:wsDr xmlns:xdr="http://schemas.openxmlformats.org/drawingml/2006/spreadsheetDrawing" xmlns:a="http://schemas.openxmlformats.org/drawingml/2006/main">
  <xdr:twoCellAnchor editAs="oneCell">
    <xdr:from>
      <xdr:col>0</xdr:col>
      <xdr:colOff>34925</xdr:colOff>
      <xdr:row>0</xdr:row>
      <xdr:rowOff>11905</xdr:rowOff>
    </xdr:from>
    <xdr:to>
      <xdr:col>2</xdr:col>
      <xdr:colOff>56029</xdr:colOff>
      <xdr:row>4</xdr:row>
      <xdr:rowOff>357186</xdr:rowOff>
    </xdr:to>
    <xdr:pic>
      <xdr:nvPicPr>
        <xdr:cNvPr id="2" name="1 - Εικόνα" descr="IMAGE_420.jpg">
          <a:hlinkClick xmlns:r="http://schemas.openxmlformats.org/officeDocument/2006/relationships" r:id="rId1" tooltip="Επιστροφή στην ΠΛΟΗΓΗΣΗ"/>
        </xdr:cNvPr>
        <xdr:cNvPicPr>
          <a:picLocks noChangeAspect="1"/>
        </xdr:cNvPicPr>
      </xdr:nvPicPr>
      <xdr:blipFill>
        <a:blip xmlns:r="http://schemas.openxmlformats.org/officeDocument/2006/relationships" r:embed="rId2" cstate="print"/>
        <a:stretch>
          <a:fillRect/>
        </a:stretch>
      </xdr:blipFill>
      <xdr:spPr>
        <a:xfrm>
          <a:off x="34925" y="11905"/>
          <a:ext cx="2414260" cy="2333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38100</xdr:colOff>
      <xdr:row>0</xdr:row>
      <xdr:rowOff>19050</xdr:rowOff>
    </xdr:from>
    <xdr:to>
      <xdr:col>21</xdr:col>
      <xdr:colOff>571500</xdr:colOff>
      <xdr:row>7</xdr:row>
      <xdr:rowOff>133350</xdr:rowOff>
    </xdr:to>
    <xdr:pic>
      <xdr:nvPicPr>
        <xdr:cNvPr id="3" name="2 - Εικόνα" descr="IMAGE_420.jpg"/>
        <xdr:cNvPicPr>
          <a:picLocks noChangeAspect="1"/>
        </xdr:cNvPicPr>
      </xdr:nvPicPr>
      <xdr:blipFill>
        <a:blip xmlns:r="http://schemas.openxmlformats.org/officeDocument/2006/relationships" r:embed="rId1" cstate="print"/>
        <a:stretch>
          <a:fillRect/>
        </a:stretch>
      </xdr:blipFill>
      <xdr:spPr>
        <a:xfrm>
          <a:off x="6781800" y="19050"/>
          <a:ext cx="2543175" cy="175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2</xdr:rowOff>
    </xdr:from>
    <xdr:to>
      <xdr:col>2</xdr:col>
      <xdr:colOff>508000</xdr:colOff>
      <xdr:row>0</xdr:row>
      <xdr:rowOff>678734</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19050" y="2"/>
          <a:ext cx="1371600" cy="6787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52918</xdr:colOff>
      <xdr:row>0</xdr:row>
      <xdr:rowOff>28575</xdr:rowOff>
    </xdr:from>
    <xdr:to>
      <xdr:col>15</xdr:col>
      <xdr:colOff>402167</xdr:colOff>
      <xdr:row>20</xdr:row>
      <xdr:rowOff>74083</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5894918" y="28575"/>
          <a:ext cx="3323166" cy="25855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3</xdr:col>
      <xdr:colOff>228600</xdr:colOff>
      <xdr:row>0</xdr:row>
      <xdr:rowOff>781050</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19050" y="9525"/>
          <a:ext cx="1390650" cy="77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3</xdr:col>
      <xdr:colOff>216597</xdr:colOff>
      <xdr:row>0</xdr:row>
      <xdr:rowOff>1162050</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23813" y="0"/>
          <a:ext cx="1478659" cy="1162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12262</xdr:colOff>
      <xdr:row>0</xdr:row>
      <xdr:rowOff>19050</xdr:rowOff>
    </xdr:from>
    <xdr:to>
      <xdr:col>1</xdr:col>
      <xdr:colOff>597338</xdr:colOff>
      <xdr:row>0</xdr:row>
      <xdr:rowOff>771525</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12262" y="19050"/>
          <a:ext cx="864022"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4410</xdr:rowOff>
    </xdr:from>
    <xdr:to>
      <xdr:col>2</xdr:col>
      <xdr:colOff>600075</xdr:colOff>
      <xdr:row>0</xdr:row>
      <xdr:rowOff>776639</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twoCellAnchor editAs="oneCell">
    <xdr:from>
      <xdr:col>0</xdr:col>
      <xdr:colOff>0</xdr:colOff>
      <xdr:row>25</xdr:row>
      <xdr:rowOff>4410</xdr:rowOff>
    </xdr:from>
    <xdr:to>
      <xdr:col>2</xdr:col>
      <xdr:colOff>600075</xdr:colOff>
      <xdr:row>25</xdr:row>
      <xdr:rowOff>776639</xdr:rowOff>
    </xdr:to>
    <xdr:pic>
      <xdr:nvPicPr>
        <xdr:cNvPr id="4" name="3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6" name="5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7" name="6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6" name="5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7" name="6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6" name="5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7" name="6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6" name="5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7" name="6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3" name="2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3" name="2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3" name="2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3" name="2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3" name="2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25</xdr:row>
      <xdr:rowOff>4410</xdr:rowOff>
    </xdr:from>
    <xdr:to>
      <xdr:col>2</xdr:col>
      <xdr:colOff>600075</xdr:colOff>
      <xdr:row>25</xdr:row>
      <xdr:rowOff>776639</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0" y="5386035"/>
          <a:ext cx="1371600" cy="772229"/>
        </a:xfrm>
        <a:prstGeom prst="rect">
          <a:avLst/>
        </a:prstGeom>
      </xdr:spPr>
    </xdr:pic>
    <xdr:clientData/>
  </xdr:twoCellAnchor>
  <xdr:twoCellAnchor editAs="oneCell">
    <xdr:from>
      <xdr:col>0</xdr:col>
      <xdr:colOff>0</xdr:colOff>
      <xdr:row>0</xdr:row>
      <xdr:rowOff>4410</xdr:rowOff>
    </xdr:from>
    <xdr:to>
      <xdr:col>2</xdr:col>
      <xdr:colOff>600075</xdr:colOff>
      <xdr:row>0</xdr:row>
      <xdr:rowOff>776639</xdr:rowOff>
    </xdr:to>
    <xdr:pic>
      <xdr:nvPicPr>
        <xdr:cNvPr id="3" name="2 - Εικόνα" descr="IMAGE_420.jpg"/>
        <xdr:cNvPicPr>
          <a:picLocks noChangeAspect="1"/>
        </xdr:cNvPicPr>
      </xdr:nvPicPr>
      <xdr:blipFill>
        <a:blip xmlns:r="http://schemas.openxmlformats.org/officeDocument/2006/relationships" r:embed="rId1" cstate="print"/>
        <a:stretch>
          <a:fillRect/>
        </a:stretch>
      </xdr:blipFill>
      <xdr:spPr>
        <a:xfrm>
          <a:off x="0" y="4410"/>
          <a:ext cx="1371600" cy="7722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2</xdr:col>
      <xdr:colOff>363834</xdr:colOff>
      <xdr:row>0</xdr:row>
      <xdr:rowOff>771523</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9525" y="19050"/>
          <a:ext cx="1125834" cy="75247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13</xdr:col>
      <xdr:colOff>9525</xdr:colOff>
      <xdr:row>7</xdr:row>
      <xdr:rowOff>47625</xdr:rowOff>
    </xdr:to>
    <xdr:pic>
      <xdr:nvPicPr>
        <xdr:cNvPr id="2" name="1 - Εικόνα" descr="76-Κυλινδρική-Δεξαμενή-Πετρελαίου.gif"/>
        <xdr:cNvPicPr>
          <a:picLocks noChangeAspect="1"/>
        </xdr:cNvPicPr>
      </xdr:nvPicPr>
      <xdr:blipFill>
        <a:blip xmlns:r="http://schemas.openxmlformats.org/officeDocument/2006/relationships" r:embed="rId1" cstate="print"/>
        <a:stretch>
          <a:fillRect/>
        </a:stretch>
      </xdr:blipFill>
      <xdr:spPr>
        <a:xfrm>
          <a:off x="8639175" y="0"/>
          <a:ext cx="1905000" cy="16002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17318</xdr:colOff>
      <xdr:row>0</xdr:row>
      <xdr:rowOff>17046</xdr:rowOff>
    </xdr:from>
    <xdr:to>
      <xdr:col>3</xdr:col>
      <xdr:colOff>266610</xdr:colOff>
      <xdr:row>0</xdr:row>
      <xdr:rowOff>1304925</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17318" y="17046"/>
          <a:ext cx="1539497" cy="128787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47624</xdr:colOff>
      <xdr:row>50</xdr:row>
      <xdr:rowOff>59531</xdr:rowOff>
    </xdr:from>
    <xdr:to>
      <xdr:col>19</xdr:col>
      <xdr:colOff>419100</xdr:colOff>
      <xdr:row>80</xdr:row>
      <xdr:rowOff>35718</xdr:rowOff>
    </xdr:to>
    <xdr:graphicFrame macro="">
      <xdr:nvGraphicFramePr>
        <xdr:cNvPr id="2" name="1 - Γράφημα"/>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62</xdr:row>
      <xdr:rowOff>1</xdr:rowOff>
    </xdr:from>
    <xdr:to>
      <xdr:col>8</xdr:col>
      <xdr:colOff>461211</xdr:colOff>
      <xdr:row>79</xdr:row>
      <xdr:rowOff>250659</xdr:rowOff>
    </xdr:to>
    <xdr:pic>
      <xdr:nvPicPr>
        <xdr:cNvPr id="2" name="1 - Εικόνα" descr="CIMG1167.JPG"/>
        <xdr:cNvPicPr>
          <a:picLocks noChangeAspect="1"/>
        </xdr:cNvPicPr>
      </xdr:nvPicPr>
      <xdr:blipFill>
        <a:blip xmlns:r="http://schemas.openxmlformats.org/officeDocument/2006/relationships" r:embed="rId1" cstate="print"/>
        <a:stretch>
          <a:fillRect/>
        </a:stretch>
      </xdr:blipFill>
      <xdr:spPr>
        <a:xfrm>
          <a:off x="0" y="7389396"/>
          <a:ext cx="4652211" cy="3489158"/>
        </a:xfrm>
        <a:prstGeom prst="rect">
          <a:avLst/>
        </a:prstGeom>
      </xdr:spPr>
    </xdr:pic>
    <xdr:clientData/>
  </xdr:twoCellAnchor>
  <xdr:twoCellAnchor editAs="oneCell">
    <xdr:from>
      <xdr:col>8</xdr:col>
      <xdr:colOff>501317</xdr:colOff>
      <xdr:row>62</xdr:row>
      <xdr:rowOff>0</xdr:rowOff>
    </xdr:from>
    <xdr:to>
      <xdr:col>16</xdr:col>
      <xdr:colOff>741948</xdr:colOff>
      <xdr:row>79</xdr:row>
      <xdr:rowOff>250658</xdr:rowOff>
    </xdr:to>
    <xdr:pic>
      <xdr:nvPicPr>
        <xdr:cNvPr id="3" name="2 - Εικόνα" descr="CIMG1166.JPG"/>
        <xdr:cNvPicPr>
          <a:picLocks noChangeAspect="1"/>
        </xdr:cNvPicPr>
      </xdr:nvPicPr>
      <xdr:blipFill>
        <a:blip xmlns:r="http://schemas.openxmlformats.org/officeDocument/2006/relationships" r:embed="rId2" cstate="print"/>
        <a:stretch>
          <a:fillRect/>
        </a:stretch>
      </xdr:blipFill>
      <xdr:spPr>
        <a:xfrm>
          <a:off x="4692317" y="7389395"/>
          <a:ext cx="4652210" cy="3489158"/>
        </a:xfrm>
        <a:prstGeom prst="rect">
          <a:avLst/>
        </a:prstGeom>
      </xdr:spPr>
    </xdr:pic>
    <xdr:clientData/>
  </xdr:twoCellAnchor>
  <xdr:twoCellAnchor editAs="oneCell">
    <xdr:from>
      <xdr:col>0</xdr:col>
      <xdr:colOff>2</xdr:colOff>
      <xdr:row>81</xdr:row>
      <xdr:rowOff>30079</xdr:rowOff>
    </xdr:from>
    <xdr:to>
      <xdr:col>8</xdr:col>
      <xdr:colOff>461211</xdr:colOff>
      <xdr:row>99</xdr:row>
      <xdr:rowOff>90236</xdr:rowOff>
    </xdr:to>
    <xdr:pic>
      <xdr:nvPicPr>
        <xdr:cNvPr id="4" name="3 - Εικόνα" descr="CIMG1169.JPG"/>
        <xdr:cNvPicPr>
          <a:picLocks noChangeAspect="1"/>
        </xdr:cNvPicPr>
      </xdr:nvPicPr>
      <xdr:blipFill>
        <a:blip xmlns:r="http://schemas.openxmlformats.org/officeDocument/2006/relationships" r:embed="rId3" cstate="print"/>
        <a:stretch>
          <a:fillRect/>
        </a:stretch>
      </xdr:blipFill>
      <xdr:spPr>
        <a:xfrm>
          <a:off x="2" y="11089105"/>
          <a:ext cx="4652209" cy="3489157"/>
        </a:xfrm>
        <a:prstGeom prst="rect">
          <a:avLst/>
        </a:prstGeom>
      </xdr:spPr>
    </xdr:pic>
    <xdr:clientData/>
  </xdr:twoCellAnchor>
  <xdr:twoCellAnchor editAs="oneCell">
    <xdr:from>
      <xdr:col>8</xdr:col>
      <xdr:colOff>501317</xdr:colOff>
      <xdr:row>81</xdr:row>
      <xdr:rowOff>30078</xdr:rowOff>
    </xdr:from>
    <xdr:to>
      <xdr:col>16</xdr:col>
      <xdr:colOff>741949</xdr:colOff>
      <xdr:row>99</xdr:row>
      <xdr:rowOff>90236</xdr:rowOff>
    </xdr:to>
    <xdr:pic>
      <xdr:nvPicPr>
        <xdr:cNvPr id="5" name="4 - Εικόνα" descr="CIMG1170.JPG"/>
        <xdr:cNvPicPr>
          <a:picLocks noChangeAspect="1"/>
        </xdr:cNvPicPr>
      </xdr:nvPicPr>
      <xdr:blipFill>
        <a:blip xmlns:r="http://schemas.openxmlformats.org/officeDocument/2006/relationships" r:embed="rId4" cstate="print"/>
        <a:stretch>
          <a:fillRect/>
        </a:stretch>
      </xdr:blipFill>
      <xdr:spPr>
        <a:xfrm>
          <a:off x="4692317" y="11089104"/>
          <a:ext cx="4652211" cy="348915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4</xdr:col>
      <xdr:colOff>235688</xdr:colOff>
      <xdr:row>0</xdr:row>
      <xdr:rowOff>1248344</xdr:rowOff>
    </xdr:to>
    <xdr:pic>
      <xdr:nvPicPr>
        <xdr:cNvPr id="2" name="1 - Εικόνα" descr="IMAGE_420.jpg"/>
        <xdr:cNvPicPr>
          <a:picLocks noChangeAspect="1"/>
        </xdr:cNvPicPr>
      </xdr:nvPicPr>
      <xdr:blipFill>
        <a:blip xmlns:r="http://schemas.openxmlformats.org/officeDocument/2006/relationships" r:embed="rId1" cstate="print"/>
        <a:stretch>
          <a:fillRect/>
        </a:stretch>
      </xdr:blipFill>
      <xdr:spPr>
        <a:xfrm>
          <a:off x="38100" y="0"/>
          <a:ext cx="1588238" cy="124834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28574</xdr:colOff>
      <xdr:row>0</xdr:row>
      <xdr:rowOff>0</xdr:rowOff>
    </xdr:from>
    <xdr:to>
      <xdr:col>4</xdr:col>
      <xdr:colOff>371475</xdr:colOff>
      <xdr:row>0</xdr:row>
      <xdr:rowOff>1552575</xdr:rowOff>
    </xdr:to>
    <xdr:pic>
      <xdr:nvPicPr>
        <xdr:cNvPr id="3" name="2 - Εικόνα" descr="IMAGE_420.jpg">
          <a:hlinkClick xmlns:r="http://schemas.openxmlformats.org/officeDocument/2006/relationships" r:id="rId1" tooltip="Επιστροφή στην ΠΛΟΗΓΗΣΗ."/>
        </xdr:cNvPr>
        <xdr:cNvPicPr>
          <a:picLocks noChangeAspect="1"/>
        </xdr:cNvPicPr>
      </xdr:nvPicPr>
      <xdr:blipFill>
        <a:blip xmlns:r="http://schemas.openxmlformats.org/officeDocument/2006/relationships" r:embed="rId2" cstate="print"/>
        <a:stretch>
          <a:fillRect/>
        </a:stretch>
      </xdr:blipFill>
      <xdr:spPr>
        <a:xfrm>
          <a:off x="28574" y="0"/>
          <a:ext cx="3552826" cy="1552575"/>
        </a:xfrm>
        <a:prstGeom prst="rect">
          <a:avLst/>
        </a:prstGeom>
      </xdr:spPr>
    </xdr:pic>
    <xdr:clientData/>
  </xdr:twoCellAnchor>
  <xdr:twoCellAnchor editAs="oneCell">
    <xdr:from>
      <xdr:col>0</xdr:col>
      <xdr:colOff>0</xdr:colOff>
      <xdr:row>45</xdr:row>
      <xdr:rowOff>38100</xdr:rowOff>
    </xdr:from>
    <xdr:to>
      <xdr:col>4</xdr:col>
      <xdr:colOff>266700</xdr:colOff>
      <xdr:row>45</xdr:row>
      <xdr:rowOff>1552575</xdr:rowOff>
    </xdr:to>
    <xdr:pic>
      <xdr:nvPicPr>
        <xdr:cNvPr id="4" name="3 - Εικόνα" descr="IMAGE_420.jpg"/>
        <xdr:cNvPicPr>
          <a:picLocks noChangeAspect="1"/>
        </xdr:cNvPicPr>
      </xdr:nvPicPr>
      <xdr:blipFill>
        <a:blip xmlns:r="http://schemas.openxmlformats.org/officeDocument/2006/relationships" r:embed="rId3" cstate="print"/>
        <a:stretch>
          <a:fillRect/>
        </a:stretch>
      </xdr:blipFill>
      <xdr:spPr>
        <a:xfrm>
          <a:off x="0" y="12458700"/>
          <a:ext cx="3476625" cy="1514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otis/Dropbox/0-ofotis/Fotis/Kinohrista/&#933;&#960;&#972;&#955;&#959;&#953;&#960;&#945;/Horiz_Cylinder_Volume.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1 (2)"/>
      <sheetName val="Sheet1 (3)"/>
      <sheetName val="Λίτρα"/>
      <sheetName val="Δεξαμενή"/>
    </sheetNames>
    <sheetDataSet>
      <sheetData sheetId="0">
        <row r="5">
          <cell r="A5">
            <v>620</v>
          </cell>
          <cell r="D5">
            <v>1240</v>
          </cell>
        </row>
        <row r="6">
          <cell r="A6">
            <v>-0.9838709677419355</v>
          </cell>
          <cell r="D6">
            <v>1680</v>
          </cell>
        </row>
        <row r="7">
          <cell r="A7">
            <v>2.9617450662921248</v>
          </cell>
          <cell r="D7">
            <v>1230</v>
          </cell>
        </row>
        <row r="8">
          <cell r="A8">
            <v>1206147.0761717902</v>
          </cell>
          <cell r="D8">
            <v>70</v>
          </cell>
        </row>
      </sheetData>
      <sheetData sheetId="1"/>
      <sheetData sheetId="2"/>
      <sheetData sheetId="3"/>
      <sheetData sheetId="4"/>
    </sheetDataSet>
  </externalBook>
</externalLink>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bin"/><Relationship Id="rId1" Type="http://schemas.openxmlformats.org/officeDocument/2006/relationships/hyperlink" Target="http://dorean-free.blogspot.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comments" Target="../comments3.xml"/><Relationship Id="rId2" Type="http://schemas.openxmlformats.org/officeDocument/2006/relationships/hyperlink" Target="http://users.sch.gr/geoman22/index2.htm" TargetMode="External"/><Relationship Id="rId1" Type="http://schemas.openxmlformats.org/officeDocument/2006/relationships/hyperlink" Target="http://www.red-bag.com/engintools/hortankvol.php" TargetMode="External"/><Relationship Id="rId6" Type="http://schemas.openxmlformats.org/officeDocument/2006/relationships/vmlDrawing" Target="../drawings/vmlDrawing3.vml"/><Relationship Id="rId5" Type="http://schemas.openxmlformats.org/officeDocument/2006/relationships/drawing" Target="../drawings/drawing2.xml"/><Relationship Id="rId4"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7.bin"/><Relationship Id="rId1" Type="http://schemas.openxmlformats.org/officeDocument/2006/relationships/printerSettings" Target="../printerSettings/printerSettings7.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comments" Target="../comments6.xml"/><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5" Type="http://schemas.openxmlformats.org/officeDocument/2006/relationships/drawing" Target="../drawings/drawing9.xml"/><Relationship Id="rId4"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5" Type="http://schemas.openxmlformats.org/officeDocument/2006/relationships/drawing" Target="../drawings/drawing10.xml"/><Relationship Id="rId4"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5" Type="http://schemas.openxmlformats.org/officeDocument/2006/relationships/drawing" Target="../drawings/drawing11.xml"/><Relationship Id="rId4"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5" Type="http://schemas.openxmlformats.org/officeDocument/2006/relationships/drawing" Target="../drawings/drawing12.xml"/><Relationship Id="rId4"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5" Type="http://schemas.openxmlformats.org/officeDocument/2006/relationships/drawing" Target="../drawings/drawing13.xml"/><Relationship Id="rId4"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4"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4"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4"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4"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lavrio.web.officelive.com/kinohrista.aspx" TargetMode="External"/><Relationship Id="rId1" Type="http://schemas.openxmlformats.org/officeDocument/2006/relationships/hyperlink" Target="http://lavrio.web.officelive.com/kinohrista.aspx" TargetMode="External"/><Relationship Id="rId4"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customProperty" Target="../customProperty16.bin"/><Relationship Id="rId1" Type="http://schemas.openxmlformats.org/officeDocument/2006/relationships/printerSettings" Target="../printerSettings/printerSettings21.bin"/><Relationship Id="rId4" Type="http://schemas.openxmlformats.org/officeDocument/2006/relationships/comments" Target="../comments7.xml"/></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0.xml"/><Relationship Id="rId1" Type="http://schemas.openxmlformats.org/officeDocument/2006/relationships/printerSettings" Target="../printerSettings/printerSettings25.bin"/><Relationship Id="rId4" Type="http://schemas.openxmlformats.org/officeDocument/2006/relationships/comments" Target="../comments8.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customProperty" Target="../customProperty19.bin"/><Relationship Id="rId1" Type="http://schemas.openxmlformats.org/officeDocument/2006/relationships/printerSettings" Target="../printerSettings/printerSettings27.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customProperty" Target="../customProperty21.bin"/><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customProperty" Target="../customProperty23.bin"/><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customProperty" Target="../customProperty24.bin"/><Relationship Id="rId1" Type="http://schemas.openxmlformats.org/officeDocument/2006/relationships/printerSettings" Target="../printerSettings/printerSettings32.bin"/><Relationship Id="rId4" Type="http://schemas.openxmlformats.org/officeDocument/2006/relationships/comments" Target="../comments11.x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customProperty" Target="../customProperty25.bin"/><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customProperty" Target="../customProperty26.bin"/><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sheetPr codeName="Φύλλο1">
    <tabColor rgb="FFFFFF00"/>
  </sheetPr>
  <dimension ref="A1:E42"/>
  <sheetViews>
    <sheetView tabSelected="1" workbookViewId="0">
      <selection sqref="A1:C1"/>
    </sheetView>
  </sheetViews>
  <sheetFormatPr defaultColWidth="9.140625" defaultRowHeight="15"/>
  <cols>
    <col min="1" max="1" width="4.140625" style="104" customWidth="1"/>
    <col min="2" max="2" width="105.140625" style="104" customWidth="1"/>
    <col min="3" max="3" width="28.28515625" style="104" customWidth="1"/>
    <col min="4" max="4" width="3.7109375" style="641" customWidth="1"/>
    <col min="5" max="5" width="24.5703125" style="641" bestFit="1" customWidth="1"/>
    <col min="6" max="16384" width="9.140625" style="104"/>
  </cols>
  <sheetData>
    <row r="1" spans="1:5" ht="39.950000000000003" customHeight="1">
      <c r="A1" s="669" t="s">
        <v>548</v>
      </c>
      <c r="B1" s="669"/>
      <c r="C1" s="669"/>
      <c r="E1" s="664" t="s">
        <v>617</v>
      </c>
    </row>
    <row r="2" spans="1:5" ht="36">
      <c r="A2" s="668" t="s">
        <v>299</v>
      </c>
      <c r="B2" s="668"/>
      <c r="C2" s="668"/>
      <c r="E2" s="665"/>
    </row>
    <row r="3" spans="1:5" s="245" customFormat="1" ht="15.75">
      <c r="A3" s="248" t="s">
        <v>24</v>
      </c>
      <c r="B3" s="249" t="s">
        <v>455</v>
      </c>
      <c r="C3" s="249" t="s">
        <v>224</v>
      </c>
    </row>
    <row r="4" spans="1:5" s="245" customFormat="1" ht="15.75">
      <c r="A4" s="250">
        <v>1</v>
      </c>
      <c r="B4" s="181" t="s">
        <v>241</v>
      </c>
      <c r="C4" s="250" t="s">
        <v>242</v>
      </c>
    </row>
    <row r="5" spans="1:5" s="245" customFormat="1" ht="15.75">
      <c r="A5" s="251">
        <f>A4+1</f>
        <v>2</v>
      </c>
      <c r="B5" s="229" t="s">
        <v>451</v>
      </c>
      <c r="C5" s="251" t="s">
        <v>452</v>
      </c>
    </row>
    <row r="6" spans="1:5" s="245" customFormat="1" ht="15.75">
      <c r="A6" s="250">
        <f>A5+1</f>
        <v>3</v>
      </c>
      <c r="B6" s="182" t="s">
        <v>246</v>
      </c>
      <c r="C6" s="250" t="s">
        <v>245</v>
      </c>
    </row>
    <row r="7" spans="1:5" s="241" customFormat="1" ht="12.75">
      <c r="A7" s="250">
        <f t="shared" ref="A7:A23" si="0">A6+1</f>
        <v>4</v>
      </c>
      <c r="B7" s="183" t="s">
        <v>243</v>
      </c>
      <c r="C7" s="250" t="s">
        <v>223</v>
      </c>
      <c r="D7" s="642"/>
      <c r="E7" s="640" t="s">
        <v>609</v>
      </c>
    </row>
    <row r="8" spans="1:5" s="241" customFormat="1" ht="12.75">
      <c r="A8" s="250">
        <f t="shared" si="0"/>
        <v>5</v>
      </c>
      <c r="B8" s="183" t="s">
        <v>228</v>
      </c>
      <c r="C8" s="250" t="s">
        <v>226</v>
      </c>
      <c r="D8" s="642"/>
      <c r="E8" s="642"/>
    </row>
    <row r="9" spans="1:5" s="241" customFormat="1" ht="12.75">
      <c r="A9" s="250">
        <f t="shared" si="0"/>
        <v>6</v>
      </c>
      <c r="B9" s="183" t="s">
        <v>244</v>
      </c>
      <c r="C9" s="250" t="s">
        <v>223</v>
      </c>
      <c r="D9" s="642"/>
      <c r="E9" s="642"/>
    </row>
    <row r="10" spans="1:5" s="241" customFormat="1" ht="12.75">
      <c r="A10" s="250">
        <f t="shared" si="0"/>
        <v>7</v>
      </c>
      <c r="B10" s="183" t="s">
        <v>230</v>
      </c>
      <c r="C10" s="250" t="s">
        <v>231</v>
      </c>
      <c r="D10" s="642"/>
      <c r="E10" s="642"/>
    </row>
    <row r="11" spans="1:5" s="241" customFormat="1" ht="12.75">
      <c r="A11" s="251">
        <f t="shared" si="0"/>
        <v>8</v>
      </c>
      <c r="B11" s="229" t="s">
        <v>232</v>
      </c>
      <c r="C11" s="251" t="s">
        <v>233</v>
      </c>
      <c r="D11" s="642"/>
      <c r="E11" s="642"/>
    </row>
    <row r="12" spans="1:5" s="241" customFormat="1" ht="12.75">
      <c r="A12" s="251">
        <f t="shared" si="0"/>
        <v>9</v>
      </c>
      <c r="B12" s="229" t="s">
        <v>435</v>
      </c>
      <c r="C12" s="251" t="s">
        <v>436</v>
      </c>
      <c r="D12" s="642"/>
      <c r="E12" s="642"/>
    </row>
    <row r="13" spans="1:5" s="241" customFormat="1" ht="12.75">
      <c r="A13" s="251">
        <f t="shared" si="0"/>
        <v>10</v>
      </c>
      <c r="B13" s="229" t="s">
        <v>457</v>
      </c>
      <c r="C13" s="251" t="s">
        <v>458</v>
      </c>
      <c r="D13" s="642"/>
      <c r="E13" s="642"/>
    </row>
    <row r="14" spans="1:5" s="241" customFormat="1" ht="12.75">
      <c r="A14" s="251">
        <f t="shared" si="0"/>
        <v>11</v>
      </c>
      <c r="B14" s="229" t="s">
        <v>437</v>
      </c>
      <c r="C14" s="251" t="s">
        <v>436</v>
      </c>
      <c r="D14" s="642"/>
      <c r="E14" s="642"/>
    </row>
    <row r="15" spans="1:5" s="241" customFormat="1" ht="12.75">
      <c r="A15" s="251">
        <f t="shared" si="0"/>
        <v>12</v>
      </c>
      <c r="B15" s="229" t="s">
        <v>438</v>
      </c>
      <c r="C15" s="251" t="s">
        <v>439</v>
      </c>
      <c r="D15" s="642"/>
      <c r="E15" s="642"/>
    </row>
    <row r="16" spans="1:5" s="241" customFormat="1" ht="12.75">
      <c r="A16" s="251">
        <f t="shared" si="0"/>
        <v>13</v>
      </c>
      <c r="B16" s="229" t="s">
        <v>440</v>
      </c>
      <c r="C16" s="251" t="s">
        <v>441</v>
      </c>
      <c r="D16" s="642"/>
      <c r="E16" s="642"/>
    </row>
    <row r="17" spans="1:5" s="241" customFormat="1" ht="12.75">
      <c r="A17" s="252">
        <f>A16+1</f>
        <v>14</v>
      </c>
      <c r="B17" s="231" t="s">
        <v>235</v>
      </c>
      <c r="C17" s="252" t="s">
        <v>234</v>
      </c>
      <c r="D17" s="642"/>
      <c r="E17" s="640" t="s">
        <v>610</v>
      </c>
    </row>
    <row r="18" spans="1:5" s="241" customFormat="1" ht="12.75">
      <c r="A18" s="252">
        <f t="shared" si="0"/>
        <v>15</v>
      </c>
      <c r="B18" s="231" t="s">
        <v>236</v>
      </c>
      <c r="C18" s="252" t="s">
        <v>234</v>
      </c>
      <c r="D18" s="642"/>
      <c r="E18" s="640" t="s">
        <v>611</v>
      </c>
    </row>
    <row r="19" spans="1:5" s="241" customFormat="1" ht="12.75">
      <c r="A19" s="252">
        <f t="shared" si="0"/>
        <v>16</v>
      </c>
      <c r="B19" s="231" t="s">
        <v>239</v>
      </c>
      <c r="C19" s="252" t="s">
        <v>240</v>
      </c>
      <c r="D19" s="642"/>
      <c r="E19" s="640" t="s">
        <v>611</v>
      </c>
    </row>
    <row r="20" spans="1:5" s="241" customFormat="1" ht="12.75">
      <c r="A20" s="253">
        <f t="shared" si="0"/>
        <v>17</v>
      </c>
      <c r="B20" s="233" t="s">
        <v>247</v>
      </c>
      <c r="C20" s="253" t="s">
        <v>248</v>
      </c>
      <c r="D20" s="642"/>
      <c r="E20" s="642"/>
    </row>
    <row r="21" spans="1:5" s="241" customFormat="1" ht="12.75">
      <c r="A21" s="253">
        <f t="shared" si="0"/>
        <v>18</v>
      </c>
      <c r="B21" s="232" t="s">
        <v>294</v>
      </c>
      <c r="C21" s="253" t="s">
        <v>295</v>
      </c>
      <c r="D21" s="642"/>
      <c r="E21" s="642"/>
    </row>
    <row r="22" spans="1:5" s="241" customFormat="1" ht="12.75">
      <c r="A22" s="252">
        <f t="shared" si="0"/>
        <v>19</v>
      </c>
      <c r="B22" s="231" t="s">
        <v>297</v>
      </c>
      <c r="C22" s="252" t="s">
        <v>298</v>
      </c>
      <c r="D22" s="642"/>
      <c r="E22" s="642"/>
    </row>
    <row r="23" spans="1:5" s="241" customFormat="1" ht="12.75">
      <c r="A23" s="253">
        <f t="shared" si="0"/>
        <v>20</v>
      </c>
      <c r="B23" s="232" t="s">
        <v>433</v>
      </c>
      <c r="C23" s="253" t="s">
        <v>434</v>
      </c>
      <c r="D23" s="642"/>
      <c r="E23" s="642"/>
    </row>
    <row r="24" spans="1:5" s="241" customFormat="1" ht="12.75">
      <c r="A24" s="254">
        <f>A23+1</f>
        <v>21</v>
      </c>
      <c r="B24" s="180" t="s">
        <v>249</v>
      </c>
      <c r="C24" s="254" t="s">
        <v>234</v>
      </c>
      <c r="D24" s="642"/>
      <c r="E24" s="642"/>
    </row>
    <row r="25" spans="1:5" s="241" customFormat="1" ht="12.75">
      <c r="A25" s="254">
        <f t="shared" ref="A25:A30" si="1">A24+1</f>
        <v>22</v>
      </c>
      <c r="B25" s="180" t="s">
        <v>250</v>
      </c>
      <c r="C25" s="254" t="s">
        <v>234</v>
      </c>
      <c r="D25" s="642"/>
      <c r="E25" s="642"/>
    </row>
    <row r="26" spans="1:5" s="241" customFormat="1" ht="12.75">
      <c r="A26" s="254">
        <f t="shared" si="1"/>
        <v>23</v>
      </c>
      <c r="B26" s="180" t="s">
        <v>251</v>
      </c>
      <c r="C26" s="254" t="s">
        <v>234</v>
      </c>
      <c r="D26" s="642"/>
      <c r="E26" s="642"/>
    </row>
    <row r="27" spans="1:5" s="241" customFormat="1" ht="12.75">
      <c r="A27" s="254">
        <f t="shared" si="1"/>
        <v>24</v>
      </c>
      <c r="B27" s="180" t="s">
        <v>252</v>
      </c>
      <c r="C27" s="254" t="s">
        <v>234</v>
      </c>
      <c r="D27" s="642"/>
      <c r="E27" s="642"/>
    </row>
    <row r="28" spans="1:5" s="241" customFormat="1" ht="12.75">
      <c r="A28" s="254">
        <f t="shared" si="1"/>
        <v>25</v>
      </c>
      <c r="B28" s="180" t="s">
        <v>253</v>
      </c>
      <c r="C28" s="254" t="s">
        <v>234</v>
      </c>
      <c r="D28" s="642"/>
      <c r="E28" s="642"/>
    </row>
    <row r="29" spans="1:5" s="241" customFormat="1" ht="12.75">
      <c r="A29" s="254">
        <f t="shared" si="1"/>
        <v>26</v>
      </c>
      <c r="B29" s="180" t="s">
        <v>612</v>
      </c>
      <c r="C29" s="254" t="s">
        <v>234</v>
      </c>
      <c r="D29" s="642"/>
      <c r="E29" s="642"/>
    </row>
    <row r="30" spans="1:5" s="241" customFormat="1" ht="12.75">
      <c r="A30" s="255">
        <f t="shared" si="1"/>
        <v>27</v>
      </c>
      <c r="B30" s="230" t="s">
        <v>296</v>
      </c>
      <c r="C30" s="255" t="s">
        <v>295</v>
      </c>
      <c r="D30" s="642"/>
      <c r="E30" s="642"/>
    </row>
    <row r="31" spans="1:5" ht="9.9499999999999993" customHeight="1">
      <c r="A31" s="673"/>
      <c r="B31" s="673"/>
      <c r="C31" s="673"/>
    </row>
    <row r="32" spans="1:5">
      <c r="A32" s="670" t="s">
        <v>227</v>
      </c>
      <c r="B32" s="670"/>
      <c r="C32" s="670"/>
    </row>
    <row r="33" spans="1:3" ht="9.9499999999999993" customHeight="1">
      <c r="A33" s="674"/>
      <c r="B33" s="674"/>
      <c r="C33" s="674"/>
    </row>
    <row r="34" spans="1:3" s="39" customFormat="1" ht="17.100000000000001" customHeight="1">
      <c r="A34" s="256">
        <v>1</v>
      </c>
      <c r="B34" s="257" t="s">
        <v>447</v>
      </c>
      <c r="C34" s="258" t="s">
        <v>442</v>
      </c>
    </row>
    <row r="35" spans="1:3" s="39" customFormat="1" ht="17.100000000000001" customHeight="1">
      <c r="A35" s="256">
        <v>2</v>
      </c>
      <c r="B35" s="257" t="s">
        <v>448</v>
      </c>
      <c r="C35" s="259" t="s">
        <v>443</v>
      </c>
    </row>
    <row r="36" spans="1:3" s="39" customFormat="1" ht="17.100000000000001" customHeight="1">
      <c r="A36" s="256">
        <v>3</v>
      </c>
      <c r="B36" s="257" t="s">
        <v>449</v>
      </c>
      <c r="C36" s="260" t="s">
        <v>444</v>
      </c>
    </row>
    <row r="37" spans="1:3" s="39" customFormat="1" ht="17.100000000000001" customHeight="1">
      <c r="A37" s="256">
        <v>4</v>
      </c>
      <c r="B37" s="257" t="s">
        <v>456</v>
      </c>
      <c r="C37" s="261" t="s">
        <v>445</v>
      </c>
    </row>
    <row r="38" spans="1:3" ht="9.9499999999999993" customHeight="1">
      <c r="A38" s="674"/>
      <c r="B38" s="674"/>
      <c r="C38" s="674"/>
    </row>
    <row r="39" spans="1:3" ht="30" customHeight="1">
      <c r="A39" s="675" t="s">
        <v>446</v>
      </c>
      <c r="B39" s="675"/>
      <c r="C39" s="675"/>
    </row>
    <row r="40" spans="1:3" s="246" customFormat="1" ht="253.5" customHeight="1">
      <c r="A40" s="676" t="s">
        <v>464</v>
      </c>
      <c r="B40" s="677"/>
      <c r="C40" s="678"/>
    </row>
    <row r="41" spans="1:3" ht="217.5" customHeight="1">
      <c r="A41" s="671" t="s">
        <v>450</v>
      </c>
      <c r="B41" s="672"/>
      <c r="C41" s="672"/>
    </row>
    <row r="42" spans="1:3" ht="41.25" customHeight="1">
      <c r="A42" s="666" t="s">
        <v>465</v>
      </c>
      <c r="B42" s="667"/>
      <c r="C42" s="667"/>
    </row>
  </sheetData>
  <sheetProtection password="E4A3" sheet="1" objects="1" scenarios="1"/>
  <mergeCells count="11">
    <mergeCell ref="E1:E2"/>
    <mergeCell ref="A42:C42"/>
    <mergeCell ref="A2:C2"/>
    <mergeCell ref="A1:C1"/>
    <mergeCell ref="A32:C32"/>
    <mergeCell ref="A41:C41"/>
    <mergeCell ref="A31:C31"/>
    <mergeCell ref="A33:C33"/>
    <mergeCell ref="A38:C38"/>
    <mergeCell ref="A39:C39"/>
    <mergeCell ref="A40:C40"/>
  </mergeCells>
  <hyperlinks>
    <hyperlink ref="B19" location="ΣΤΟΙΧΕΙΑ!A1" display="Καταχώριση Κοινόχρηστων Δαπανών του μήνα που τελειώνει, στα Λευκά Κελιά του μεσαίου Πίνακα."/>
    <hyperlink ref="B18" location="Ώρες!A1" display="Καταχώριση Ενδείξεων Ωρομετρητών Αυτόνομης Θέρμανσης στις 28 του μήνα."/>
    <hyperlink ref="B17" location="Πετρέλαιο!A1" display="Καταχώριση Στοιχείων Παραλαβής Πετρελαίου (αν υπάρχει) &amp; Καταχώρηση Ύψους Δεξαμενής Πετρελαίου στις 28 του μήνα."/>
    <hyperlink ref="B11" location="Πρακτικά!A1" display="Τροποποίηση Στοιχείων Πρακτικού Παράδοσης-Παραλαβής Διαχείρισης (αν επιθυμείτε, για αποφυγή προβλημάτων) στα Λευκά Κελιά."/>
    <hyperlink ref="B10" location="Πετρέλαιο!A1" display="Τροποποίηση-Καταχώριση Διαστάσεων Δεξαμενής Πετρελαίου στα Λευκά Κελιά του Πίνακα (πάνω αριστερά)."/>
    <hyperlink ref="B9" location="ΣΤΟΙΧΕΙΑ!A1" display="Τροποποίηση-Καταχώριση Γενικών Στοιχείων (Διαχειριστής, Διεύθυνση, Πετρελαιάς κλπ) στα (ανοιχτά) Πράσινα Κελιά του Πίνακα."/>
    <hyperlink ref="B8" location="ΣΤΟΙΧΕΙΑ!A1" display="Επιλογή Έτους &amp; Μήνα Εκκίνησης, για την Παρακολούθηση &amp; Εκτύπωση των Κοινοχρήστων μιας Πολυκατοικίας"/>
    <hyperlink ref="B7" location="Διαμερίσματα!A1" display="Καταχώρηση Στοιχείων Διαμερισμάτων (Ιδιοκτήτης, Ένοικος, Εμβαδόν, Όροφος, Χιλιοστά κλπ"/>
    <hyperlink ref="B4" location="Μελέτη!A1" display="Καταχώριση Στοιχείων Μηχανολόγου (Qολ-Qfi-Qai-Fεξi-Fπαρi &amp; ύψος ορόφου) για Δημιουργία ή Έλεγχο Μηχανολογικής Μελέτης Αυτόνομης Θέρμανσης."/>
    <hyperlink ref="B6" location="Δαπάνες!A1" display="Τροποποίηση (αν χρειάζεται) Κατηγοριών &amp; Υποκατηγοριών Κοινόχρηστων Δαπανών (ΔΕΗ, Νερό, Καθαριότητα κλπ) στα Λευκά Κελιά του Πίνακα."/>
    <hyperlink ref="B20" location="Σχόλια!A1" display="Καταχώριση Σχολίων-Πληροφοριών προς τους Ενοίκους, που θα εμφανίζονται στις 2 τελευταίες σειρές του Μηνιαίου Εντύπου Κοινοχρήστων."/>
    <hyperlink ref="B24" location="Σύνολα!A1" display="Μετακίνηση στην Έντυπη Κατάσταση Συνολικών Μηνιαίων Κοινοχρήστων, (ανά Ένοικο), για ΕΚΤΥΠΩΣΗ, για τον Πίνακα Ανακοινώσεων."/>
    <hyperlink ref="B25" location="'1-2'!A1" display="Μετακίνηση στις Καρτέλες με τα Ατομικά Μηνιαία Κοινόχρηστα των Ενοίκων, για ΕΚΤΥΠΩΣΗ, για τα Διαμερίσματα 1&amp;2."/>
    <hyperlink ref="B26" location="'3-4'!A1" display="Μετακίνηση στις Καρτέλες με τα Ατομικά Μηνιαία Κοινόχρηστα των Ενοίκων, για ΕΚΤΥΠΩΣΗ, για τα Διαμερίσματα 3&amp;4."/>
    <hyperlink ref="B27" location="'5-6'!A1" display="Μετακίνηση στις Καρτέλες με τα Ατομικά Μηνιαία Κοινόχρηστα των Ενοίκων, για ΕΚΤΥΠΩΣΗ, για τα Διαμερίσματα 5&amp;6."/>
    <hyperlink ref="B28" location="'7-8'!A1" display="Μετακίνηση στις Καρτέλες με τα Ατομικά Μηνιαία Κοινόχρηστα των Ενοίκων, για ΕΚΤΥΠΩΣΗ, για τα Διαμερίσματα 7&amp;8."/>
    <hyperlink ref="B29" location="'9-10'!A1" display="Μετακίνηση στις Καρτέλες με τα Ατομικά Μηνιαία Κοινόχρηστα των Ενοίκων, για ΕΚΤΥΠΩΣΗ, για τα Διαμερίσματα 9&amp;10."/>
    <hyperlink ref="A41:C41" r:id="rId1" display="http://dorean-free.blogspot.com/"/>
    <hyperlink ref="B21" location="Σχόλια!A1" display="Καταχώριση Αναλυτικής Ενημέρωσης προς τους Ενοίκους, που θα Εκτυπώνετε στο πίσω μέρος του Μηνιαίου Εντύπου Κοινοχρήστων."/>
    <hyperlink ref="B30" location="Ενημέρωση!A1" display="Μετακίνηση στην Καρτέλα με την Αναλυτική Ενημέρωση προς τους Ενοίκους, για ΕΚΤΥΠΩΣΗ, πίσω από το Μηνιαίο Έντυπο Κοινοχρήστων."/>
    <hyperlink ref="B22" location="Ταμείο!A1" display="Καταχώριση Προβλεπόμενων ΕΣΟΔΩΝ &amp; ΕΞΟΔΩΝ στο Ταμείο Διαχείρισης Πολυκατοικίας &amp; Τσεκάρισμα όταν Ολοκληρώνονται."/>
    <hyperlink ref="B23" location="Αναλώσιμα!A1" display="Τροποποίηση-Καταχώριση Αναλυτικά των Εξόδων για Αναλώσιμα Υλικά &amp; ότι δεν περιλαμβάνεται στις άλλες Κατηγορίες Δαπανών."/>
    <hyperlink ref="B14" location="Συνέλευση!A1" display="Τροποποίηση-Δημιουργία Ετήσιων Πινάκων Εξόδων-Εσόδων &amp; Γραφήματος Εξόδων, για παρουσίαση στην Ετήσια Συνέλευση."/>
    <hyperlink ref="B15" location="Ανελκυστήρας!A1" display="Τροποποίηση-Καταχώριση Στοιχείων Επισκέψεων Συντηρητή Ανελκυστήρα, για Έλεγχο τυχόν Εκκρεμοτήτων."/>
    <hyperlink ref="B16" location="Καπέλα!A1" display="Τροποποίηση-Δημιουργία Πίνακα για κάτι Έκτακτο, όπως π.χ. για την Ομαδική Τοποθέτηση &quot;Καπέλων&quot; Καμινάδων Τζακιών."/>
    <hyperlink ref="B5" location="Νομοθεσία!A1" display="Ενημέρωση για τη Νομοθεσία: Κανονισμός Κατανομής Δαπανών Κεντρικής Θέρμανσης, Π.Δ. 27-9/7-11-85 (ΦΕΚ-631 Δ')."/>
    <hyperlink ref="B13" location="Θέρμανση!A1" display="Στην Καρτέλα &quot;Θέρμανση&quot;, Υπολογίζεται η Αυτόνομη Θέρμανση, δηλαδή η Κατανομή του Πετρελαίου βάσει των Ωρών."/>
    <hyperlink ref="B12" location="Απολογισμός!A1" display="Τροποποίηση-Δημιουργία Απολογισμού, για την Ετήσια Συνέλευση Ιδιοκτητών-Ενοικιαστών."/>
  </hyperlinks>
  <pageMargins left="0.39370078740157483" right="0.39370078740157483" top="0.39370078740157483" bottom="0.39370078740157483" header="0.31496062992125984" footer="0.31496062992125984"/>
  <pageSetup paperSize="9" orientation="landscape" r:id="rId2"/>
  <customProperties>
    <customPr name="DVSECTIONID" r:id="rId3"/>
  </customProperties>
  <legacyDrawing r:id="rId4"/>
</worksheet>
</file>

<file path=xl/worksheets/sheet2.xml><?xml version="1.0" encoding="utf-8"?>
<worksheet xmlns="http://schemas.openxmlformats.org/spreadsheetml/2006/main" xmlns:r="http://schemas.openxmlformats.org/officeDocument/2006/relationships">
  <sheetPr codeName="Φύλλο2">
    <tabColor rgb="FFFF0000"/>
  </sheetPr>
  <dimension ref="A1:N195"/>
  <sheetViews>
    <sheetView workbookViewId="0">
      <pane ySplit="10" topLeftCell="A11" activePane="bottomLeft" state="frozen"/>
      <selection pane="bottomLeft" activeCell="L14" sqref="L14"/>
    </sheetView>
  </sheetViews>
  <sheetFormatPr defaultColWidth="9.140625" defaultRowHeight="15" outlineLevelRow="1"/>
  <cols>
    <col min="1" max="1" width="3.7109375" style="262" bestFit="1" customWidth="1"/>
    <col min="2" max="2" width="9.140625" style="262" bestFit="1" customWidth="1"/>
    <col min="3" max="3" width="63.42578125" style="262" bestFit="1" customWidth="1"/>
    <col min="4" max="4" width="7" style="263" bestFit="1" customWidth="1"/>
    <col min="5" max="5" width="7" style="262" bestFit="1" customWidth="1"/>
    <col min="6" max="6" width="8.7109375" style="262" bestFit="1" customWidth="1"/>
    <col min="7" max="7" width="8.7109375" style="262" customWidth="1"/>
    <col min="8" max="9" width="7" style="262" customWidth="1"/>
    <col min="10" max="10" width="8.7109375" style="262" bestFit="1" customWidth="1"/>
    <col min="11" max="12" width="9.140625" style="262"/>
    <col min="13" max="13" width="9.140625" style="264"/>
    <col min="14" max="16384" width="9.140625" style="262"/>
  </cols>
  <sheetData>
    <row r="1" spans="1:14" s="184" customFormat="1" ht="26.25" outlineLevel="1">
      <c r="A1" s="680" t="s">
        <v>254</v>
      </c>
      <c r="B1" s="680"/>
      <c r="C1" s="680"/>
      <c r="D1" s="681" t="str">
        <f>ΣΤΟΙΧΕΙΑ!C12</f>
        <v>Διευθύνση 123</v>
      </c>
      <c r="E1" s="681"/>
      <c r="F1" s="681"/>
      <c r="G1" s="681"/>
      <c r="H1" s="681"/>
      <c r="I1" s="681"/>
      <c r="J1" s="681"/>
      <c r="M1" s="185"/>
    </row>
    <row r="2" spans="1:14" s="116" customFormat="1" ht="12" customHeight="1" outlineLevel="1">
      <c r="A2" s="682" t="s">
        <v>262</v>
      </c>
      <c r="B2" s="682"/>
      <c r="C2" s="682"/>
      <c r="D2" s="682"/>
      <c r="E2" s="682"/>
      <c r="F2" s="682"/>
      <c r="G2" s="682"/>
      <c r="H2" s="682"/>
      <c r="I2" s="682"/>
      <c r="J2" s="682"/>
      <c r="M2" s="186"/>
    </row>
    <row r="3" spans="1:14" s="116" customFormat="1" ht="12" customHeight="1" outlineLevel="1">
      <c r="A3" s="679" t="s">
        <v>270</v>
      </c>
      <c r="B3" s="679"/>
      <c r="C3" s="679"/>
      <c r="D3" s="679"/>
      <c r="E3" s="679"/>
      <c r="F3" s="679"/>
      <c r="G3" s="679"/>
      <c r="H3" s="679"/>
      <c r="I3" s="679"/>
      <c r="J3" s="679"/>
      <c r="M3" s="186"/>
    </row>
    <row r="4" spans="1:14" s="116" customFormat="1" ht="12" customHeight="1" outlineLevel="1">
      <c r="A4" s="683" t="s">
        <v>263</v>
      </c>
      <c r="B4" s="683"/>
      <c r="C4" s="683"/>
      <c r="D4" s="683"/>
      <c r="E4" s="683"/>
      <c r="F4" s="683"/>
      <c r="G4" s="683"/>
      <c r="H4" s="683"/>
      <c r="I4" s="683"/>
      <c r="J4" s="683"/>
      <c r="M4" s="186"/>
    </row>
    <row r="5" spans="1:14" s="116" customFormat="1" ht="12" customHeight="1" outlineLevel="1">
      <c r="A5" s="679" t="s">
        <v>265</v>
      </c>
      <c r="B5" s="679"/>
      <c r="C5" s="679"/>
      <c r="D5" s="679"/>
      <c r="E5" s="679"/>
      <c r="F5" s="679"/>
      <c r="G5" s="679"/>
      <c r="H5" s="679"/>
      <c r="I5" s="679"/>
      <c r="J5" s="679"/>
      <c r="M5" s="186"/>
    </row>
    <row r="6" spans="1:14" s="116" customFormat="1" ht="12" customHeight="1" outlineLevel="1">
      <c r="A6" s="683" t="s">
        <v>271</v>
      </c>
      <c r="B6" s="683"/>
      <c r="C6" s="683"/>
      <c r="D6" s="683"/>
      <c r="E6" s="683"/>
      <c r="F6" s="683"/>
      <c r="G6" s="683"/>
      <c r="H6" s="683"/>
      <c r="I6" s="683"/>
      <c r="J6" s="683"/>
      <c r="M6" s="186"/>
    </row>
    <row r="7" spans="1:14" s="120" customFormat="1" ht="15" customHeight="1">
      <c r="A7" s="684" t="s">
        <v>24</v>
      </c>
      <c r="B7" s="684" t="s">
        <v>229</v>
      </c>
      <c r="C7" s="686" t="s">
        <v>255</v>
      </c>
      <c r="D7" s="688" t="s">
        <v>256</v>
      </c>
      <c r="E7" s="689"/>
      <c r="F7" s="690"/>
      <c r="G7" s="271" t="s">
        <v>257</v>
      </c>
      <c r="H7" s="688" t="s">
        <v>258</v>
      </c>
      <c r="I7" s="689"/>
      <c r="J7" s="690"/>
      <c r="L7" s="694" t="str">
        <f>ΣΤΟΙΧΕΙΑ!C3</f>
        <v>Κ Ο Ι Ν Ο Χ Ρ Η Σ Τ Α :</v>
      </c>
      <c r="M7" s="694"/>
      <c r="N7" s="694"/>
    </row>
    <row r="8" spans="1:14" s="120" customFormat="1" ht="15" customHeight="1">
      <c r="A8" s="685"/>
      <c r="B8" s="685"/>
      <c r="C8" s="687"/>
      <c r="D8" s="265" t="s">
        <v>174</v>
      </c>
      <c r="E8" s="266" t="s">
        <v>175</v>
      </c>
      <c r="F8" s="267" t="s">
        <v>176</v>
      </c>
      <c r="G8" s="272" t="s">
        <v>259</v>
      </c>
      <c r="H8" s="265" t="s">
        <v>174</v>
      </c>
      <c r="I8" s="266" t="s">
        <v>175</v>
      </c>
      <c r="J8" s="267" t="s">
        <v>176</v>
      </c>
      <c r="L8" s="695">
        <f>ΣΤΟΙΧΕΙΑ!C11</f>
        <v>40878</v>
      </c>
      <c r="M8" s="695"/>
      <c r="N8" s="695"/>
    </row>
    <row r="9" spans="1:14" s="37" customFormat="1" ht="15" customHeight="1">
      <c r="A9" s="273">
        <v>1</v>
      </c>
      <c r="B9" s="205">
        <v>39841</v>
      </c>
      <c r="C9" s="206" t="s">
        <v>269</v>
      </c>
      <c r="D9" s="207">
        <v>194</v>
      </c>
      <c r="E9" s="208"/>
      <c r="F9" s="270">
        <f>D9-E9</f>
        <v>194</v>
      </c>
      <c r="G9" s="191" t="s">
        <v>259</v>
      </c>
      <c r="H9" s="268" t="str">
        <f>IF(D9="","",IF($G9="","",IF($G9="ΟΧΙ","",D9)))</f>
        <v/>
      </c>
      <c r="I9" s="269" t="str">
        <f>IF(E9="","",IF($G9="","",IF($G9="ΟΧΙ","",E9)))</f>
        <v/>
      </c>
      <c r="J9" s="270">
        <f>IF(AND(H9="",I9=""),0,IF(H9="",-I9,H9))</f>
        <v>0</v>
      </c>
      <c r="L9" s="696" t="s">
        <v>225</v>
      </c>
      <c r="M9" s="696"/>
      <c r="N9" s="696"/>
    </row>
    <row r="10" spans="1:14" s="37" customFormat="1" ht="15" customHeight="1">
      <c r="A10" s="273">
        <f>A9+1</f>
        <v>2</v>
      </c>
      <c r="B10" s="205" t="s">
        <v>261</v>
      </c>
      <c r="C10" s="206" t="s">
        <v>266</v>
      </c>
      <c r="D10" s="207"/>
      <c r="E10" s="208">
        <v>1200</v>
      </c>
      <c r="F10" s="270">
        <f>F9+D10-E10</f>
        <v>-1006</v>
      </c>
      <c r="G10" s="191" t="s">
        <v>259</v>
      </c>
      <c r="H10" s="268" t="str">
        <f t="shared" ref="H10:I53" si="0">IF(D10="","",IF($G10="","",IF($G10="ΟΧΙ","",D10)))</f>
        <v/>
      </c>
      <c r="I10" s="269" t="str">
        <f>IF(E10="","",IF($G10="","",IF($G10="ΟΧΙ","",E10)))</f>
        <v/>
      </c>
      <c r="J10" s="270">
        <f>IF(AND(H10="",I10=""),J9,IF(H10="",J9-I10,J9+H10))</f>
        <v>0</v>
      </c>
      <c r="L10" s="696"/>
      <c r="M10" s="696"/>
      <c r="N10" s="696"/>
    </row>
    <row r="11" spans="1:14" s="37" customFormat="1" ht="15" customHeight="1">
      <c r="A11" s="273">
        <f t="shared" ref="A11:A74" si="1">A10+1</f>
        <v>3</v>
      </c>
      <c r="B11" s="209">
        <v>39813</v>
      </c>
      <c r="C11" s="210" t="s">
        <v>264</v>
      </c>
      <c r="D11" s="211">
        <v>1000</v>
      </c>
      <c r="E11" s="212"/>
      <c r="F11" s="270">
        <f t="shared" ref="F11:F74" si="2">F10+D11-E11</f>
        <v>-6</v>
      </c>
      <c r="G11" s="191" t="s">
        <v>257</v>
      </c>
      <c r="H11" s="268">
        <f t="shared" si="0"/>
        <v>1000</v>
      </c>
      <c r="I11" s="269" t="str">
        <f t="shared" si="0"/>
        <v/>
      </c>
      <c r="J11" s="270">
        <f t="shared" ref="J11:J74" si="3">IF(AND(H11="",I11=""),J10,IF(H11="",J10-I11,J10+H11))</f>
        <v>1000</v>
      </c>
      <c r="M11" s="192"/>
    </row>
    <row r="12" spans="1:14" s="37" customFormat="1" ht="15" customHeight="1">
      <c r="A12" s="273">
        <f t="shared" si="1"/>
        <v>4</v>
      </c>
      <c r="B12" s="209">
        <v>39813</v>
      </c>
      <c r="C12" s="210" t="s">
        <v>272</v>
      </c>
      <c r="D12" s="211"/>
      <c r="E12" s="212">
        <v>342</v>
      </c>
      <c r="F12" s="270">
        <f t="shared" si="2"/>
        <v>-348</v>
      </c>
      <c r="G12" s="191" t="s">
        <v>257</v>
      </c>
      <c r="H12" s="268" t="str">
        <f t="shared" si="0"/>
        <v/>
      </c>
      <c r="I12" s="269">
        <f t="shared" si="0"/>
        <v>342</v>
      </c>
      <c r="J12" s="270">
        <f t="shared" si="3"/>
        <v>658</v>
      </c>
      <c r="L12" s="193"/>
      <c r="M12" s="192"/>
    </row>
    <row r="13" spans="1:14" s="37" customFormat="1" ht="15" customHeight="1">
      <c r="A13" s="273">
        <f t="shared" si="1"/>
        <v>5</v>
      </c>
      <c r="B13" s="187" t="s">
        <v>267</v>
      </c>
      <c r="C13" s="188" t="s">
        <v>273</v>
      </c>
      <c r="D13" s="189"/>
      <c r="E13" s="190">
        <v>150</v>
      </c>
      <c r="F13" s="270">
        <f t="shared" si="2"/>
        <v>-498</v>
      </c>
      <c r="G13" s="191" t="s">
        <v>257</v>
      </c>
      <c r="H13" s="268" t="str">
        <f t="shared" si="0"/>
        <v/>
      </c>
      <c r="I13" s="269">
        <f t="shared" si="0"/>
        <v>150</v>
      </c>
      <c r="J13" s="270">
        <f t="shared" si="3"/>
        <v>508</v>
      </c>
      <c r="M13" s="192"/>
    </row>
    <row r="14" spans="1:14" s="37" customFormat="1" ht="15" customHeight="1">
      <c r="A14" s="273">
        <f t="shared" si="1"/>
        <v>6</v>
      </c>
      <c r="B14" s="187" t="s">
        <v>267</v>
      </c>
      <c r="C14" s="188" t="s">
        <v>274</v>
      </c>
      <c r="D14" s="189"/>
      <c r="E14" s="190">
        <v>55</v>
      </c>
      <c r="F14" s="270">
        <f t="shared" si="2"/>
        <v>-553</v>
      </c>
      <c r="G14" s="191" t="s">
        <v>257</v>
      </c>
      <c r="H14" s="268" t="str">
        <f t="shared" si="0"/>
        <v/>
      </c>
      <c r="I14" s="269">
        <f t="shared" si="0"/>
        <v>55</v>
      </c>
      <c r="J14" s="270">
        <f t="shared" si="3"/>
        <v>453</v>
      </c>
    </row>
    <row r="15" spans="1:14" s="37" customFormat="1" ht="15" customHeight="1">
      <c r="A15" s="273">
        <f t="shared" si="1"/>
        <v>7</v>
      </c>
      <c r="B15" s="187" t="s">
        <v>267</v>
      </c>
      <c r="C15" s="188" t="s">
        <v>268</v>
      </c>
      <c r="D15" s="189"/>
      <c r="E15" s="190">
        <v>75</v>
      </c>
      <c r="F15" s="270">
        <f t="shared" si="2"/>
        <v>-628</v>
      </c>
      <c r="G15" s="191" t="s">
        <v>257</v>
      </c>
      <c r="H15" s="268" t="str">
        <f t="shared" si="0"/>
        <v/>
      </c>
      <c r="I15" s="269">
        <f t="shared" si="0"/>
        <v>75</v>
      </c>
      <c r="J15" s="270">
        <f t="shared" si="3"/>
        <v>378</v>
      </c>
    </row>
    <row r="16" spans="1:14" s="37" customFormat="1" ht="15" customHeight="1">
      <c r="A16" s="273">
        <f t="shared" si="1"/>
        <v>8</v>
      </c>
      <c r="B16" s="187" t="s">
        <v>267</v>
      </c>
      <c r="C16" s="188" t="s">
        <v>275</v>
      </c>
      <c r="D16" s="189"/>
      <c r="E16" s="190">
        <v>60</v>
      </c>
      <c r="F16" s="270">
        <f t="shared" si="2"/>
        <v>-688</v>
      </c>
      <c r="G16" s="191" t="s">
        <v>257</v>
      </c>
      <c r="H16" s="268" t="str">
        <f t="shared" si="0"/>
        <v/>
      </c>
      <c r="I16" s="269">
        <f t="shared" si="0"/>
        <v>60</v>
      </c>
      <c r="J16" s="270">
        <f t="shared" si="3"/>
        <v>318</v>
      </c>
    </row>
    <row r="17" spans="1:14" s="37" customFormat="1" ht="15" customHeight="1">
      <c r="A17" s="273">
        <f t="shared" si="1"/>
        <v>9</v>
      </c>
      <c r="B17" s="187" t="s">
        <v>267</v>
      </c>
      <c r="C17" s="188" t="s">
        <v>276</v>
      </c>
      <c r="D17" s="189"/>
      <c r="E17" s="190">
        <v>70</v>
      </c>
      <c r="F17" s="270">
        <f t="shared" si="2"/>
        <v>-758</v>
      </c>
      <c r="G17" s="191" t="s">
        <v>257</v>
      </c>
      <c r="H17" s="268" t="str">
        <f t="shared" si="0"/>
        <v/>
      </c>
      <c r="I17" s="269">
        <f t="shared" si="0"/>
        <v>70</v>
      </c>
      <c r="J17" s="270">
        <f t="shared" si="3"/>
        <v>248</v>
      </c>
    </row>
    <row r="18" spans="1:14" s="37" customFormat="1" ht="15" customHeight="1">
      <c r="A18" s="273">
        <f t="shared" si="1"/>
        <v>10</v>
      </c>
      <c r="B18" s="187" t="s">
        <v>267</v>
      </c>
      <c r="C18" s="188" t="s">
        <v>277</v>
      </c>
      <c r="D18" s="189"/>
      <c r="E18" s="190">
        <v>20</v>
      </c>
      <c r="F18" s="270">
        <f t="shared" si="2"/>
        <v>-778</v>
      </c>
      <c r="G18" s="191" t="s">
        <v>257</v>
      </c>
      <c r="H18" s="268" t="str">
        <f t="shared" si="0"/>
        <v/>
      </c>
      <c r="I18" s="269">
        <f t="shared" si="0"/>
        <v>20</v>
      </c>
      <c r="J18" s="270">
        <f t="shared" si="3"/>
        <v>228</v>
      </c>
    </row>
    <row r="19" spans="1:14" s="37" customFormat="1" ht="15" customHeight="1">
      <c r="A19" s="273">
        <f t="shared" si="1"/>
        <v>11</v>
      </c>
      <c r="B19" s="187" t="s">
        <v>267</v>
      </c>
      <c r="C19" s="188" t="s">
        <v>278</v>
      </c>
      <c r="D19" s="189"/>
      <c r="E19" s="190">
        <v>60</v>
      </c>
      <c r="F19" s="270">
        <f t="shared" si="2"/>
        <v>-838</v>
      </c>
      <c r="G19" s="191" t="s">
        <v>257</v>
      </c>
      <c r="H19" s="268" t="str">
        <f t="shared" si="0"/>
        <v/>
      </c>
      <c r="I19" s="269">
        <f t="shared" si="0"/>
        <v>60</v>
      </c>
      <c r="J19" s="270">
        <f t="shared" si="3"/>
        <v>168</v>
      </c>
      <c r="L19" s="193"/>
      <c r="M19" s="192"/>
    </row>
    <row r="20" spans="1:14" s="37" customFormat="1" ht="15" customHeight="1">
      <c r="A20" s="273">
        <f t="shared" si="1"/>
        <v>12</v>
      </c>
      <c r="B20" s="187" t="s">
        <v>267</v>
      </c>
      <c r="C20" s="188" t="s">
        <v>279</v>
      </c>
      <c r="D20" s="189"/>
      <c r="E20" s="190">
        <v>30</v>
      </c>
      <c r="F20" s="270">
        <f t="shared" si="2"/>
        <v>-868</v>
      </c>
      <c r="G20" s="191" t="s">
        <v>257</v>
      </c>
      <c r="H20" s="268" t="str">
        <f t="shared" si="0"/>
        <v/>
      </c>
      <c r="I20" s="269">
        <f t="shared" si="0"/>
        <v>30</v>
      </c>
      <c r="J20" s="270">
        <f t="shared" si="3"/>
        <v>138</v>
      </c>
      <c r="L20" s="274">
        <f>SUM(E13:E20)+ΣΤΟΙΧΕΙΑ!G31+ΣΤΟΙΧΕΙΑ!G34</f>
        <v>520</v>
      </c>
    </row>
    <row r="21" spans="1:14" s="37" customFormat="1" ht="15" customHeight="1">
      <c r="A21" s="273">
        <f t="shared" si="1"/>
        <v>13</v>
      </c>
      <c r="B21" s="187"/>
      <c r="C21" s="188" t="s">
        <v>280</v>
      </c>
      <c r="D21" s="189">
        <v>53</v>
      </c>
      <c r="E21" s="190"/>
      <c r="F21" s="270">
        <f t="shared" si="2"/>
        <v>-815</v>
      </c>
      <c r="G21" s="191" t="s">
        <v>259</v>
      </c>
      <c r="H21" s="268" t="str">
        <f t="shared" si="0"/>
        <v/>
      </c>
      <c r="I21" s="269" t="str">
        <f t="shared" si="0"/>
        <v/>
      </c>
      <c r="J21" s="270">
        <f t="shared" si="3"/>
        <v>138</v>
      </c>
      <c r="L21" s="275">
        <f ca="1">Διαμερίσματα!$AB6</f>
        <v>44.314208126686182</v>
      </c>
      <c r="M21" s="276">
        <f ca="1">ROUND(L21,0)</f>
        <v>44</v>
      </c>
      <c r="N21" s="697" t="s">
        <v>300</v>
      </c>
    </row>
    <row r="22" spans="1:14" s="37" customFormat="1" ht="15" customHeight="1">
      <c r="A22" s="273">
        <f t="shared" si="1"/>
        <v>14</v>
      </c>
      <c r="B22" s="187"/>
      <c r="C22" s="188" t="s">
        <v>281</v>
      </c>
      <c r="D22" s="189">
        <v>113</v>
      </c>
      <c r="E22" s="190"/>
      <c r="F22" s="270">
        <f t="shared" si="2"/>
        <v>-702</v>
      </c>
      <c r="G22" s="191" t="s">
        <v>259</v>
      </c>
      <c r="H22" s="268" t="str">
        <f t="shared" si="0"/>
        <v/>
      </c>
      <c r="I22" s="269" t="str">
        <f t="shared" si="0"/>
        <v/>
      </c>
      <c r="J22" s="270">
        <f t="shared" si="3"/>
        <v>138</v>
      </c>
      <c r="L22" s="275">
        <f ca="1">Διαμερίσματα!$AB7</f>
        <v>49.190348052390995</v>
      </c>
      <c r="M22" s="276">
        <f t="shared" ref="M22:M30" ca="1" si="4">ROUND(L22,0)</f>
        <v>49</v>
      </c>
      <c r="N22" s="698"/>
    </row>
    <row r="23" spans="1:14" s="37" customFormat="1" ht="15" customHeight="1">
      <c r="A23" s="273">
        <f t="shared" si="1"/>
        <v>15</v>
      </c>
      <c r="B23" s="187" t="s">
        <v>267</v>
      </c>
      <c r="C23" s="188" t="s">
        <v>470</v>
      </c>
      <c r="D23" s="189">
        <v>146</v>
      </c>
      <c r="E23" s="190"/>
      <c r="F23" s="270">
        <f t="shared" si="2"/>
        <v>-556</v>
      </c>
      <c r="G23" s="191" t="s">
        <v>257</v>
      </c>
      <c r="H23" s="268">
        <f t="shared" si="0"/>
        <v>146</v>
      </c>
      <c r="I23" s="269" t="str">
        <f t="shared" si="0"/>
        <v/>
      </c>
      <c r="J23" s="270">
        <f t="shared" si="3"/>
        <v>284</v>
      </c>
      <c r="L23" s="275">
        <f ca="1">Διαμερίσματα!$AB8</f>
        <v>225.0399534872713</v>
      </c>
      <c r="M23" s="276">
        <f t="shared" ca="1" si="4"/>
        <v>225</v>
      </c>
      <c r="N23" s="698"/>
    </row>
    <row r="24" spans="1:14" s="37" customFormat="1" ht="15" customHeight="1">
      <c r="A24" s="273">
        <f t="shared" si="1"/>
        <v>16</v>
      </c>
      <c r="B24" s="187"/>
      <c r="C24" s="188" t="s">
        <v>471</v>
      </c>
      <c r="D24" s="189">
        <v>156</v>
      </c>
      <c r="E24" s="190"/>
      <c r="F24" s="270">
        <f t="shared" si="2"/>
        <v>-400</v>
      </c>
      <c r="G24" s="191" t="s">
        <v>259</v>
      </c>
      <c r="H24" s="268" t="str">
        <f t="shared" si="0"/>
        <v/>
      </c>
      <c r="I24" s="269" t="str">
        <f t="shared" si="0"/>
        <v/>
      </c>
      <c r="J24" s="270">
        <f t="shared" si="3"/>
        <v>284</v>
      </c>
      <c r="L24" s="275">
        <f ca="1">Διαμερίσματα!$AB9</f>
        <v>178.03119085637255</v>
      </c>
      <c r="M24" s="276">
        <f t="shared" ca="1" si="4"/>
        <v>178</v>
      </c>
      <c r="N24" s="698"/>
    </row>
    <row r="25" spans="1:14" s="37" customFormat="1" ht="15" customHeight="1">
      <c r="A25" s="273">
        <f t="shared" si="1"/>
        <v>17</v>
      </c>
      <c r="B25" s="187" t="s">
        <v>267</v>
      </c>
      <c r="C25" s="188" t="s">
        <v>472</v>
      </c>
      <c r="D25" s="189">
        <v>155</v>
      </c>
      <c r="E25" s="190"/>
      <c r="F25" s="270">
        <f t="shared" si="2"/>
        <v>-245</v>
      </c>
      <c r="G25" s="191" t="s">
        <v>257</v>
      </c>
      <c r="H25" s="268">
        <f t="shared" si="0"/>
        <v>155</v>
      </c>
      <c r="I25" s="269" t="str">
        <f t="shared" si="0"/>
        <v/>
      </c>
      <c r="J25" s="270">
        <f t="shared" si="3"/>
        <v>439</v>
      </c>
      <c r="L25" s="275">
        <f ca="1">Διαμερίσματα!$AB10</f>
        <v>164.47440806839413</v>
      </c>
      <c r="M25" s="276">
        <f t="shared" ca="1" si="4"/>
        <v>164</v>
      </c>
      <c r="N25" s="698"/>
    </row>
    <row r="26" spans="1:14" s="37" customFormat="1" ht="15" customHeight="1">
      <c r="A26" s="273">
        <f t="shared" si="1"/>
        <v>18</v>
      </c>
      <c r="B26" s="187" t="s">
        <v>267</v>
      </c>
      <c r="C26" s="188" t="s">
        <v>473</v>
      </c>
      <c r="D26" s="189">
        <v>51</v>
      </c>
      <c r="E26" s="190"/>
      <c r="F26" s="270">
        <f t="shared" si="2"/>
        <v>-194</v>
      </c>
      <c r="G26" s="191" t="s">
        <v>257</v>
      </c>
      <c r="H26" s="268">
        <f t="shared" si="0"/>
        <v>51</v>
      </c>
      <c r="I26" s="269" t="str">
        <f t="shared" si="0"/>
        <v/>
      </c>
      <c r="J26" s="270">
        <f t="shared" si="3"/>
        <v>490</v>
      </c>
      <c r="L26" s="275">
        <f ca="1">Διαμερίσματα!$AB11</f>
        <v>29.674311909020545</v>
      </c>
      <c r="M26" s="276">
        <f t="shared" ca="1" si="4"/>
        <v>30</v>
      </c>
      <c r="N26" s="698"/>
    </row>
    <row r="27" spans="1:14" s="37" customFormat="1" ht="15" customHeight="1">
      <c r="A27" s="273">
        <f t="shared" si="1"/>
        <v>19</v>
      </c>
      <c r="B27" s="187"/>
      <c r="C27" s="188" t="s">
        <v>474</v>
      </c>
      <c r="D27" s="189">
        <v>46</v>
      </c>
      <c r="E27" s="190"/>
      <c r="F27" s="270">
        <f t="shared" si="2"/>
        <v>-148</v>
      </c>
      <c r="G27" s="191" t="s">
        <v>259</v>
      </c>
      <c r="H27" s="268" t="str">
        <f t="shared" si="0"/>
        <v/>
      </c>
      <c r="I27" s="269" t="str">
        <f t="shared" si="0"/>
        <v/>
      </c>
      <c r="J27" s="270">
        <f t="shared" si="3"/>
        <v>490</v>
      </c>
      <c r="L27" s="275">
        <f ca="1">Διαμερίσματα!$AB12</f>
        <v>78.110430280266428</v>
      </c>
      <c r="M27" s="276">
        <f t="shared" ca="1" si="4"/>
        <v>78</v>
      </c>
      <c r="N27" s="698"/>
    </row>
    <row r="28" spans="1:14" s="37" customFormat="1" ht="15" customHeight="1">
      <c r="A28" s="273">
        <f t="shared" si="1"/>
        <v>20</v>
      </c>
      <c r="B28" s="187"/>
      <c r="C28" s="188" t="s">
        <v>475</v>
      </c>
      <c r="D28" s="189">
        <v>84</v>
      </c>
      <c r="E28" s="190"/>
      <c r="F28" s="270">
        <f t="shared" si="2"/>
        <v>-64</v>
      </c>
      <c r="G28" s="191" t="s">
        <v>259</v>
      </c>
      <c r="H28" s="268" t="str">
        <f t="shared" si="0"/>
        <v/>
      </c>
      <c r="I28" s="269" t="str">
        <f t="shared" si="0"/>
        <v/>
      </c>
      <c r="J28" s="270">
        <f t="shared" si="3"/>
        <v>490</v>
      </c>
      <c r="L28" s="275">
        <f ca="1">Διαμερίσματα!$AB13</f>
        <v>77.398602290764842</v>
      </c>
      <c r="M28" s="276">
        <f t="shared" ca="1" si="4"/>
        <v>77</v>
      </c>
      <c r="N28" s="698"/>
    </row>
    <row r="29" spans="1:14" s="37" customFormat="1" ht="15" customHeight="1">
      <c r="A29" s="273">
        <f t="shared" si="1"/>
        <v>21</v>
      </c>
      <c r="B29" s="187"/>
      <c r="C29" s="188" t="s">
        <v>476</v>
      </c>
      <c r="D29" s="189">
        <v>87</v>
      </c>
      <c r="E29" s="190"/>
      <c r="F29" s="270">
        <f t="shared" si="2"/>
        <v>23</v>
      </c>
      <c r="G29" s="191" t="s">
        <v>259</v>
      </c>
      <c r="H29" s="268" t="str">
        <f t="shared" si="0"/>
        <v/>
      </c>
      <c r="I29" s="269" t="str">
        <f t="shared" si="0"/>
        <v/>
      </c>
      <c r="J29" s="270">
        <f t="shared" si="3"/>
        <v>490</v>
      </c>
      <c r="L29" s="275">
        <f ca="1">Διαμερίσματα!$AB14</f>
        <v>133.28128926186497</v>
      </c>
      <c r="M29" s="276">
        <f t="shared" ca="1" si="4"/>
        <v>133</v>
      </c>
      <c r="N29" s="698"/>
    </row>
    <row r="30" spans="1:14" s="37" customFormat="1" ht="15" customHeight="1">
      <c r="A30" s="273">
        <f t="shared" si="1"/>
        <v>22</v>
      </c>
      <c r="B30" s="187" t="s">
        <v>267</v>
      </c>
      <c r="C30" s="188" t="s">
        <v>477</v>
      </c>
      <c r="D30" s="189">
        <v>140</v>
      </c>
      <c r="E30" s="190"/>
      <c r="F30" s="270">
        <f t="shared" si="2"/>
        <v>163</v>
      </c>
      <c r="G30" s="191" t="s">
        <v>257</v>
      </c>
      <c r="H30" s="268">
        <f t="shared" si="0"/>
        <v>140</v>
      </c>
      <c r="I30" s="269" t="str">
        <f t="shared" si="0"/>
        <v/>
      </c>
      <c r="J30" s="270">
        <f t="shared" si="3"/>
        <v>630</v>
      </c>
      <c r="L30" s="275">
        <f ca="1">Διαμερίσματα!$AB15</f>
        <v>236.65566490196161</v>
      </c>
      <c r="M30" s="276">
        <f t="shared" ca="1" si="4"/>
        <v>237</v>
      </c>
      <c r="N30" s="698"/>
    </row>
    <row r="31" spans="1:14" s="37" customFormat="1" ht="15" customHeight="1">
      <c r="A31" s="273">
        <f t="shared" si="1"/>
        <v>23</v>
      </c>
      <c r="B31" s="187"/>
      <c r="C31" s="188" t="s">
        <v>478</v>
      </c>
      <c r="D31" s="189">
        <v>81</v>
      </c>
      <c r="E31" s="190"/>
      <c r="F31" s="270">
        <f t="shared" si="2"/>
        <v>244</v>
      </c>
      <c r="G31" s="191" t="s">
        <v>259</v>
      </c>
      <c r="H31" s="268" t="str">
        <f t="shared" si="0"/>
        <v/>
      </c>
      <c r="I31" s="269" t="str">
        <f t="shared" si="0"/>
        <v/>
      </c>
      <c r="J31" s="270">
        <f t="shared" si="3"/>
        <v>630</v>
      </c>
      <c r="L31" s="275">
        <f ca="1">Διαμερίσματα!$AB16</f>
        <v>0</v>
      </c>
      <c r="M31" s="276">
        <f t="shared" ref="M31" ca="1" si="5">ROUND(L31,0)</f>
        <v>0</v>
      </c>
      <c r="N31" s="698"/>
    </row>
    <row r="32" spans="1:14" s="37" customFormat="1" ht="15" customHeight="1">
      <c r="A32" s="273">
        <f t="shared" si="1"/>
        <v>24</v>
      </c>
      <c r="B32" s="187" t="s">
        <v>267</v>
      </c>
      <c r="C32" s="188" t="s">
        <v>479</v>
      </c>
      <c r="D32" s="189">
        <v>36</v>
      </c>
      <c r="E32" s="190"/>
      <c r="F32" s="270">
        <f t="shared" si="2"/>
        <v>280</v>
      </c>
      <c r="G32" s="191"/>
      <c r="H32" s="268" t="str">
        <f t="shared" si="0"/>
        <v/>
      </c>
      <c r="I32" s="269" t="str">
        <f t="shared" si="0"/>
        <v/>
      </c>
      <c r="J32" s="270">
        <f t="shared" si="3"/>
        <v>630</v>
      </c>
      <c r="L32" s="275">
        <f ca="1">Διαμερίσματα!$AB17</f>
        <v>26.341334434909303</v>
      </c>
      <c r="M32" s="276">
        <f t="shared" ref="M32:M42" ca="1" si="6">ROUND(L32,0)</f>
        <v>26</v>
      </c>
      <c r="N32" s="698"/>
    </row>
    <row r="33" spans="1:14" s="37" customFormat="1" ht="15" customHeight="1">
      <c r="A33" s="273">
        <f t="shared" si="1"/>
        <v>25</v>
      </c>
      <c r="B33" s="187"/>
      <c r="C33" s="188" t="s">
        <v>535</v>
      </c>
      <c r="D33" s="189">
        <v>37</v>
      </c>
      <c r="E33" s="190"/>
      <c r="F33" s="270">
        <f t="shared" ref="F33" si="7">F32+D33-E33</f>
        <v>317</v>
      </c>
      <c r="G33" s="191" t="s">
        <v>259</v>
      </c>
      <c r="H33" s="268" t="str">
        <f t="shared" si="0"/>
        <v/>
      </c>
      <c r="I33" s="269" t="str">
        <f t="shared" si="0"/>
        <v/>
      </c>
      <c r="J33" s="270">
        <f t="shared" si="3"/>
        <v>630</v>
      </c>
      <c r="L33" s="275">
        <f ca="1">Διαμερίσματα!$AB18</f>
        <v>26.37122660956501</v>
      </c>
      <c r="M33" s="276">
        <f t="shared" ca="1" si="6"/>
        <v>26</v>
      </c>
      <c r="N33" s="698"/>
    </row>
    <row r="34" spans="1:14" s="37" customFormat="1" ht="15" customHeight="1">
      <c r="A34" s="273">
        <f t="shared" si="1"/>
        <v>26</v>
      </c>
      <c r="B34" s="187"/>
      <c r="C34" s="188" t="s">
        <v>536</v>
      </c>
      <c r="D34" s="199">
        <v>36</v>
      </c>
      <c r="E34" s="200"/>
      <c r="F34" s="270">
        <f t="shared" si="2"/>
        <v>353</v>
      </c>
      <c r="G34" s="191"/>
      <c r="H34" s="268" t="str">
        <f t="shared" si="0"/>
        <v/>
      </c>
      <c r="I34" s="269" t="str">
        <f t="shared" si="0"/>
        <v/>
      </c>
      <c r="J34" s="270">
        <f t="shared" si="3"/>
        <v>630</v>
      </c>
      <c r="L34" s="275">
        <f ca="1">Διαμερίσματα!$AB19</f>
        <v>26.37122660956501</v>
      </c>
      <c r="M34" s="276">
        <f t="shared" ca="1" si="6"/>
        <v>26</v>
      </c>
      <c r="N34" s="698"/>
    </row>
    <row r="35" spans="1:14" s="37" customFormat="1" ht="15" customHeight="1">
      <c r="A35" s="273">
        <f t="shared" si="1"/>
        <v>27</v>
      </c>
      <c r="B35" s="187"/>
      <c r="C35" s="188" t="s">
        <v>537</v>
      </c>
      <c r="D35" s="199">
        <v>37</v>
      </c>
      <c r="E35" s="200"/>
      <c r="F35" s="270">
        <f t="shared" si="2"/>
        <v>390</v>
      </c>
      <c r="G35" s="191"/>
      <c r="H35" s="268" t="str">
        <f t="shared" si="0"/>
        <v/>
      </c>
      <c r="I35" s="269" t="str">
        <f t="shared" si="0"/>
        <v/>
      </c>
      <c r="J35" s="270">
        <f t="shared" si="3"/>
        <v>630</v>
      </c>
      <c r="L35" s="275">
        <f ca="1">Διαμερίσματα!$AB20</f>
        <v>26.37122660956501</v>
      </c>
      <c r="M35" s="276">
        <f t="shared" ca="1" si="6"/>
        <v>26</v>
      </c>
      <c r="N35" s="698"/>
    </row>
    <row r="36" spans="1:14" s="37" customFormat="1" ht="15" customHeight="1">
      <c r="A36" s="273">
        <f t="shared" si="1"/>
        <v>28</v>
      </c>
      <c r="B36" s="187"/>
      <c r="C36" s="188" t="s">
        <v>538</v>
      </c>
      <c r="D36" s="189">
        <v>36</v>
      </c>
      <c r="E36" s="190"/>
      <c r="F36" s="270">
        <f t="shared" si="2"/>
        <v>426</v>
      </c>
      <c r="G36" s="191"/>
      <c r="H36" s="268" t="str">
        <f t="shared" si="0"/>
        <v/>
      </c>
      <c r="I36" s="269" t="str">
        <f t="shared" si="0"/>
        <v/>
      </c>
      <c r="J36" s="270">
        <f t="shared" si="3"/>
        <v>630</v>
      </c>
      <c r="L36" s="275">
        <f ca="1">Διαμερίσματα!$AB21</f>
        <v>26.37122660956501</v>
      </c>
      <c r="M36" s="276">
        <f t="shared" ca="1" si="6"/>
        <v>26</v>
      </c>
      <c r="N36" s="698"/>
    </row>
    <row r="37" spans="1:14" s="37" customFormat="1" ht="15" customHeight="1">
      <c r="A37" s="273">
        <f t="shared" si="1"/>
        <v>29</v>
      </c>
      <c r="B37" s="187"/>
      <c r="C37" s="188" t="s">
        <v>539</v>
      </c>
      <c r="D37" s="199">
        <v>37</v>
      </c>
      <c r="E37" s="200"/>
      <c r="F37" s="270">
        <f t="shared" si="2"/>
        <v>463</v>
      </c>
      <c r="G37" s="191"/>
      <c r="H37" s="268" t="str">
        <f t="shared" si="0"/>
        <v/>
      </c>
      <c r="I37" s="269" t="str">
        <f t="shared" si="0"/>
        <v/>
      </c>
      <c r="J37" s="270">
        <f t="shared" si="3"/>
        <v>630</v>
      </c>
      <c r="L37" s="275">
        <f ca="1">Διαμερίσματα!$AB22</f>
        <v>26.37122660956501</v>
      </c>
      <c r="M37" s="276">
        <f t="shared" ca="1" si="6"/>
        <v>26</v>
      </c>
      <c r="N37" s="698"/>
    </row>
    <row r="38" spans="1:14" s="37" customFormat="1" ht="15" customHeight="1">
      <c r="A38" s="273">
        <f t="shared" si="1"/>
        <v>30</v>
      </c>
      <c r="B38" s="187"/>
      <c r="C38" s="188" t="s">
        <v>540</v>
      </c>
      <c r="D38" s="199">
        <v>36</v>
      </c>
      <c r="E38" s="200"/>
      <c r="F38" s="270">
        <f t="shared" si="2"/>
        <v>499</v>
      </c>
      <c r="G38" s="191"/>
      <c r="H38" s="268" t="str">
        <f t="shared" si="0"/>
        <v/>
      </c>
      <c r="I38" s="269" t="str">
        <f t="shared" si="0"/>
        <v/>
      </c>
      <c r="J38" s="270">
        <f t="shared" si="3"/>
        <v>630</v>
      </c>
      <c r="L38" s="275">
        <f ca="1">Διαμερίσματα!$AB23</f>
        <v>26.518445453577037</v>
      </c>
      <c r="M38" s="276">
        <f t="shared" ca="1" si="6"/>
        <v>27</v>
      </c>
      <c r="N38" s="698"/>
    </row>
    <row r="39" spans="1:14" s="37" customFormat="1" ht="15" customHeight="1">
      <c r="A39" s="273">
        <f t="shared" si="1"/>
        <v>31</v>
      </c>
      <c r="B39" s="187"/>
      <c r="C39" s="188" t="s">
        <v>541</v>
      </c>
      <c r="D39" s="199">
        <v>37</v>
      </c>
      <c r="E39" s="200"/>
      <c r="F39" s="270">
        <f t="shared" si="2"/>
        <v>536</v>
      </c>
      <c r="G39" s="191"/>
      <c r="H39" s="268" t="str">
        <f t="shared" si="0"/>
        <v/>
      </c>
      <c r="I39" s="269" t="str">
        <f t="shared" si="0"/>
        <v/>
      </c>
      <c r="J39" s="270">
        <f t="shared" si="3"/>
        <v>630</v>
      </c>
      <c r="L39" s="275">
        <f ca="1">Διαμερίσματα!$AB24</f>
        <v>26.37122660956501</v>
      </c>
      <c r="M39" s="276">
        <f t="shared" ca="1" si="6"/>
        <v>26</v>
      </c>
      <c r="N39" s="698"/>
    </row>
    <row r="40" spans="1:14" s="37" customFormat="1" ht="15" customHeight="1">
      <c r="A40" s="273">
        <f t="shared" si="1"/>
        <v>32</v>
      </c>
      <c r="B40" s="187"/>
      <c r="C40" s="188" t="s">
        <v>542</v>
      </c>
      <c r="D40" s="199">
        <v>36</v>
      </c>
      <c r="E40" s="200"/>
      <c r="F40" s="270">
        <f t="shared" si="2"/>
        <v>572</v>
      </c>
      <c r="G40" s="191"/>
      <c r="H40" s="268" t="str">
        <f t="shared" si="0"/>
        <v/>
      </c>
      <c r="I40" s="269" t="str">
        <f t="shared" si="0"/>
        <v/>
      </c>
      <c r="J40" s="270">
        <f t="shared" si="3"/>
        <v>630</v>
      </c>
      <c r="L40" s="275">
        <f ca="1">Διαμερίσματα!$AB25</f>
        <v>26.37122660956501</v>
      </c>
      <c r="M40" s="276">
        <f t="shared" ca="1" si="6"/>
        <v>26</v>
      </c>
      <c r="N40" s="698"/>
    </row>
    <row r="41" spans="1:14" s="37" customFormat="1" ht="15" customHeight="1">
      <c r="A41" s="273">
        <f t="shared" si="1"/>
        <v>33</v>
      </c>
      <c r="B41" s="187"/>
      <c r="C41" s="188" t="s">
        <v>543</v>
      </c>
      <c r="D41" s="199">
        <v>37</v>
      </c>
      <c r="E41" s="200"/>
      <c r="F41" s="270">
        <f t="shared" si="2"/>
        <v>609</v>
      </c>
      <c r="G41" s="191"/>
      <c r="H41" s="268" t="str">
        <f t="shared" si="0"/>
        <v/>
      </c>
      <c r="I41" s="269" t="str">
        <f t="shared" si="0"/>
        <v/>
      </c>
      <c r="J41" s="270">
        <f t="shared" si="3"/>
        <v>630</v>
      </c>
      <c r="L41" s="275">
        <f ca="1">Διαμερίσματα!$AB26</f>
        <v>26.37122660956501</v>
      </c>
      <c r="M41" s="276">
        <f t="shared" ca="1" si="6"/>
        <v>26</v>
      </c>
      <c r="N41" s="698"/>
    </row>
    <row r="42" spans="1:14" s="37" customFormat="1" ht="15" customHeight="1">
      <c r="A42" s="273">
        <f t="shared" si="1"/>
        <v>34</v>
      </c>
      <c r="B42" s="187"/>
      <c r="C42" s="188" t="s">
        <v>544</v>
      </c>
      <c r="D42" s="199">
        <v>0</v>
      </c>
      <c r="E42" s="200"/>
      <c r="F42" s="270">
        <f t="shared" si="2"/>
        <v>609</v>
      </c>
      <c r="G42" s="191"/>
      <c r="H42" s="268" t="str">
        <f t="shared" si="0"/>
        <v/>
      </c>
      <c r="I42" s="269" t="str">
        <f t="shared" si="0"/>
        <v/>
      </c>
      <c r="J42" s="270">
        <f t="shared" si="3"/>
        <v>630</v>
      </c>
      <c r="L42" s="275">
        <f ca="1">Διαμερίσματα!$AB27</f>
        <v>0</v>
      </c>
      <c r="M42" s="276">
        <f t="shared" ca="1" si="6"/>
        <v>0</v>
      </c>
      <c r="N42" s="699"/>
    </row>
    <row r="43" spans="1:14" s="37" customFormat="1" ht="15" customHeight="1">
      <c r="A43" s="273">
        <f t="shared" si="1"/>
        <v>35</v>
      </c>
      <c r="B43" s="187"/>
      <c r="C43" s="188" t="s">
        <v>260</v>
      </c>
      <c r="D43" s="189"/>
      <c r="E43" s="190">
        <v>580</v>
      </c>
      <c r="F43" s="270">
        <f t="shared" si="2"/>
        <v>29</v>
      </c>
      <c r="G43" s="191" t="s">
        <v>259</v>
      </c>
      <c r="H43" s="268" t="str">
        <f t="shared" si="0"/>
        <v/>
      </c>
      <c r="I43" s="269" t="str">
        <f t="shared" si="0"/>
        <v/>
      </c>
      <c r="J43" s="270">
        <f t="shared" si="3"/>
        <v>630</v>
      </c>
      <c r="L43" s="197">
        <f ca="1">SUM(L21:L42)</f>
        <v>1479.9999999999995</v>
      </c>
      <c r="M43" s="197">
        <f ca="1">SUM(M21:M42)</f>
        <v>1476</v>
      </c>
    </row>
    <row r="44" spans="1:14" s="37" customFormat="1" ht="15" customHeight="1">
      <c r="A44" s="273">
        <f t="shared" si="1"/>
        <v>36</v>
      </c>
      <c r="B44" s="187"/>
      <c r="C44" s="188"/>
      <c r="D44" s="199"/>
      <c r="E44" s="200"/>
      <c r="F44" s="270">
        <f t="shared" si="2"/>
        <v>29</v>
      </c>
      <c r="G44" s="191"/>
      <c r="H44" s="268" t="str">
        <f t="shared" si="0"/>
        <v/>
      </c>
      <c r="I44" s="269" t="str">
        <f t="shared" si="0"/>
        <v/>
      </c>
      <c r="J44" s="270">
        <f t="shared" si="3"/>
        <v>630</v>
      </c>
      <c r="M44" s="192"/>
    </row>
    <row r="45" spans="1:14" s="37" customFormat="1" ht="15" customHeight="1">
      <c r="A45" s="273">
        <f t="shared" si="1"/>
        <v>37</v>
      </c>
      <c r="B45" s="187"/>
      <c r="C45" s="188"/>
      <c r="D45" s="199"/>
      <c r="E45" s="200"/>
      <c r="F45" s="270">
        <f t="shared" si="2"/>
        <v>29</v>
      </c>
      <c r="G45" s="191"/>
      <c r="H45" s="268" t="str">
        <f t="shared" si="0"/>
        <v/>
      </c>
      <c r="I45" s="269" t="str">
        <f t="shared" si="0"/>
        <v/>
      </c>
      <c r="J45" s="270">
        <f t="shared" si="3"/>
        <v>630</v>
      </c>
      <c r="L45" s="193"/>
      <c r="M45" s="192"/>
    </row>
    <row r="46" spans="1:14" s="37" customFormat="1" ht="15" customHeight="1">
      <c r="A46" s="273">
        <f t="shared" si="1"/>
        <v>38</v>
      </c>
      <c r="B46" s="187"/>
      <c r="C46" s="188"/>
      <c r="D46" s="199"/>
      <c r="E46" s="200"/>
      <c r="F46" s="270">
        <f t="shared" si="2"/>
        <v>29</v>
      </c>
      <c r="G46" s="191"/>
      <c r="H46" s="268" t="str">
        <f t="shared" si="0"/>
        <v/>
      </c>
      <c r="I46" s="269" t="str">
        <f t="shared" si="0"/>
        <v/>
      </c>
      <c r="J46" s="270">
        <f t="shared" si="3"/>
        <v>630</v>
      </c>
      <c r="M46" s="192"/>
    </row>
    <row r="47" spans="1:14" s="37" customFormat="1" ht="15" customHeight="1">
      <c r="A47" s="273">
        <f t="shared" si="1"/>
        <v>39</v>
      </c>
      <c r="B47" s="187"/>
      <c r="C47" s="188"/>
      <c r="D47" s="199"/>
      <c r="E47" s="200"/>
      <c r="F47" s="270">
        <f t="shared" si="2"/>
        <v>29</v>
      </c>
      <c r="G47" s="191"/>
      <c r="H47" s="268" t="str">
        <f t="shared" si="0"/>
        <v/>
      </c>
      <c r="I47" s="269" t="str">
        <f t="shared" si="0"/>
        <v/>
      </c>
      <c r="J47" s="270">
        <f t="shared" si="3"/>
        <v>630</v>
      </c>
      <c r="M47" s="192"/>
    </row>
    <row r="48" spans="1:14" s="37" customFormat="1" ht="15" customHeight="1">
      <c r="A48" s="273">
        <f t="shared" si="1"/>
        <v>40</v>
      </c>
      <c r="B48" s="187"/>
      <c r="C48" s="188"/>
      <c r="D48" s="199"/>
      <c r="E48" s="200"/>
      <c r="F48" s="270">
        <f t="shared" si="2"/>
        <v>29</v>
      </c>
      <c r="G48" s="191"/>
      <c r="H48" s="268" t="str">
        <f t="shared" si="0"/>
        <v/>
      </c>
      <c r="I48" s="269" t="str">
        <f t="shared" si="0"/>
        <v/>
      </c>
      <c r="J48" s="270">
        <f t="shared" si="3"/>
        <v>630</v>
      </c>
    </row>
    <row r="49" spans="1:13" s="37" customFormat="1" ht="15" customHeight="1">
      <c r="A49" s="273">
        <f t="shared" si="1"/>
        <v>41</v>
      </c>
      <c r="B49" s="187"/>
      <c r="C49" s="188"/>
      <c r="D49" s="199"/>
      <c r="E49" s="200"/>
      <c r="F49" s="270">
        <f t="shared" si="2"/>
        <v>29</v>
      </c>
      <c r="G49" s="191"/>
      <c r="H49" s="268" t="str">
        <f t="shared" si="0"/>
        <v/>
      </c>
      <c r="I49" s="269" t="str">
        <f t="shared" si="0"/>
        <v/>
      </c>
      <c r="J49" s="270">
        <f t="shared" si="3"/>
        <v>630</v>
      </c>
    </row>
    <row r="50" spans="1:13" s="37" customFormat="1" ht="15" customHeight="1">
      <c r="A50" s="273">
        <f t="shared" si="1"/>
        <v>42</v>
      </c>
      <c r="B50" s="187"/>
      <c r="C50" s="188"/>
      <c r="D50" s="199"/>
      <c r="E50" s="200"/>
      <c r="F50" s="270">
        <f t="shared" si="2"/>
        <v>29</v>
      </c>
      <c r="G50" s="191"/>
      <c r="H50" s="268" t="str">
        <f t="shared" si="0"/>
        <v/>
      </c>
      <c r="I50" s="269" t="str">
        <f t="shared" si="0"/>
        <v/>
      </c>
      <c r="J50" s="270">
        <f t="shared" si="3"/>
        <v>630</v>
      </c>
    </row>
    <row r="51" spans="1:13" s="37" customFormat="1" ht="15" customHeight="1">
      <c r="A51" s="273">
        <f t="shared" si="1"/>
        <v>43</v>
      </c>
      <c r="B51" s="187"/>
      <c r="C51" s="188"/>
      <c r="D51" s="189"/>
      <c r="E51" s="190"/>
      <c r="F51" s="270">
        <f t="shared" si="2"/>
        <v>29</v>
      </c>
      <c r="G51" s="191"/>
      <c r="H51" s="268" t="str">
        <f t="shared" si="0"/>
        <v/>
      </c>
      <c r="I51" s="269" t="str">
        <f t="shared" si="0"/>
        <v/>
      </c>
      <c r="J51" s="270">
        <f t="shared" si="3"/>
        <v>630</v>
      </c>
    </row>
    <row r="52" spans="1:13" s="37" customFormat="1" ht="15" customHeight="1">
      <c r="A52" s="273">
        <f t="shared" si="1"/>
        <v>44</v>
      </c>
      <c r="B52" s="187"/>
      <c r="C52" s="188"/>
      <c r="D52" s="199"/>
      <c r="E52" s="200"/>
      <c r="F52" s="270">
        <f t="shared" si="2"/>
        <v>29</v>
      </c>
      <c r="G52" s="191"/>
      <c r="H52" s="268" t="str">
        <f t="shared" si="0"/>
        <v/>
      </c>
      <c r="I52" s="269" t="str">
        <f t="shared" si="0"/>
        <v/>
      </c>
      <c r="J52" s="270">
        <f t="shared" si="3"/>
        <v>630</v>
      </c>
    </row>
    <row r="53" spans="1:13" s="37" customFormat="1" ht="15" customHeight="1">
      <c r="A53" s="273">
        <f t="shared" si="1"/>
        <v>45</v>
      </c>
      <c r="B53" s="187"/>
      <c r="C53" s="188"/>
      <c r="D53" s="189"/>
      <c r="E53" s="190"/>
      <c r="F53" s="270">
        <f t="shared" si="2"/>
        <v>29</v>
      </c>
      <c r="G53" s="191"/>
      <c r="H53" s="268" t="str">
        <f t="shared" si="0"/>
        <v/>
      </c>
      <c r="I53" s="269" t="str">
        <f t="shared" si="0"/>
        <v/>
      </c>
      <c r="J53" s="270">
        <f t="shared" si="3"/>
        <v>630</v>
      </c>
    </row>
    <row r="54" spans="1:13" s="37" customFormat="1" ht="15" customHeight="1">
      <c r="A54" s="273">
        <f t="shared" si="1"/>
        <v>46</v>
      </c>
      <c r="B54" s="187"/>
      <c r="C54" s="198"/>
      <c r="D54" s="199"/>
      <c r="E54" s="200"/>
      <c r="F54" s="270">
        <f t="shared" si="2"/>
        <v>29</v>
      </c>
      <c r="G54" s="191"/>
      <c r="H54" s="268" t="str">
        <f t="shared" ref="H54:I69" si="8">IF(D54="","",IF($G54="","",IF($G54="ΟΧΙ","",D54)))</f>
        <v/>
      </c>
      <c r="I54" s="269" t="str">
        <f t="shared" si="8"/>
        <v/>
      </c>
      <c r="J54" s="270">
        <f t="shared" si="3"/>
        <v>630</v>
      </c>
    </row>
    <row r="55" spans="1:13" s="37" customFormat="1" ht="15" customHeight="1">
      <c r="A55" s="273">
        <f t="shared" si="1"/>
        <v>47</v>
      </c>
      <c r="B55" s="187"/>
      <c r="C55" s="198"/>
      <c r="D55" s="199"/>
      <c r="E55" s="200"/>
      <c r="F55" s="270">
        <f t="shared" si="2"/>
        <v>29</v>
      </c>
      <c r="G55" s="191"/>
      <c r="H55" s="268" t="str">
        <f t="shared" si="8"/>
        <v/>
      </c>
      <c r="I55" s="269" t="str">
        <f t="shared" si="8"/>
        <v/>
      </c>
      <c r="J55" s="270">
        <f t="shared" si="3"/>
        <v>630</v>
      </c>
    </row>
    <row r="56" spans="1:13" s="37" customFormat="1" ht="15" customHeight="1">
      <c r="A56" s="273">
        <f t="shared" si="1"/>
        <v>48</v>
      </c>
      <c r="B56" s="187"/>
      <c r="C56" s="198"/>
      <c r="D56" s="199"/>
      <c r="E56" s="200"/>
      <c r="F56" s="270">
        <f t="shared" si="2"/>
        <v>29</v>
      </c>
      <c r="G56" s="191"/>
      <c r="H56" s="268" t="str">
        <f t="shared" si="8"/>
        <v/>
      </c>
      <c r="I56" s="269" t="str">
        <f t="shared" si="8"/>
        <v/>
      </c>
      <c r="J56" s="270">
        <f t="shared" si="3"/>
        <v>630</v>
      </c>
    </row>
    <row r="57" spans="1:13" s="37" customFormat="1" ht="15" customHeight="1" outlineLevel="1">
      <c r="A57" s="273">
        <f t="shared" si="1"/>
        <v>49</v>
      </c>
      <c r="B57" s="187"/>
      <c r="C57" s="198"/>
      <c r="D57" s="201"/>
      <c r="E57" s="200"/>
      <c r="F57" s="270">
        <f t="shared" si="2"/>
        <v>29</v>
      </c>
      <c r="G57" s="191"/>
      <c r="H57" s="268" t="str">
        <f t="shared" si="8"/>
        <v/>
      </c>
      <c r="I57" s="269" t="str">
        <f t="shared" si="8"/>
        <v/>
      </c>
      <c r="J57" s="270">
        <f t="shared" si="3"/>
        <v>630</v>
      </c>
    </row>
    <row r="58" spans="1:13" s="37" customFormat="1" ht="15" customHeight="1" outlineLevel="1">
      <c r="A58" s="273">
        <f t="shared" si="1"/>
        <v>50</v>
      </c>
      <c r="B58" s="187"/>
      <c r="C58" s="198"/>
      <c r="D58" s="201"/>
      <c r="E58" s="200"/>
      <c r="F58" s="270">
        <f t="shared" si="2"/>
        <v>29</v>
      </c>
      <c r="G58" s="191"/>
      <c r="H58" s="268" t="str">
        <f t="shared" si="8"/>
        <v/>
      </c>
      <c r="I58" s="269" t="str">
        <f t="shared" si="8"/>
        <v/>
      </c>
      <c r="J58" s="270">
        <f t="shared" si="3"/>
        <v>630</v>
      </c>
    </row>
    <row r="59" spans="1:13" s="37" customFormat="1" ht="15" customHeight="1" outlineLevel="1">
      <c r="A59" s="273">
        <f t="shared" si="1"/>
        <v>51</v>
      </c>
      <c r="B59" s="187"/>
      <c r="C59" s="198"/>
      <c r="D59" s="201"/>
      <c r="E59" s="200"/>
      <c r="F59" s="270">
        <f t="shared" si="2"/>
        <v>29</v>
      </c>
      <c r="G59" s="191"/>
      <c r="H59" s="268" t="str">
        <f t="shared" si="8"/>
        <v/>
      </c>
      <c r="I59" s="269" t="str">
        <f t="shared" si="8"/>
        <v/>
      </c>
      <c r="J59" s="270">
        <f t="shared" si="3"/>
        <v>630</v>
      </c>
      <c r="L59" s="194"/>
      <c r="M59" s="192"/>
    </row>
    <row r="60" spans="1:13" s="37" customFormat="1" ht="15" customHeight="1" outlineLevel="1">
      <c r="A60" s="273">
        <f t="shared" si="1"/>
        <v>52</v>
      </c>
      <c r="B60" s="187"/>
      <c r="C60" s="198"/>
      <c r="D60" s="199"/>
      <c r="E60" s="200"/>
      <c r="F60" s="270">
        <f t="shared" si="2"/>
        <v>29</v>
      </c>
      <c r="G60" s="191"/>
      <c r="H60" s="268" t="str">
        <f t="shared" si="8"/>
        <v/>
      </c>
      <c r="I60" s="269" t="str">
        <f t="shared" si="8"/>
        <v/>
      </c>
      <c r="J60" s="270">
        <f t="shared" si="3"/>
        <v>630</v>
      </c>
      <c r="M60" s="192"/>
    </row>
    <row r="61" spans="1:13" s="37" customFormat="1" ht="15" customHeight="1" outlineLevel="1">
      <c r="A61" s="273">
        <f t="shared" si="1"/>
        <v>53</v>
      </c>
      <c r="B61" s="187"/>
      <c r="C61" s="198"/>
      <c r="D61" s="199"/>
      <c r="E61" s="200"/>
      <c r="F61" s="270">
        <f t="shared" si="2"/>
        <v>29</v>
      </c>
      <c r="G61" s="191"/>
      <c r="H61" s="268" t="str">
        <f t="shared" si="8"/>
        <v/>
      </c>
      <c r="I61" s="269" t="str">
        <f t="shared" si="8"/>
        <v/>
      </c>
      <c r="J61" s="270">
        <f t="shared" si="3"/>
        <v>630</v>
      </c>
      <c r="M61" s="192"/>
    </row>
    <row r="62" spans="1:13" s="37" customFormat="1" ht="15" customHeight="1" outlineLevel="1">
      <c r="A62" s="273">
        <f t="shared" si="1"/>
        <v>54</v>
      </c>
      <c r="B62" s="187"/>
      <c r="C62" s="198"/>
      <c r="D62" s="201"/>
      <c r="E62" s="200"/>
      <c r="F62" s="270">
        <f t="shared" si="2"/>
        <v>29</v>
      </c>
      <c r="G62" s="191"/>
      <c r="H62" s="268" t="str">
        <f t="shared" si="8"/>
        <v/>
      </c>
      <c r="I62" s="269" t="str">
        <f t="shared" si="8"/>
        <v/>
      </c>
      <c r="J62" s="270">
        <f t="shared" si="3"/>
        <v>630</v>
      </c>
      <c r="M62" s="192"/>
    </row>
    <row r="63" spans="1:13" s="37" customFormat="1" ht="15" customHeight="1" outlineLevel="1">
      <c r="A63" s="273">
        <f t="shared" si="1"/>
        <v>55</v>
      </c>
      <c r="B63" s="187"/>
      <c r="C63" s="198"/>
      <c r="D63" s="201"/>
      <c r="E63" s="200"/>
      <c r="F63" s="270">
        <f t="shared" si="2"/>
        <v>29</v>
      </c>
      <c r="G63" s="191"/>
      <c r="H63" s="268" t="str">
        <f t="shared" si="8"/>
        <v/>
      </c>
      <c r="I63" s="269" t="str">
        <f t="shared" si="8"/>
        <v/>
      </c>
      <c r="J63" s="270">
        <f t="shared" si="3"/>
        <v>630</v>
      </c>
      <c r="M63" s="192"/>
    </row>
    <row r="64" spans="1:13" s="37" customFormat="1" ht="15" customHeight="1" outlineLevel="1">
      <c r="A64" s="273">
        <f t="shared" si="1"/>
        <v>56</v>
      </c>
      <c r="B64" s="187"/>
      <c r="C64" s="198"/>
      <c r="D64" s="201"/>
      <c r="E64" s="200"/>
      <c r="F64" s="270">
        <f t="shared" si="2"/>
        <v>29</v>
      </c>
      <c r="G64" s="191"/>
      <c r="H64" s="268" t="str">
        <f t="shared" si="8"/>
        <v/>
      </c>
      <c r="I64" s="269" t="str">
        <f t="shared" si="8"/>
        <v/>
      </c>
      <c r="J64" s="270">
        <f t="shared" si="3"/>
        <v>630</v>
      </c>
      <c r="M64" s="192"/>
    </row>
    <row r="65" spans="1:13" s="37" customFormat="1" ht="15" customHeight="1" outlineLevel="1">
      <c r="A65" s="273">
        <f t="shared" si="1"/>
        <v>57</v>
      </c>
      <c r="B65" s="187"/>
      <c r="C65" s="198"/>
      <c r="D65" s="201"/>
      <c r="E65" s="200"/>
      <c r="F65" s="270">
        <f t="shared" si="2"/>
        <v>29</v>
      </c>
      <c r="G65" s="191"/>
      <c r="H65" s="268" t="str">
        <f t="shared" si="8"/>
        <v/>
      </c>
      <c r="I65" s="269" t="str">
        <f t="shared" si="8"/>
        <v/>
      </c>
      <c r="J65" s="270">
        <f t="shared" si="3"/>
        <v>630</v>
      </c>
      <c r="M65" s="192"/>
    </row>
    <row r="66" spans="1:13" s="37" customFormat="1" ht="15" customHeight="1" outlineLevel="1">
      <c r="A66" s="273">
        <f t="shared" si="1"/>
        <v>58</v>
      </c>
      <c r="B66" s="187"/>
      <c r="C66" s="198"/>
      <c r="D66" s="201"/>
      <c r="E66" s="200"/>
      <c r="F66" s="270">
        <f t="shared" si="2"/>
        <v>29</v>
      </c>
      <c r="G66" s="191"/>
      <c r="H66" s="268" t="str">
        <f t="shared" si="8"/>
        <v/>
      </c>
      <c r="I66" s="269" t="str">
        <f t="shared" si="8"/>
        <v/>
      </c>
      <c r="J66" s="270">
        <f t="shared" si="3"/>
        <v>630</v>
      </c>
      <c r="M66" s="192"/>
    </row>
    <row r="67" spans="1:13" s="37" customFormat="1" ht="15" customHeight="1" outlineLevel="1">
      <c r="A67" s="273">
        <f t="shared" si="1"/>
        <v>59</v>
      </c>
      <c r="B67" s="187"/>
      <c r="C67" s="198"/>
      <c r="D67" s="199"/>
      <c r="E67" s="200"/>
      <c r="F67" s="270">
        <f t="shared" si="2"/>
        <v>29</v>
      </c>
      <c r="G67" s="191"/>
      <c r="H67" s="268" t="str">
        <f t="shared" si="8"/>
        <v/>
      </c>
      <c r="I67" s="269" t="str">
        <f t="shared" si="8"/>
        <v/>
      </c>
      <c r="J67" s="270">
        <f t="shared" si="3"/>
        <v>630</v>
      </c>
      <c r="M67" s="192"/>
    </row>
    <row r="68" spans="1:13" s="37" customFormat="1" ht="15" customHeight="1" outlineLevel="1">
      <c r="A68" s="273">
        <f t="shared" si="1"/>
        <v>60</v>
      </c>
      <c r="B68" s="187"/>
      <c r="C68" s="198"/>
      <c r="D68" s="199"/>
      <c r="E68" s="200"/>
      <c r="F68" s="270">
        <f t="shared" si="2"/>
        <v>29</v>
      </c>
      <c r="G68" s="191"/>
      <c r="H68" s="268" t="str">
        <f t="shared" si="8"/>
        <v/>
      </c>
      <c r="I68" s="269" t="str">
        <f t="shared" si="8"/>
        <v/>
      </c>
      <c r="J68" s="270">
        <f t="shared" si="3"/>
        <v>630</v>
      </c>
      <c r="M68" s="192"/>
    </row>
    <row r="69" spans="1:13" s="37" customFormat="1" ht="15" customHeight="1" outlineLevel="1">
      <c r="A69" s="273">
        <f t="shared" si="1"/>
        <v>61</v>
      </c>
      <c r="B69" s="187"/>
      <c r="C69" s="198"/>
      <c r="D69" s="199"/>
      <c r="E69" s="200"/>
      <c r="F69" s="270">
        <f t="shared" si="2"/>
        <v>29</v>
      </c>
      <c r="G69" s="191"/>
      <c r="H69" s="268" t="str">
        <f t="shared" si="8"/>
        <v/>
      </c>
      <c r="I69" s="269" t="str">
        <f t="shared" si="8"/>
        <v/>
      </c>
      <c r="J69" s="270">
        <f t="shared" si="3"/>
        <v>630</v>
      </c>
      <c r="M69" s="192"/>
    </row>
    <row r="70" spans="1:13" s="37" customFormat="1" ht="15" customHeight="1" outlineLevel="1">
      <c r="A70" s="273">
        <f t="shared" si="1"/>
        <v>62</v>
      </c>
      <c r="B70" s="187"/>
      <c r="C70" s="198"/>
      <c r="D70" s="199"/>
      <c r="E70" s="200"/>
      <c r="F70" s="270">
        <f t="shared" si="2"/>
        <v>29</v>
      </c>
      <c r="G70" s="191"/>
      <c r="H70" s="268" t="str">
        <f t="shared" ref="H70:I85" si="9">IF(D70="","",IF($G70="","",IF($G70="ΟΧΙ","",D70)))</f>
        <v/>
      </c>
      <c r="I70" s="269" t="str">
        <f t="shared" si="9"/>
        <v/>
      </c>
      <c r="J70" s="270">
        <f t="shared" si="3"/>
        <v>630</v>
      </c>
      <c r="M70" s="192"/>
    </row>
    <row r="71" spans="1:13" s="37" customFormat="1" ht="15" customHeight="1" outlineLevel="1">
      <c r="A71" s="273">
        <f t="shared" si="1"/>
        <v>63</v>
      </c>
      <c r="B71" s="187"/>
      <c r="C71" s="198"/>
      <c r="D71" s="199"/>
      <c r="E71" s="200"/>
      <c r="F71" s="270">
        <f t="shared" si="2"/>
        <v>29</v>
      </c>
      <c r="G71" s="191"/>
      <c r="H71" s="268" t="str">
        <f t="shared" si="9"/>
        <v/>
      </c>
      <c r="I71" s="269" t="str">
        <f t="shared" si="9"/>
        <v/>
      </c>
      <c r="J71" s="270">
        <f t="shared" si="3"/>
        <v>630</v>
      </c>
      <c r="M71" s="192"/>
    </row>
    <row r="72" spans="1:13" s="37" customFormat="1" ht="15" customHeight="1" outlineLevel="1">
      <c r="A72" s="273">
        <f t="shared" si="1"/>
        <v>64</v>
      </c>
      <c r="B72" s="187"/>
      <c r="C72" s="198"/>
      <c r="D72" s="199"/>
      <c r="E72" s="200"/>
      <c r="F72" s="270">
        <f t="shared" si="2"/>
        <v>29</v>
      </c>
      <c r="G72" s="191"/>
      <c r="H72" s="268" t="str">
        <f t="shared" si="9"/>
        <v/>
      </c>
      <c r="I72" s="269" t="str">
        <f t="shared" si="9"/>
        <v/>
      </c>
      <c r="J72" s="270">
        <f t="shared" si="3"/>
        <v>630</v>
      </c>
      <c r="M72" s="192"/>
    </row>
    <row r="73" spans="1:13" s="37" customFormat="1" ht="15" customHeight="1" outlineLevel="1">
      <c r="A73" s="273">
        <f t="shared" si="1"/>
        <v>65</v>
      </c>
      <c r="B73" s="187"/>
      <c r="C73" s="188"/>
      <c r="D73" s="189"/>
      <c r="E73" s="190"/>
      <c r="F73" s="270">
        <f t="shared" si="2"/>
        <v>29</v>
      </c>
      <c r="G73" s="191"/>
      <c r="H73" s="268" t="str">
        <f t="shared" si="9"/>
        <v/>
      </c>
      <c r="I73" s="269" t="str">
        <f t="shared" si="9"/>
        <v/>
      </c>
      <c r="J73" s="270">
        <f t="shared" si="3"/>
        <v>630</v>
      </c>
    </row>
    <row r="74" spans="1:13" s="37" customFormat="1" ht="15" customHeight="1" outlineLevel="1">
      <c r="A74" s="273">
        <f t="shared" si="1"/>
        <v>66</v>
      </c>
      <c r="B74" s="187"/>
      <c r="C74" s="188"/>
      <c r="D74" s="189"/>
      <c r="E74" s="190"/>
      <c r="F74" s="270">
        <f t="shared" si="2"/>
        <v>29</v>
      </c>
      <c r="G74" s="191"/>
      <c r="H74" s="268" t="str">
        <f t="shared" si="9"/>
        <v/>
      </c>
      <c r="I74" s="269" t="str">
        <f t="shared" si="9"/>
        <v/>
      </c>
      <c r="J74" s="270">
        <f t="shared" si="3"/>
        <v>630</v>
      </c>
    </row>
    <row r="75" spans="1:13" s="37" customFormat="1" ht="15" customHeight="1" outlineLevel="1">
      <c r="A75" s="273">
        <f t="shared" ref="A75:A138" si="10">A74+1</f>
        <v>67</v>
      </c>
      <c r="B75" s="187"/>
      <c r="C75" s="188"/>
      <c r="D75" s="189"/>
      <c r="E75" s="190"/>
      <c r="F75" s="270">
        <f t="shared" ref="F75:F138" si="11">F74+D75-E75</f>
        <v>29</v>
      </c>
      <c r="G75" s="191"/>
      <c r="H75" s="268" t="str">
        <f t="shared" si="9"/>
        <v/>
      </c>
      <c r="I75" s="269" t="str">
        <f t="shared" si="9"/>
        <v/>
      </c>
      <c r="J75" s="270">
        <f t="shared" ref="J75:J138" si="12">IF(AND(H75="",I75=""),J74,IF(H75="",J74-I75,J74+H75))</f>
        <v>630</v>
      </c>
    </row>
    <row r="76" spans="1:13" s="37" customFormat="1" ht="15" customHeight="1" outlineLevel="1">
      <c r="A76" s="273">
        <f t="shared" si="10"/>
        <v>68</v>
      </c>
      <c r="B76" s="187"/>
      <c r="C76" s="188"/>
      <c r="D76" s="189"/>
      <c r="E76" s="190"/>
      <c r="F76" s="270">
        <f t="shared" si="11"/>
        <v>29</v>
      </c>
      <c r="G76" s="191"/>
      <c r="H76" s="268" t="str">
        <f t="shared" si="9"/>
        <v/>
      </c>
      <c r="I76" s="269" t="str">
        <f t="shared" si="9"/>
        <v/>
      </c>
      <c r="J76" s="270">
        <f t="shared" si="12"/>
        <v>630</v>
      </c>
    </row>
    <row r="77" spans="1:13" s="37" customFormat="1" ht="15" customHeight="1" outlineLevel="1">
      <c r="A77" s="273">
        <f t="shared" si="10"/>
        <v>69</v>
      </c>
      <c r="B77" s="187"/>
      <c r="C77" s="188"/>
      <c r="D77" s="189"/>
      <c r="E77" s="190"/>
      <c r="F77" s="270">
        <f t="shared" si="11"/>
        <v>29</v>
      </c>
      <c r="G77" s="191"/>
      <c r="H77" s="268" t="str">
        <f t="shared" si="9"/>
        <v/>
      </c>
      <c r="I77" s="269" t="str">
        <f t="shared" si="9"/>
        <v/>
      </c>
      <c r="J77" s="270">
        <f t="shared" si="12"/>
        <v>630</v>
      </c>
    </row>
    <row r="78" spans="1:13" s="37" customFormat="1" ht="15" customHeight="1" outlineLevel="1">
      <c r="A78" s="273">
        <f t="shared" si="10"/>
        <v>70</v>
      </c>
      <c r="B78" s="187"/>
      <c r="C78" s="188"/>
      <c r="D78" s="189"/>
      <c r="E78" s="190"/>
      <c r="F78" s="270">
        <f t="shared" si="11"/>
        <v>29</v>
      </c>
      <c r="G78" s="191"/>
      <c r="H78" s="268" t="str">
        <f t="shared" si="9"/>
        <v/>
      </c>
      <c r="I78" s="269" t="str">
        <f t="shared" si="9"/>
        <v/>
      </c>
      <c r="J78" s="270">
        <f t="shared" si="12"/>
        <v>630</v>
      </c>
    </row>
    <row r="79" spans="1:13" s="37" customFormat="1" ht="15" customHeight="1" outlineLevel="1">
      <c r="A79" s="273">
        <f t="shared" si="10"/>
        <v>71</v>
      </c>
      <c r="B79" s="187"/>
      <c r="C79" s="188"/>
      <c r="D79" s="189"/>
      <c r="E79" s="190"/>
      <c r="F79" s="270">
        <f t="shared" si="11"/>
        <v>29</v>
      </c>
      <c r="G79" s="191"/>
      <c r="H79" s="268" t="str">
        <f t="shared" si="9"/>
        <v/>
      </c>
      <c r="I79" s="269" t="str">
        <f t="shared" si="9"/>
        <v/>
      </c>
      <c r="J79" s="270">
        <f t="shared" si="12"/>
        <v>630</v>
      </c>
    </row>
    <row r="80" spans="1:13" s="37" customFormat="1" ht="15" customHeight="1" outlineLevel="1">
      <c r="A80" s="273">
        <f t="shared" si="10"/>
        <v>72</v>
      </c>
      <c r="B80" s="187"/>
      <c r="C80" s="188"/>
      <c r="D80" s="189"/>
      <c r="E80" s="190"/>
      <c r="F80" s="270">
        <f t="shared" si="11"/>
        <v>29</v>
      </c>
      <c r="G80" s="191"/>
      <c r="H80" s="268" t="str">
        <f t="shared" si="9"/>
        <v/>
      </c>
      <c r="I80" s="269" t="str">
        <f t="shared" si="9"/>
        <v/>
      </c>
      <c r="J80" s="270">
        <f t="shared" si="12"/>
        <v>630</v>
      </c>
    </row>
    <row r="81" spans="1:10" s="37" customFormat="1" ht="15" customHeight="1" outlineLevel="1">
      <c r="A81" s="273">
        <f t="shared" si="10"/>
        <v>73</v>
      </c>
      <c r="B81" s="187"/>
      <c r="C81" s="188"/>
      <c r="D81" s="189"/>
      <c r="E81" s="190"/>
      <c r="F81" s="270">
        <f t="shared" si="11"/>
        <v>29</v>
      </c>
      <c r="G81" s="191"/>
      <c r="H81" s="268" t="str">
        <f t="shared" si="9"/>
        <v/>
      </c>
      <c r="I81" s="269" t="str">
        <f t="shared" si="9"/>
        <v/>
      </c>
      <c r="J81" s="270">
        <f t="shared" si="12"/>
        <v>630</v>
      </c>
    </row>
    <row r="82" spans="1:10" s="37" customFormat="1" ht="15" customHeight="1" outlineLevel="1">
      <c r="A82" s="273">
        <f t="shared" si="10"/>
        <v>74</v>
      </c>
      <c r="B82" s="187"/>
      <c r="C82" s="188"/>
      <c r="D82" s="189"/>
      <c r="E82" s="190"/>
      <c r="F82" s="270">
        <f t="shared" si="11"/>
        <v>29</v>
      </c>
      <c r="G82" s="191"/>
      <c r="H82" s="268" t="str">
        <f t="shared" si="9"/>
        <v/>
      </c>
      <c r="I82" s="269" t="str">
        <f t="shared" si="9"/>
        <v/>
      </c>
      <c r="J82" s="270">
        <f t="shared" si="12"/>
        <v>630</v>
      </c>
    </row>
    <row r="83" spans="1:10" s="37" customFormat="1" ht="15" customHeight="1" outlineLevel="1">
      <c r="A83" s="273">
        <f t="shared" si="10"/>
        <v>75</v>
      </c>
      <c r="B83" s="187"/>
      <c r="C83" s="188"/>
      <c r="D83" s="189"/>
      <c r="E83" s="190"/>
      <c r="F83" s="270">
        <f t="shared" si="11"/>
        <v>29</v>
      </c>
      <c r="G83" s="191"/>
      <c r="H83" s="268" t="str">
        <f t="shared" si="9"/>
        <v/>
      </c>
      <c r="I83" s="269" t="str">
        <f t="shared" si="9"/>
        <v/>
      </c>
      <c r="J83" s="270">
        <f t="shared" si="12"/>
        <v>630</v>
      </c>
    </row>
    <row r="84" spans="1:10" s="37" customFormat="1" ht="15" customHeight="1" outlineLevel="1">
      <c r="A84" s="273">
        <f t="shared" si="10"/>
        <v>76</v>
      </c>
      <c r="B84" s="187"/>
      <c r="C84" s="188"/>
      <c r="D84" s="189"/>
      <c r="E84" s="190"/>
      <c r="F84" s="270">
        <f t="shared" si="11"/>
        <v>29</v>
      </c>
      <c r="G84" s="191"/>
      <c r="H84" s="268" t="str">
        <f t="shared" si="9"/>
        <v/>
      </c>
      <c r="I84" s="269" t="str">
        <f t="shared" si="9"/>
        <v/>
      </c>
      <c r="J84" s="270">
        <f t="shared" si="12"/>
        <v>630</v>
      </c>
    </row>
    <row r="85" spans="1:10" s="37" customFormat="1" ht="15" customHeight="1" outlineLevel="1">
      <c r="A85" s="273">
        <f t="shared" si="10"/>
        <v>77</v>
      </c>
      <c r="B85" s="187"/>
      <c r="C85" s="188"/>
      <c r="D85" s="189"/>
      <c r="E85" s="190"/>
      <c r="F85" s="270">
        <f t="shared" si="11"/>
        <v>29</v>
      </c>
      <c r="G85" s="191"/>
      <c r="H85" s="268" t="str">
        <f t="shared" si="9"/>
        <v/>
      </c>
      <c r="I85" s="269" t="str">
        <f t="shared" si="9"/>
        <v/>
      </c>
      <c r="J85" s="270">
        <f t="shared" si="12"/>
        <v>630</v>
      </c>
    </row>
    <row r="86" spans="1:10" s="37" customFormat="1" ht="15" customHeight="1" outlineLevel="1">
      <c r="A86" s="273">
        <f t="shared" si="10"/>
        <v>78</v>
      </c>
      <c r="B86" s="187"/>
      <c r="C86" s="188"/>
      <c r="D86" s="189"/>
      <c r="E86" s="190"/>
      <c r="F86" s="270">
        <f t="shared" si="11"/>
        <v>29</v>
      </c>
      <c r="G86" s="191"/>
      <c r="H86" s="268" t="str">
        <f t="shared" ref="H86:I118" si="13">IF(D86="","",IF($G86="","",IF($G86="ΟΧΙ","",D86)))</f>
        <v/>
      </c>
      <c r="I86" s="269" t="str">
        <f t="shared" si="13"/>
        <v/>
      </c>
      <c r="J86" s="270">
        <f t="shared" si="12"/>
        <v>630</v>
      </c>
    </row>
    <row r="87" spans="1:10" s="37" customFormat="1" ht="15" customHeight="1" outlineLevel="1">
      <c r="A87" s="273">
        <f t="shared" si="10"/>
        <v>79</v>
      </c>
      <c r="B87" s="187"/>
      <c r="C87" s="188"/>
      <c r="D87" s="189"/>
      <c r="E87" s="190"/>
      <c r="F87" s="270">
        <f t="shared" si="11"/>
        <v>29</v>
      </c>
      <c r="G87" s="191"/>
      <c r="H87" s="268" t="str">
        <f t="shared" si="13"/>
        <v/>
      </c>
      <c r="I87" s="269" t="str">
        <f t="shared" si="13"/>
        <v/>
      </c>
      <c r="J87" s="270">
        <f t="shared" si="12"/>
        <v>630</v>
      </c>
    </row>
    <row r="88" spans="1:10" s="37" customFormat="1" ht="15" customHeight="1" outlineLevel="1">
      <c r="A88" s="273">
        <f t="shared" si="10"/>
        <v>80</v>
      </c>
      <c r="B88" s="187"/>
      <c r="C88" s="188"/>
      <c r="D88" s="189"/>
      <c r="E88" s="190"/>
      <c r="F88" s="270">
        <f t="shared" si="11"/>
        <v>29</v>
      </c>
      <c r="G88" s="191"/>
      <c r="H88" s="268" t="str">
        <f t="shared" si="13"/>
        <v/>
      </c>
      <c r="I88" s="269" t="str">
        <f t="shared" si="13"/>
        <v/>
      </c>
      <c r="J88" s="270">
        <f t="shared" si="12"/>
        <v>630</v>
      </c>
    </row>
    <row r="89" spans="1:10" s="37" customFormat="1" ht="15" customHeight="1" outlineLevel="1">
      <c r="A89" s="273">
        <f t="shared" si="10"/>
        <v>81</v>
      </c>
      <c r="B89" s="187"/>
      <c r="C89" s="188"/>
      <c r="D89" s="189"/>
      <c r="E89" s="190"/>
      <c r="F89" s="270">
        <f t="shared" si="11"/>
        <v>29</v>
      </c>
      <c r="G89" s="191"/>
      <c r="H89" s="268" t="str">
        <f t="shared" si="13"/>
        <v/>
      </c>
      <c r="I89" s="269" t="str">
        <f t="shared" si="13"/>
        <v/>
      </c>
      <c r="J89" s="270">
        <f t="shared" si="12"/>
        <v>630</v>
      </c>
    </row>
    <row r="90" spans="1:10" s="37" customFormat="1" ht="15" customHeight="1" outlineLevel="1">
      <c r="A90" s="273">
        <f t="shared" si="10"/>
        <v>82</v>
      </c>
      <c r="B90" s="187"/>
      <c r="C90" s="188"/>
      <c r="D90" s="189"/>
      <c r="E90" s="190"/>
      <c r="F90" s="270">
        <f t="shared" si="11"/>
        <v>29</v>
      </c>
      <c r="G90" s="191"/>
      <c r="H90" s="268" t="str">
        <f t="shared" si="13"/>
        <v/>
      </c>
      <c r="I90" s="269" t="str">
        <f t="shared" si="13"/>
        <v/>
      </c>
      <c r="J90" s="270">
        <f t="shared" si="12"/>
        <v>630</v>
      </c>
    </row>
    <row r="91" spans="1:10" s="37" customFormat="1" ht="15" customHeight="1" outlineLevel="1">
      <c r="A91" s="273">
        <f t="shared" si="10"/>
        <v>83</v>
      </c>
      <c r="B91" s="187"/>
      <c r="C91" s="188"/>
      <c r="D91" s="189"/>
      <c r="E91" s="190"/>
      <c r="F91" s="270">
        <f t="shared" si="11"/>
        <v>29</v>
      </c>
      <c r="G91" s="191"/>
      <c r="H91" s="268" t="str">
        <f t="shared" si="13"/>
        <v/>
      </c>
      <c r="I91" s="269" t="str">
        <f t="shared" si="13"/>
        <v/>
      </c>
      <c r="J91" s="270">
        <f t="shared" si="12"/>
        <v>630</v>
      </c>
    </row>
    <row r="92" spans="1:10" s="37" customFormat="1" ht="15" customHeight="1" outlineLevel="1">
      <c r="A92" s="273">
        <f t="shared" si="10"/>
        <v>84</v>
      </c>
      <c r="B92" s="187"/>
      <c r="C92" s="188"/>
      <c r="D92" s="189"/>
      <c r="E92" s="190"/>
      <c r="F92" s="270">
        <f t="shared" si="11"/>
        <v>29</v>
      </c>
      <c r="G92" s="191"/>
      <c r="H92" s="268" t="str">
        <f t="shared" si="13"/>
        <v/>
      </c>
      <c r="I92" s="269" t="str">
        <f t="shared" si="13"/>
        <v/>
      </c>
      <c r="J92" s="270">
        <f t="shared" si="12"/>
        <v>630</v>
      </c>
    </row>
    <row r="93" spans="1:10" s="37" customFormat="1" ht="15" customHeight="1" outlineLevel="1">
      <c r="A93" s="273">
        <f t="shared" si="10"/>
        <v>85</v>
      </c>
      <c r="B93" s="187"/>
      <c r="C93" s="188"/>
      <c r="D93" s="189"/>
      <c r="E93" s="190"/>
      <c r="F93" s="270">
        <f t="shared" si="11"/>
        <v>29</v>
      </c>
      <c r="G93" s="191"/>
      <c r="H93" s="268" t="str">
        <f t="shared" si="13"/>
        <v/>
      </c>
      <c r="I93" s="269" t="str">
        <f t="shared" si="13"/>
        <v/>
      </c>
      <c r="J93" s="270">
        <f t="shared" si="12"/>
        <v>630</v>
      </c>
    </row>
    <row r="94" spans="1:10" s="37" customFormat="1" ht="15" customHeight="1" outlineLevel="1">
      <c r="A94" s="273">
        <f t="shared" si="10"/>
        <v>86</v>
      </c>
      <c r="B94" s="187"/>
      <c r="C94" s="188"/>
      <c r="D94" s="189"/>
      <c r="E94" s="190"/>
      <c r="F94" s="270">
        <f t="shared" si="11"/>
        <v>29</v>
      </c>
      <c r="G94" s="191"/>
      <c r="H94" s="268" t="str">
        <f t="shared" si="13"/>
        <v/>
      </c>
      <c r="I94" s="269" t="str">
        <f t="shared" si="13"/>
        <v/>
      </c>
      <c r="J94" s="270">
        <f t="shared" si="12"/>
        <v>630</v>
      </c>
    </row>
    <row r="95" spans="1:10" s="37" customFormat="1" ht="15" customHeight="1" outlineLevel="1">
      <c r="A95" s="273">
        <f t="shared" si="10"/>
        <v>87</v>
      </c>
      <c r="B95" s="187"/>
      <c r="C95" s="188"/>
      <c r="D95" s="189"/>
      <c r="E95" s="190"/>
      <c r="F95" s="270">
        <f t="shared" si="11"/>
        <v>29</v>
      </c>
      <c r="G95" s="191"/>
      <c r="H95" s="268" t="str">
        <f t="shared" si="13"/>
        <v/>
      </c>
      <c r="I95" s="269" t="str">
        <f t="shared" si="13"/>
        <v/>
      </c>
      <c r="J95" s="270">
        <f t="shared" si="12"/>
        <v>630</v>
      </c>
    </row>
    <row r="96" spans="1:10" s="37" customFormat="1" ht="15" customHeight="1" outlineLevel="1">
      <c r="A96" s="273">
        <f t="shared" si="10"/>
        <v>88</v>
      </c>
      <c r="B96" s="187"/>
      <c r="C96" s="188"/>
      <c r="D96" s="189"/>
      <c r="E96" s="190"/>
      <c r="F96" s="270">
        <f t="shared" si="11"/>
        <v>29</v>
      </c>
      <c r="G96" s="191"/>
      <c r="H96" s="268" t="str">
        <f t="shared" si="13"/>
        <v/>
      </c>
      <c r="I96" s="269" t="str">
        <f t="shared" si="13"/>
        <v/>
      </c>
      <c r="J96" s="270">
        <f t="shared" si="12"/>
        <v>630</v>
      </c>
    </row>
    <row r="97" spans="1:10" s="37" customFormat="1" ht="15" customHeight="1" outlineLevel="1">
      <c r="A97" s="273">
        <f t="shared" si="10"/>
        <v>89</v>
      </c>
      <c r="B97" s="187"/>
      <c r="C97" s="188"/>
      <c r="D97" s="189"/>
      <c r="E97" s="190"/>
      <c r="F97" s="270">
        <f t="shared" si="11"/>
        <v>29</v>
      </c>
      <c r="G97" s="191"/>
      <c r="H97" s="268" t="str">
        <f t="shared" si="13"/>
        <v/>
      </c>
      <c r="I97" s="269" t="str">
        <f t="shared" si="13"/>
        <v/>
      </c>
      <c r="J97" s="270">
        <f t="shared" si="12"/>
        <v>630</v>
      </c>
    </row>
    <row r="98" spans="1:10" s="37" customFormat="1" ht="15" customHeight="1" outlineLevel="1">
      <c r="A98" s="273">
        <f t="shared" si="10"/>
        <v>90</v>
      </c>
      <c r="B98" s="187"/>
      <c r="C98" s="188"/>
      <c r="D98" s="189"/>
      <c r="E98" s="190"/>
      <c r="F98" s="270">
        <f t="shared" si="11"/>
        <v>29</v>
      </c>
      <c r="G98" s="191"/>
      <c r="H98" s="268" t="str">
        <f t="shared" si="13"/>
        <v/>
      </c>
      <c r="I98" s="269" t="str">
        <f t="shared" si="13"/>
        <v/>
      </c>
      <c r="J98" s="270">
        <f t="shared" si="12"/>
        <v>630</v>
      </c>
    </row>
    <row r="99" spans="1:10" s="37" customFormat="1" ht="15" customHeight="1" outlineLevel="1">
      <c r="A99" s="273">
        <f t="shared" si="10"/>
        <v>91</v>
      </c>
      <c r="B99" s="187"/>
      <c r="C99" s="188"/>
      <c r="D99" s="189"/>
      <c r="E99" s="190"/>
      <c r="F99" s="270">
        <f t="shared" si="11"/>
        <v>29</v>
      </c>
      <c r="G99" s="191"/>
      <c r="H99" s="268" t="str">
        <f t="shared" si="13"/>
        <v/>
      </c>
      <c r="I99" s="269" t="str">
        <f t="shared" si="13"/>
        <v/>
      </c>
      <c r="J99" s="270">
        <f t="shared" si="12"/>
        <v>630</v>
      </c>
    </row>
    <row r="100" spans="1:10" s="37" customFormat="1" ht="15" customHeight="1" outlineLevel="1">
      <c r="A100" s="273">
        <f t="shared" si="10"/>
        <v>92</v>
      </c>
      <c r="B100" s="187"/>
      <c r="C100" s="188"/>
      <c r="D100" s="189"/>
      <c r="E100" s="190"/>
      <c r="F100" s="270">
        <f t="shared" si="11"/>
        <v>29</v>
      </c>
      <c r="G100" s="191"/>
      <c r="H100" s="268" t="str">
        <f t="shared" si="13"/>
        <v/>
      </c>
      <c r="I100" s="269" t="str">
        <f t="shared" si="13"/>
        <v/>
      </c>
      <c r="J100" s="270">
        <f t="shared" si="12"/>
        <v>630</v>
      </c>
    </row>
    <row r="101" spans="1:10" s="37" customFormat="1" ht="15" customHeight="1" outlineLevel="1">
      <c r="A101" s="273">
        <f t="shared" si="10"/>
        <v>93</v>
      </c>
      <c r="B101" s="187"/>
      <c r="C101" s="188"/>
      <c r="D101" s="189"/>
      <c r="E101" s="190"/>
      <c r="F101" s="270">
        <f t="shared" si="11"/>
        <v>29</v>
      </c>
      <c r="G101" s="191"/>
      <c r="H101" s="268" t="str">
        <f t="shared" si="13"/>
        <v/>
      </c>
      <c r="I101" s="269" t="str">
        <f t="shared" si="13"/>
        <v/>
      </c>
      <c r="J101" s="270">
        <f t="shared" si="12"/>
        <v>630</v>
      </c>
    </row>
    <row r="102" spans="1:10" s="37" customFormat="1" ht="15" customHeight="1" outlineLevel="1">
      <c r="A102" s="273">
        <f t="shared" si="10"/>
        <v>94</v>
      </c>
      <c r="B102" s="187"/>
      <c r="C102" s="188"/>
      <c r="D102" s="189"/>
      <c r="E102" s="190"/>
      <c r="F102" s="270">
        <f t="shared" si="11"/>
        <v>29</v>
      </c>
      <c r="G102" s="191"/>
      <c r="H102" s="268" t="str">
        <f t="shared" si="13"/>
        <v/>
      </c>
      <c r="I102" s="269" t="str">
        <f t="shared" si="13"/>
        <v/>
      </c>
      <c r="J102" s="270">
        <f t="shared" si="12"/>
        <v>630</v>
      </c>
    </row>
    <row r="103" spans="1:10" s="37" customFormat="1" ht="15" customHeight="1" outlineLevel="1">
      <c r="A103" s="273">
        <f t="shared" si="10"/>
        <v>95</v>
      </c>
      <c r="B103" s="187"/>
      <c r="C103" s="188"/>
      <c r="D103" s="189"/>
      <c r="E103" s="190"/>
      <c r="F103" s="270">
        <f t="shared" si="11"/>
        <v>29</v>
      </c>
      <c r="G103" s="191"/>
      <c r="H103" s="268" t="str">
        <f t="shared" si="13"/>
        <v/>
      </c>
      <c r="I103" s="269" t="str">
        <f t="shared" si="13"/>
        <v/>
      </c>
      <c r="J103" s="270">
        <f t="shared" si="12"/>
        <v>630</v>
      </c>
    </row>
    <row r="104" spans="1:10" s="37" customFormat="1" ht="15" customHeight="1" outlineLevel="1">
      <c r="A104" s="273">
        <f t="shared" si="10"/>
        <v>96</v>
      </c>
      <c r="B104" s="187"/>
      <c r="C104" s="188"/>
      <c r="D104" s="189"/>
      <c r="E104" s="190"/>
      <c r="F104" s="270">
        <f t="shared" si="11"/>
        <v>29</v>
      </c>
      <c r="G104" s="191"/>
      <c r="H104" s="268" t="str">
        <f t="shared" si="13"/>
        <v/>
      </c>
      <c r="I104" s="269" t="str">
        <f t="shared" si="13"/>
        <v/>
      </c>
      <c r="J104" s="270">
        <f t="shared" si="12"/>
        <v>630</v>
      </c>
    </row>
    <row r="105" spans="1:10" s="37" customFormat="1" ht="15" customHeight="1" outlineLevel="1">
      <c r="A105" s="273">
        <f t="shared" si="10"/>
        <v>97</v>
      </c>
      <c r="B105" s="187"/>
      <c r="C105" s="188"/>
      <c r="D105" s="189"/>
      <c r="E105" s="190"/>
      <c r="F105" s="270">
        <f t="shared" si="11"/>
        <v>29</v>
      </c>
      <c r="G105" s="191"/>
      <c r="H105" s="268" t="str">
        <f t="shared" si="13"/>
        <v/>
      </c>
      <c r="I105" s="269" t="str">
        <f t="shared" si="13"/>
        <v/>
      </c>
      <c r="J105" s="270">
        <f t="shared" si="12"/>
        <v>630</v>
      </c>
    </row>
    <row r="106" spans="1:10" s="37" customFormat="1" ht="15" customHeight="1" outlineLevel="1">
      <c r="A106" s="273">
        <f t="shared" si="10"/>
        <v>98</v>
      </c>
      <c r="B106" s="187"/>
      <c r="C106" s="188"/>
      <c r="D106" s="189"/>
      <c r="E106" s="190"/>
      <c r="F106" s="270">
        <f t="shared" si="11"/>
        <v>29</v>
      </c>
      <c r="G106" s="191"/>
      <c r="H106" s="268" t="str">
        <f t="shared" si="13"/>
        <v/>
      </c>
      <c r="I106" s="269" t="str">
        <f t="shared" si="13"/>
        <v/>
      </c>
      <c r="J106" s="270">
        <f t="shared" si="12"/>
        <v>630</v>
      </c>
    </row>
    <row r="107" spans="1:10" s="37" customFormat="1" ht="15" customHeight="1" outlineLevel="1">
      <c r="A107" s="273">
        <f t="shared" si="10"/>
        <v>99</v>
      </c>
      <c r="B107" s="187"/>
      <c r="C107" s="188"/>
      <c r="D107" s="189"/>
      <c r="E107" s="190"/>
      <c r="F107" s="270">
        <f t="shared" si="11"/>
        <v>29</v>
      </c>
      <c r="G107" s="191"/>
      <c r="H107" s="268" t="str">
        <f t="shared" si="13"/>
        <v/>
      </c>
      <c r="I107" s="269" t="str">
        <f t="shared" si="13"/>
        <v/>
      </c>
      <c r="J107" s="270">
        <f t="shared" si="12"/>
        <v>630</v>
      </c>
    </row>
    <row r="108" spans="1:10" s="37" customFormat="1" ht="15" customHeight="1" outlineLevel="1">
      <c r="A108" s="273">
        <f t="shared" si="10"/>
        <v>100</v>
      </c>
      <c r="B108" s="187"/>
      <c r="C108" s="188"/>
      <c r="D108" s="189"/>
      <c r="E108" s="190"/>
      <c r="F108" s="270">
        <f t="shared" si="11"/>
        <v>29</v>
      </c>
      <c r="G108" s="191"/>
      <c r="H108" s="268" t="str">
        <f t="shared" si="13"/>
        <v/>
      </c>
      <c r="I108" s="269" t="str">
        <f t="shared" si="13"/>
        <v/>
      </c>
      <c r="J108" s="270">
        <f t="shared" si="12"/>
        <v>630</v>
      </c>
    </row>
    <row r="109" spans="1:10" s="37" customFormat="1" ht="15" customHeight="1" outlineLevel="1">
      <c r="A109" s="273">
        <f t="shared" si="10"/>
        <v>101</v>
      </c>
      <c r="B109" s="187"/>
      <c r="C109" s="188"/>
      <c r="D109" s="189"/>
      <c r="E109" s="190"/>
      <c r="F109" s="270">
        <f t="shared" si="11"/>
        <v>29</v>
      </c>
      <c r="G109" s="191"/>
      <c r="H109" s="268" t="str">
        <f t="shared" si="13"/>
        <v/>
      </c>
      <c r="I109" s="269" t="str">
        <f t="shared" si="13"/>
        <v/>
      </c>
      <c r="J109" s="270">
        <f t="shared" si="12"/>
        <v>630</v>
      </c>
    </row>
    <row r="110" spans="1:10" s="37" customFormat="1" ht="15" customHeight="1" outlineLevel="1">
      <c r="A110" s="273">
        <f t="shared" si="10"/>
        <v>102</v>
      </c>
      <c r="B110" s="187"/>
      <c r="C110" s="188"/>
      <c r="D110" s="189"/>
      <c r="E110" s="190"/>
      <c r="F110" s="270">
        <f t="shared" si="11"/>
        <v>29</v>
      </c>
      <c r="G110" s="191"/>
      <c r="H110" s="268" t="str">
        <f t="shared" si="13"/>
        <v/>
      </c>
      <c r="I110" s="269" t="str">
        <f t="shared" si="13"/>
        <v/>
      </c>
      <c r="J110" s="270">
        <f t="shared" si="12"/>
        <v>630</v>
      </c>
    </row>
    <row r="111" spans="1:10" s="37" customFormat="1" ht="15" customHeight="1" outlineLevel="1">
      <c r="A111" s="273">
        <f t="shared" si="10"/>
        <v>103</v>
      </c>
      <c r="B111" s="187"/>
      <c r="C111" s="188"/>
      <c r="D111" s="189"/>
      <c r="E111" s="190"/>
      <c r="F111" s="270">
        <f t="shared" si="11"/>
        <v>29</v>
      </c>
      <c r="G111" s="191"/>
      <c r="H111" s="268" t="str">
        <f t="shared" si="13"/>
        <v/>
      </c>
      <c r="I111" s="269" t="str">
        <f t="shared" si="13"/>
        <v/>
      </c>
      <c r="J111" s="270">
        <f t="shared" si="12"/>
        <v>630</v>
      </c>
    </row>
    <row r="112" spans="1:10" s="37" customFormat="1" ht="15" customHeight="1" outlineLevel="1">
      <c r="A112" s="273">
        <f t="shared" si="10"/>
        <v>104</v>
      </c>
      <c r="B112" s="187"/>
      <c r="C112" s="188"/>
      <c r="D112" s="189"/>
      <c r="E112" s="190"/>
      <c r="F112" s="270">
        <f t="shared" si="11"/>
        <v>29</v>
      </c>
      <c r="G112" s="191"/>
      <c r="H112" s="268" t="str">
        <f t="shared" si="13"/>
        <v/>
      </c>
      <c r="I112" s="269" t="str">
        <f t="shared" si="13"/>
        <v/>
      </c>
      <c r="J112" s="270">
        <f t="shared" si="12"/>
        <v>630</v>
      </c>
    </row>
    <row r="113" spans="1:10" s="37" customFormat="1" ht="15" customHeight="1" outlineLevel="1">
      <c r="A113" s="273">
        <f t="shared" si="10"/>
        <v>105</v>
      </c>
      <c r="B113" s="187"/>
      <c r="C113" s="188"/>
      <c r="D113" s="189"/>
      <c r="E113" s="190"/>
      <c r="F113" s="270">
        <f t="shared" si="11"/>
        <v>29</v>
      </c>
      <c r="G113" s="191"/>
      <c r="H113" s="268" t="str">
        <f t="shared" si="13"/>
        <v/>
      </c>
      <c r="I113" s="269" t="str">
        <f t="shared" si="13"/>
        <v/>
      </c>
      <c r="J113" s="270">
        <f t="shared" si="12"/>
        <v>630</v>
      </c>
    </row>
    <row r="114" spans="1:10" s="37" customFormat="1" ht="15" customHeight="1" outlineLevel="1">
      <c r="A114" s="273">
        <f t="shared" si="10"/>
        <v>106</v>
      </c>
      <c r="B114" s="187"/>
      <c r="C114" s="188"/>
      <c r="D114" s="189"/>
      <c r="E114" s="190"/>
      <c r="F114" s="270">
        <f t="shared" si="11"/>
        <v>29</v>
      </c>
      <c r="G114" s="191"/>
      <c r="H114" s="268" t="str">
        <f t="shared" si="13"/>
        <v/>
      </c>
      <c r="I114" s="269" t="str">
        <f t="shared" si="13"/>
        <v/>
      </c>
      <c r="J114" s="270">
        <f t="shared" si="12"/>
        <v>630</v>
      </c>
    </row>
    <row r="115" spans="1:10" s="37" customFormat="1" ht="15" customHeight="1" outlineLevel="1">
      <c r="A115" s="273">
        <f t="shared" si="10"/>
        <v>107</v>
      </c>
      <c r="B115" s="187"/>
      <c r="C115" s="188"/>
      <c r="D115" s="189"/>
      <c r="E115" s="190"/>
      <c r="F115" s="270">
        <f t="shared" si="11"/>
        <v>29</v>
      </c>
      <c r="G115" s="191"/>
      <c r="H115" s="268" t="str">
        <f t="shared" si="13"/>
        <v/>
      </c>
      <c r="I115" s="269" t="str">
        <f t="shared" si="13"/>
        <v/>
      </c>
      <c r="J115" s="270">
        <f t="shared" si="12"/>
        <v>630</v>
      </c>
    </row>
    <row r="116" spans="1:10" s="37" customFormat="1" ht="15" customHeight="1" outlineLevel="1">
      <c r="A116" s="273">
        <f t="shared" si="10"/>
        <v>108</v>
      </c>
      <c r="B116" s="187"/>
      <c r="C116" s="188"/>
      <c r="D116" s="189"/>
      <c r="E116" s="190"/>
      <c r="F116" s="270">
        <f t="shared" si="11"/>
        <v>29</v>
      </c>
      <c r="G116" s="191"/>
      <c r="H116" s="268" t="str">
        <f t="shared" si="13"/>
        <v/>
      </c>
      <c r="I116" s="269" t="str">
        <f t="shared" si="13"/>
        <v/>
      </c>
      <c r="J116" s="270">
        <f t="shared" si="12"/>
        <v>630</v>
      </c>
    </row>
    <row r="117" spans="1:10" s="37" customFormat="1" ht="15" customHeight="1" outlineLevel="1">
      <c r="A117" s="273">
        <f t="shared" si="10"/>
        <v>109</v>
      </c>
      <c r="B117" s="187"/>
      <c r="C117" s="188"/>
      <c r="D117" s="189"/>
      <c r="E117" s="190"/>
      <c r="F117" s="270">
        <f t="shared" si="11"/>
        <v>29</v>
      </c>
      <c r="G117" s="191"/>
      <c r="H117" s="268" t="str">
        <f t="shared" si="13"/>
        <v/>
      </c>
      <c r="I117" s="269" t="str">
        <f t="shared" si="13"/>
        <v/>
      </c>
      <c r="J117" s="270">
        <f t="shared" si="12"/>
        <v>630</v>
      </c>
    </row>
    <row r="118" spans="1:10" s="37" customFormat="1" ht="15" customHeight="1" outlineLevel="1">
      <c r="A118" s="273">
        <f t="shared" si="10"/>
        <v>110</v>
      </c>
      <c r="B118" s="187"/>
      <c r="C118" s="188"/>
      <c r="D118" s="189"/>
      <c r="E118" s="190"/>
      <c r="F118" s="270">
        <f t="shared" si="11"/>
        <v>29</v>
      </c>
      <c r="G118" s="191"/>
      <c r="H118" s="268" t="str">
        <f t="shared" si="13"/>
        <v/>
      </c>
      <c r="I118" s="269" t="str">
        <f t="shared" si="13"/>
        <v/>
      </c>
      <c r="J118" s="270">
        <f t="shared" si="12"/>
        <v>630</v>
      </c>
    </row>
    <row r="119" spans="1:10" s="37" customFormat="1" ht="15" customHeight="1" outlineLevel="1">
      <c r="A119" s="273">
        <f t="shared" si="10"/>
        <v>111</v>
      </c>
      <c r="B119" s="187"/>
      <c r="C119" s="188"/>
      <c r="D119" s="189"/>
      <c r="E119" s="190"/>
      <c r="F119" s="270">
        <f t="shared" si="11"/>
        <v>29</v>
      </c>
      <c r="G119" s="191"/>
      <c r="H119" s="268" t="str">
        <f t="shared" ref="H119:I135" si="14">IF(D119="","",IF($G119="","",IF($G119="ΟΧΙ","",D119)))</f>
        <v/>
      </c>
      <c r="I119" s="269" t="str">
        <f t="shared" si="14"/>
        <v/>
      </c>
      <c r="J119" s="270">
        <f t="shared" si="12"/>
        <v>630</v>
      </c>
    </row>
    <row r="120" spans="1:10" s="37" customFormat="1" ht="15" customHeight="1" outlineLevel="1">
      <c r="A120" s="273">
        <f t="shared" si="10"/>
        <v>112</v>
      </c>
      <c r="B120" s="187"/>
      <c r="C120" s="188"/>
      <c r="D120" s="189"/>
      <c r="E120" s="190"/>
      <c r="F120" s="270">
        <f t="shared" si="11"/>
        <v>29</v>
      </c>
      <c r="G120" s="191"/>
      <c r="H120" s="268" t="str">
        <f t="shared" si="14"/>
        <v/>
      </c>
      <c r="I120" s="269" t="str">
        <f t="shared" si="14"/>
        <v/>
      </c>
      <c r="J120" s="270">
        <f t="shared" si="12"/>
        <v>630</v>
      </c>
    </row>
    <row r="121" spans="1:10" s="37" customFormat="1" ht="15" customHeight="1" outlineLevel="1">
      <c r="A121" s="273">
        <f t="shared" si="10"/>
        <v>113</v>
      </c>
      <c r="B121" s="187"/>
      <c r="C121" s="188"/>
      <c r="D121" s="189"/>
      <c r="E121" s="190"/>
      <c r="F121" s="270">
        <f t="shared" si="11"/>
        <v>29</v>
      </c>
      <c r="G121" s="191"/>
      <c r="H121" s="268" t="str">
        <f t="shared" si="14"/>
        <v/>
      </c>
      <c r="I121" s="269" t="str">
        <f t="shared" si="14"/>
        <v/>
      </c>
      <c r="J121" s="270">
        <f t="shared" si="12"/>
        <v>630</v>
      </c>
    </row>
    <row r="122" spans="1:10" s="37" customFormat="1" ht="15" customHeight="1" outlineLevel="1">
      <c r="A122" s="273">
        <f t="shared" si="10"/>
        <v>114</v>
      </c>
      <c r="B122" s="187"/>
      <c r="C122" s="188"/>
      <c r="D122" s="189"/>
      <c r="E122" s="190"/>
      <c r="F122" s="270">
        <f t="shared" si="11"/>
        <v>29</v>
      </c>
      <c r="G122" s="191"/>
      <c r="H122" s="268" t="str">
        <f t="shared" si="14"/>
        <v/>
      </c>
      <c r="I122" s="269" t="str">
        <f t="shared" si="14"/>
        <v/>
      </c>
      <c r="J122" s="270">
        <f t="shared" si="12"/>
        <v>630</v>
      </c>
    </row>
    <row r="123" spans="1:10" s="37" customFormat="1" ht="15" customHeight="1" outlineLevel="1">
      <c r="A123" s="273">
        <f t="shared" si="10"/>
        <v>115</v>
      </c>
      <c r="B123" s="187"/>
      <c r="C123" s="188"/>
      <c r="D123" s="189"/>
      <c r="E123" s="190"/>
      <c r="F123" s="270">
        <f t="shared" si="11"/>
        <v>29</v>
      </c>
      <c r="G123" s="191"/>
      <c r="H123" s="268" t="str">
        <f t="shared" si="14"/>
        <v/>
      </c>
      <c r="I123" s="269" t="str">
        <f t="shared" si="14"/>
        <v/>
      </c>
      <c r="J123" s="270">
        <f t="shared" si="12"/>
        <v>630</v>
      </c>
    </row>
    <row r="124" spans="1:10" s="37" customFormat="1" ht="15" customHeight="1" outlineLevel="1">
      <c r="A124" s="273">
        <f t="shared" si="10"/>
        <v>116</v>
      </c>
      <c r="B124" s="187"/>
      <c r="C124" s="188"/>
      <c r="D124" s="189"/>
      <c r="E124" s="190"/>
      <c r="F124" s="270">
        <f t="shared" si="11"/>
        <v>29</v>
      </c>
      <c r="G124" s="191"/>
      <c r="H124" s="268" t="str">
        <f t="shared" si="14"/>
        <v/>
      </c>
      <c r="I124" s="269" t="str">
        <f t="shared" si="14"/>
        <v/>
      </c>
      <c r="J124" s="270">
        <f t="shared" si="12"/>
        <v>630</v>
      </c>
    </row>
    <row r="125" spans="1:10" s="37" customFormat="1" ht="15" customHeight="1" outlineLevel="1">
      <c r="A125" s="273">
        <f t="shared" si="10"/>
        <v>117</v>
      </c>
      <c r="B125" s="187"/>
      <c r="C125" s="188"/>
      <c r="D125" s="189"/>
      <c r="E125" s="190"/>
      <c r="F125" s="270">
        <f t="shared" si="11"/>
        <v>29</v>
      </c>
      <c r="G125" s="191"/>
      <c r="H125" s="268" t="str">
        <f t="shared" si="14"/>
        <v/>
      </c>
      <c r="I125" s="269" t="str">
        <f t="shared" si="14"/>
        <v/>
      </c>
      <c r="J125" s="270">
        <f t="shared" si="12"/>
        <v>630</v>
      </c>
    </row>
    <row r="126" spans="1:10" s="37" customFormat="1" ht="15" customHeight="1" outlineLevel="1">
      <c r="A126" s="273">
        <f t="shared" si="10"/>
        <v>118</v>
      </c>
      <c r="B126" s="187"/>
      <c r="C126" s="188"/>
      <c r="D126" s="189"/>
      <c r="E126" s="190"/>
      <c r="F126" s="270">
        <f t="shared" si="11"/>
        <v>29</v>
      </c>
      <c r="G126" s="191"/>
      <c r="H126" s="268" t="str">
        <f t="shared" si="14"/>
        <v/>
      </c>
      <c r="I126" s="269" t="str">
        <f t="shared" si="14"/>
        <v/>
      </c>
      <c r="J126" s="270">
        <f t="shared" si="12"/>
        <v>630</v>
      </c>
    </row>
    <row r="127" spans="1:10" s="37" customFormat="1" ht="15" customHeight="1" outlineLevel="1">
      <c r="A127" s="273">
        <f t="shared" si="10"/>
        <v>119</v>
      </c>
      <c r="B127" s="187"/>
      <c r="C127" s="188"/>
      <c r="D127" s="189"/>
      <c r="E127" s="190"/>
      <c r="F127" s="270">
        <f t="shared" si="11"/>
        <v>29</v>
      </c>
      <c r="G127" s="191"/>
      <c r="H127" s="268" t="str">
        <f t="shared" si="14"/>
        <v/>
      </c>
      <c r="I127" s="269" t="str">
        <f t="shared" si="14"/>
        <v/>
      </c>
      <c r="J127" s="270">
        <f t="shared" si="12"/>
        <v>630</v>
      </c>
    </row>
    <row r="128" spans="1:10" s="37" customFormat="1" ht="15" customHeight="1" outlineLevel="1">
      <c r="A128" s="273">
        <f t="shared" si="10"/>
        <v>120</v>
      </c>
      <c r="B128" s="187"/>
      <c r="C128" s="188"/>
      <c r="D128" s="189"/>
      <c r="E128" s="190"/>
      <c r="F128" s="270">
        <f t="shared" si="11"/>
        <v>29</v>
      </c>
      <c r="G128" s="191"/>
      <c r="H128" s="268" t="str">
        <f t="shared" si="14"/>
        <v/>
      </c>
      <c r="I128" s="269" t="str">
        <f t="shared" si="14"/>
        <v/>
      </c>
      <c r="J128" s="270">
        <f t="shared" si="12"/>
        <v>630</v>
      </c>
    </row>
    <row r="129" spans="1:10" s="37" customFormat="1" ht="15" customHeight="1" outlineLevel="1">
      <c r="A129" s="273">
        <f t="shared" si="10"/>
        <v>121</v>
      </c>
      <c r="B129" s="187"/>
      <c r="C129" s="188"/>
      <c r="D129" s="189"/>
      <c r="E129" s="190"/>
      <c r="F129" s="270">
        <f t="shared" si="11"/>
        <v>29</v>
      </c>
      <c r="G129" s="191"/>
      <c r="H129" s="268" t="str">
        <f t="shared" si="14"/>
        <v/>
      </c>
      <c r="I129" s="269" t="str">
        <f t="shared" si="14"/>
        <v/>
      </c>
      <c r="J129" s="270">
        <f t="shared" si="12"/>
        <v>630</v>
      </c>
    </row>
    <row r="130" spans="1:10" s="37" customFormat="1" ht="15" customHeight="1" outlineLevel="1">
      <c r="A130" s="273">
        <f t="shared" si="10"/>
        <v>122</v>
      </c>
      <c r="B130" s="187"/>
      <c r="C130" s="188"/>
      <c r="D130" s="189"/>
      <c r="E130" s="190"/>
      <c r="F130" s="270">
        <f t="shared" si="11"/>
        <v>29</v>
      </c>
      <c r="G130" s="191"/>
      <c r="H130" s="268" t="str">
        <f t="shared" si="14"/>
        <v/>
      </c>
      <c r="I130" s="269" t="str">
        <f t="shared" si="14"/>
        <v/>
      </c>
      <c r="J130" s="270">
        <f t="shared" si="12"/>
        <v>630</v>
      </c>
    </row>
    <row r="131" spans="1:10" s="37" customFormat="1" ht="15" customHeight="1" outlineLevel="1">
      <c r="A131" s="273">
        <f t="shared" si="10"/>
        <v>123</v>
      </c>
      <c r="B131" s="187"/>
      <c r="C131" s="188"/>
      <c r="D131" s="189"/>
      <c r="E131" s="190"/>
      <c r="F131" s="270">
        <f t="shared" si="11"/>
        <v>29</v>
      </c>
      <c r="G131" s="191"/>
      <c r="H131" s="268" t="str">
        <f t="shared" si="14"/>
        <v/>
      </c>
      <c r="I131" s="269" t="str">
        <f t="shared" si="14"/>
        <v/>
      </c>
      <c r="J131" s="270">
        <f t="shared" si="12"/>
        <v>630</v>
      </c>
    </row>
    <row r="132" spans="1:10" s="37" customFormat="1" ht="15" customHeight="1" outlineLevel="1">
      <c r="A132" s="273">
        <f t="shared" si="10"/>
        <v>124</v>
      </c>
      <c r="B132" s="187"/>
      <c r="C132" s="188"/>
      <c r="D132" s="189"/>
      <c r="E132" s="190"/>
      <c r="F132" s="270">
        <f t="shared" si="11"/>
        <v>29</v>
      </c>
      <c r="G132" s="191"/>
      <c r="H132" s="268" t="str">
        <f t="shared" si="14"/>
        <v/>
      </c>
      <c r="I132" s="269" t="str">
        <f t="shared" si="14"/>
        <v/>
      </c>
      <c r="J132" s="270">
        <f t="shared" si="12"/>
        <v>630</v>
      </c>
    </row>
    <row r="133" spans="1:10" s="37" customFormat="1" ht="15" customHeight="1" outlineLevel="1">
      <c r="A133" s="273">
        <f t="shared" si="10"/>
        <v>125</v>
      </c>
      <c r="B133" s="187"/>
      <c r="C133" s="188"/>
      <c r="D133" s="189"/>
      <c r="E133" s="190"/>
      <c r="F133" s="270">
        <f t="shared" si="11"/>
        <v>29</v>
      </c>
      <c r="G133" s="191"/>
      <c r="H133" s="268" t="str">
        <f t="shared" si="14"/>
        <v/>
      </c>
      <c r="I133" s="269" t="str">
        <f t="shared" si="14"/>
        <v/>
      </c>
      <c r="J133" s="270">
        <f t="shared" si="12"/>
        <v>630</v>
      </c>
    </row>
    <row r="134" spans="1:10" s="37" customFormat="1" ht="15" customHeight="1" outlineLevel="1">
      <c r="A134" s="273">
        <f t="shared" si="10"/>
        <v>126</v>
      </c>
      <c r="B134" s="187"/>
      <c r="C134" s="188"/>
      <c r="D134" s="189"/>
      <c r="E134" s="190"/>
      <c r="F134" s="270">
        <f t="shared" si="11"/>
        <v>29</v>
      </c>
      <c r="G134" s="191"/>
      <c r="H134" s="268" t="str">
        <f t="shared" si="14"/>
        <v/>
      </c>
      <c r="I134" s="269" t="str">
        <f t="shared" si="14"/>
        <v/>
      </c>
      <c r="J134" s="270">
        <f t="shared" si="12"/>
        <v>630</v>
      </c>
    </row>
    <row r="135" spans="1:10" s="37" customFormat="1" ht="15" customHeight="1" outlineLevel="1">
      <c r="A135" s="273">
        <f t="shared" si="10"/>
        <v>127</v>
      </c>
      <c r="B135" s="187"/>
      <c r="C135" s="188"/>
      <c r="D135" s="189"/>
      <c r="E135" s="190"/>
      <c r="F135" s="270">
        <f t="shared" si="11"/>
        <v>29</v>
      </c>
      <c r="G135" s="191"/>
      <c r="H135" s="268" t="str">
        <f t="shared" si="14"/>
        <v/>
      </c>
      <c r="I135" s="269" t="str">
        <f t="shared" si="14"/>
        <v/>
      </c>
      <c r="J135" s="270">
        <f t="shared" si="12"/>
        <v>630</v>
      </c>
    </row>
    <row r="136" spans="1:10" s="37" customFormat="1" ht="15" customHeight="1" outlineLevel="1">
      <c r="A136" s="273">
        <f t="shared" si="10"/>
        <v>128</v>
      </c>
      <c r="B136" s="187"/>
      <c r="C136" s="188"/>
      <c r="D136" s="189"/>
      <c r="E136" s="190"/>
      <c r="F136" s="270">
        <f t="shared" si="11"/>
        <v>29</v>
      </c>
      <c r="G136" s="191"/>
      <c r="H136" s="268" t="str">
        <f t="shared" ref="H136:I151" si="15">IF(D136="","",IF($G136="","",IF($G136="ΟΧΙ","",D136)))</f>
        <v/>
      </c>
      <c r="I136" s="269" t="str">
        <f t="shared" si="15"/>
        <v/>
      </c>
      <c r="J136" s="270">
        <f t="shared" si="12"/>
        <v>630</v>
      </c>
    </row>
    <row r="137" spans="1:10" s="37" customFormat="1" ht="15" customHeight="1" outlineLevel="1">
      <c r="A137" s="273">
        <f t="shared" si="10"/>
        <v>129</v>
      </c>
      <c r="B137" s="187"/>
      <c r="C137" s="188"/>
      <c r="D137" s="189"/>
      <c r="E137" s="190"/>
      <c r="F137" s="270">
        <f t="shared" si="11"/>
        <v>29</v>
      </c>
      <c r="G137" s="191"/>
      <c r="H137" s="268" t="str">
        <f t="shared" si="15"/>
        <v/>
      </c>
      <c r="I137" s="269" t="str">
        <f t="shared" si="15"/>
        <v/>
      </c>
      <c r="J137" s="270">
        <f t="shared" si="12"/>
        <v>630</v>
      </c>
    </row>
    <row r="138" spans="1:10" s="37" customFormat="1" ht="15" customHeight="1" outlineLevel="1">
      <c r="A138" s="273">
        <f t="shared" si="10"/>
        <v>130</v>
      </c>
      <c r="B138" s="187"/>
      <c r="C138" s="188"/>
      <c r="D138" s="195"/>
      <c r="E138" s="190"/>
      <c r="F138" s="270">
        <f t="shared" si="11"/>
        <v>29</v>
      </c>
      <c r="G138" s="191"/>
      <c r="H138" s="268" t="str">
        <f t="shared" si="15"/>
        <v/>
      </c>
      <c r="I138" s="269" t="str">
        <f t="shared" si="15"/>
        <v/>
      </c>
      <c r="J138" s="270">
        <f t="shared" si="12"/>
        <v>630</v>
      </c>
    </row>
    <row r="139" spans="1:10" s="37" customFormat="1" ht="15" customHeight="1" outlineLevel="1">
      <c r="A139" s="273">
        <f t="shared" ref="A139:A194" si="16">A138+1</f>
        <v>131</v>
      </c>
      <c r="B139" s="187"/>
      <c r="C139" s="188"/>
      <c r="D139" s="195"/>
      <c r="E139" s="190"/>
      <c r="F139" s="270">
        <f t="shared" ref="F139:F194" si="17">F138+D139-E139</f>
        <v>29</v>
      </c>
      <c r="G139" s="191"/>
      <c r="H139" s="268" t="str">
        <f t="shared" si="15"/>
        <v/>
      </c>
      <c r="I139" s="269" t="str">
        <f t="shared" si="15"/>
        <v/>
      </c>
      <c r="J139" s="270">
        <f t="shared" ref="J139:J194" si="18">IF(AND(H139="",I139=""),J138,IF(H139="",J138-I139,J138+H139))</f>
        <v>630</v>
      </c>
    </row>
    <row r="140" spans="1:10" s="37" customFormat="1" ht="15" customHeight="1" outlineLevel="1">
      <c r="A140" s="273">
        <f t="shared" si="16"/>
        <v>132</v>
      </c>
      <c r="B140" s="187"/>
      <c r="C140" s="188"/>
      <c r="D140" s="195"/>
      <c r="E140" s="190"/>
      <c r="F140" s="270">
        <f t="shared" si="17"/>
        <v>29</v>
      </c>
      <c r="G140" s="191"/>
      <c r="H140" s="268" t="str">
        <f t="shared" si="15"/>
        <v/>
      </c>
      <c r="I140" s="269" t="str">
        <f t="shared" si="15"/>
        <v/>
      </c>
      <c r="J140" s="270">
        <f t="shared" si="18"/>
        <v>630</v>
      </c>
    </row>
    <row r="141" spans="1:10" s="37" customFormat="1" ht="15" customHeight="1" outlineLevel="1">
      <c r="A141" s="273">
        <f t="shared" si="16"/>
        <v>133</v>
      </c>
      <c r="B141" s="187"/>
      <c r="C141" s="188"/>
      <c r="D141" s="195"/>
      <c r="E141" s="190"/>
      <c r="F141" s="270">
        <f t="shared" si="17"/>
        <v>29</v>
      </c>
      <c r="G141" s="191"/>
      <c r="H141" s="268" t="str">
        <f t="shared" si="15"/>
        <v/>
      </c>
      <c r="I141" s="269" t="str">
        <f t="shared" si="15"/>
        <v/>
      </c>
      <c r="J141" s="270">
        <f t="shared" si="18"/>
        <v>630</v>
      </c>
    </row>
    <row r="142" spans="1:10" s="37" customFormat="1" ht="15" customHeight="1" outlineLevel="1">
      <c r="A142" s="273">
        <f t="shared" si="16"/>
        <v>134</v>
      </c>
      <c r="B142" s="187"/>
      <c r="C142" s="188"/>
      <c r="D142" s="195"/>
      <c r="E142" s="190"/>
      <c r="F142" s="270">
        <f t="shared" si="17"/>
        <v>29</v>
      </c>
      <c r="G142" s="191"/>
      <c r="H142" s="268" t="str">
        <f t="shared" si="15"/>
        <v/>
      </c>
      <c r="I142" s="269" t="str">
        <f t="shared" si="15"/>
        <v/>
      </c>
      <c r="J142" s="270">
        <f t="shared" si="18"/>
        <v>630</v>
      </c>
    </row>
    <row r="143" spans="1:10" s="37" customFormat="1" ht="15" customHeight="1" outlineLevel="1">
      <c r="A143" s="273">
        <f t="shared" si="16"/>
        <v>135</v>
      </c>
      <c r="B143" s="187"/>
      <c r="C143" s="188"/>
      <c r="D143" s="195"/>
      <c r="E143" s="190"/>
      <c r="F143" s="270">
        <f t="shared" si="17"/>
        <v>29</v>
      </c>
      <c r="G143" s="191"/>
      <c r="H143" s="268" t="str">
        <f t="shared" si="15"/>
        <v/>
      </c>
      <c r="I143" s="269" t="str">
        <f t="shared" si="15"/>
        <v/>
      </c>
      <c r="J143" s="270">
        <f t="shared" si="18"/>
        <v>630</v>
      </c>
    </row>
    <row r="144" spans="1:10" s="37" customFormat="1" ht="15" customHeight="1" outlineLevel="1">
      <c r="A144" s="273">
        <f t="shared" si="16"/>
        <v>136</v>
      </c>
      <c r="B144" s="187"/>
      <c r="C144" s="188"/>
      <c r="D144" s="195"/>
      <c r="E144" s="190"/>
      <c r="F144" s="270">
        <f t="shared" si="17"/>
        <v>29</v>
      </c>
      <c r="G144" s="191"/>
      <c r="H144" s="268" t="str">
        <f t="shared" si="15"/>
        <v/>
      </c>
      <c r="I144" s="269" t="str">
        <f t="shared" si="15"/>
        <v/>
      </c>
      <c r="J144" s="270">
        <f t="shared" si="18"/>
        <v>630</v>
      </c>
    </row>
    <row r="145" spans="1:10" s="37" customFormat="1" ht="15" customHeight="1" outlineLevel="1">
      <c r="A145" s="273">
        <f t="shared" si="16"/>
        <v>137</v>
      </c>
      <c r="B145" s="187"/>
      <c r="C145" s="188"/>
      <c r="D145" s="195"/>
      <c r="E145" s="190"/>
      <c r="F145" s="270">
        <f t="shared" si="17"/>
        <v>29</v>
      </c>
      <c r="G145" s="191"/>
      <c r="H145" s="268" t="str">
        <f t="shared" si="15"/>
        <v/>
      </c>
      <c r="I145" s="269" t="str">
        <f t="shared" si="15"/>
        <v/>
      </c>
      <c r="J145" s="270">
        <f t="shared" si="18"/>
        <v>630</v>
      </c>
    </row>
    <row r="146" spans="1:10" s="37" customFormat="1" ht="15" customHeight="1" outlineLevel="1">
      <c r="A146" s="273">
        <f t="shared" si="16"/>
        <v>138</v>
      </c>
      <c r="B146" s="187"/>
      <c r="C146" s="188"/>
      <c r="D146" s="195"/>
      <c r="E146" s="190"/>
      <c r="F146" s="270">
        <f t="shared" si="17"/>
        <v>29</v>
      </c>
      <c r="G146" s="191"/>
      <c r="H146" s="268" t="str">
        <f t="shared" si="15"/>
        <v/>
      </c>
      <c r="I146" s="269" t="str">
        <f t="shared" si="15"/>
        <v/>
      </c>
      <c r="J146" s="270">
        <f t="shared" si="18"/>
        <v>630</v>
      </c>
    </row>
    <row r="147" spans="1:10" s="37" customFormat="1" ht="15" customHeight="1" outlineLevel="1">
      <c r="A147" s="273">
        <f t="shared" si="16"/>
        <v>139</v>
      </c>
      <c r="B147" s="187"/>
      <c r="C147" s="188"/>
      <c r="D147" s="195"/>
      <c r="E147" s="190"/>
      <c r="F147" s="270">
        <f t="shared" si="17"/>
        <v>29</v>
      </c>
      <c r="G147" s="191"/>
      <c r="H147" s="268" t="str">
        <f t="shared" si="15"/>
        <v/>
      </c>
      <c r="I147" s="269" t="str">
        <f t="shared" si="15"/>
        <v/>
      </c>
      <c r="J147" s="270">
        <f t="shared" si="18"/>
        <v>630</v>
      </c>
    </row>
    <row r="148" spans="1:10" s="37" customFormat="1" ht="15" customHeight="1" outlineLevel="1">
      <c r="A148" s="273">
        <f t="shared" si="16"/>
        <v>140</v>
      </c>
      <c r="B148" s="187"/>
      <c r="C148" s="188"/>
      <c r="D148" s="189"/>
      <c r="E148" s="190"/>
      <c r="F148" s="270">
        <f t="shared" si="17"/>
        <v>29</v>
      </c>
      <c r="G148" s="191"/>
      <c r="H148" s="268" t="str">
        <f t="shared" si="15"/>
        <v/>
      </c>
      <c r="I148" s="269" t="str">
        <f t="shared" si="15"/>
        <v/>
      </c>
      <c r="J148" s="270">
        <f t="shared" si="18"/>
        <v>630</v>
      </c>
    </row>
    <row r="149" spans="1:10" s="37" customFormat="1" ht="15" customHeight="1" outlineLevel="1">
      <c r="A149" s="273">
        <f t="shared" si="16"/>
        <v>141</v>
      </c>
      <c r="B149" s="187"/>
      <c r="C149" s="188"/>
      <c r="D149" s="189"/>
      <c r="E149" s="190"/>
      <c r="F149" s="270">
        <f t="shared" si="17"/>
        <v>29</v>
      </c>
      <c r="G149" s="191"/>
      <c r="H149" s="268" t="str">
        <f t="shared" si="15"/>
        <v/>
      </c>
      <c r="I149" s="269" t="str">
        <f t="shared" si="15"/>
        <v/>
      </c>
      <c r="J149" s="270">
        <f t="shared" si="18"/>
        <v>630</v>
      </c>
    </row>
    <row r="150" spans="1:10" s="37" customFormat="1" ht="15" customHeight="1" outlineLevel="1">
      <c r="A150" s="273">
        <f t="shared" si="16"/>
        <v>142</v>
      </c>
      <c r="B150" s="187"/>
      <c r="C150" s="188"/>
      <c r="D150" s="189"/>
      <c r="E150" s="190"/>
      <c r="F150" s="270">
        <f t="shared" si="17"/>
        <v>29</v>
      </c>
      <c r="G150" s="191"/>
      <c r="H150" s="268" t="str">
        <f t="shared" si="15"/>
        <v/>
      </c>
      <c r="I150" s="269" t="str">
        <f t="shared" si="15"/>
        <v/>
      </c>
      <c r="J150" s="270">
        <f t="shared" si="18"/>
        <v>630</v>
      </c>
    </row>
    <row r="151" spans="1:10" s="37" customFormat="1" ht="15" customHeight="1" outlineLevel="1">
      <c r="A151" s="273">
        <f t="shared" si="16"/>
        <v>143</v>
      </c>
      <c r="B151" s="187"/>
      <c r="C151" s="188"/>
      <c r="D151" s="189"/>
      <c r="E151" s="190"/>
      <c r="F151" s="270">
        <f t="shared" si="17"/>
        <v>29</v>
      </c>
      <c r="G151" s="191"/>
      <c r="H151" s="268" t="str">
        <f t="shared" si="15"/>
        <v/>
      </c>
      <c r="I151" s="269" t="str">
        <f t="shared" si="15"/>
        <v/>
      </c>
      <c r="J151" s="270">
        <f t="shared" si="18"/>
        <v>630</v>
      </c>
    </row>
    <row r="152" spans="1:10" s="37" customFormat="1" ht="15" customHeight="1" outlineLevel="1">
      <c r="A152" s="273">
        <f t="shared" si="16"/>
        <v>144</v>
      </c>
      <c r="B152" s="187"/>
      <c r="C152" s="188"/>
      <c r="D152" s="189"/>
      <c r="E152" s="190"/>
      <c r="F152" s="270">
        <f t="shared" si="17"/>
        <v>29</v>
      </c>
      <c r="G152" s="191"/>
      <c r="H152" s="268" t="str">
        <f t="shared" ref="H152:I167" si="19">IF(D152="","",IF($G152="","",IF($G152="ΟΧΙ","",D152)))</f>
        <v/>
      </c>
      <c r="I152" s="269" t="str">
        <f t="shared" si="19"/>
        <v/>
      </c>
      <c r="J152" s="270">
        <f t="shared" si="18"/>
        <v>630</v>
      </c>
    </row>
    <row r="153" spans="1:10" s="37" customFormat="1" ht="15" customHeight="1" outlineLevel="1">
      <c r="A153" s="273">
        <f t="shared" si="16"/>
        <v>145</v>
      </c>
      <c r="B153" s="187"/>
      <c r="C153" s="188"/>
      <c r="D153" s="189"/>
      <c r="E153" s="190"/>
      <c r="F153" s="270">
        <f t="shared" si="17"/>
        <v>29</v>
      </c>
      <c r="G153" s="191"/>
      <c r="H153" s="268" t="str">
        <f t="shared" si="19"/>
        <v/>
      </c>
      <c r="I153" s="269" t="str">
        <f t="shared" si="19"/>
        <v/>
      </c>
      <c r="J153" s="270">
        <f t="shared" si="18"/>
        <v>630</v>
      </c>
    </row>
    <row r="154" spans="1:10" s="37" customFormat="1" ht="15" customHeight="1" outlineLevel="1">
      <c r="A154" s="273">
        <f t="shared" si="16"/>
        <v>146</v>
      </c>
      <c r="B154" s="187"/>
      <c r="C154" s="188"/>
      <c r="D154" s="189"/>
      <c r="E154" s="190"/>
      <c r="F154" s="270">
        <f t="shared" si="17"/>
        <v>29</v>
      </c>
      <c r="G154" s="191"/>
      <c r="H154" s="268" t="str">
        <f t="shared" si="19"/>
        <v/>
      </c>
      <c r="I154" s="269" t="str">
        <f t="shared" si="19"/>
        <v/>
      </c>
      <c r="J154" s="270">
        <f t="shared" si="18"/>
        <v>630</v>
      </c>
    </row>
    <row r="155" spans="1:10" s="37" customFormat="1" ht="15" customHeight="1" outlineLevel="1">
      <c r="A155" s="273">
        <f t="shared" si="16"/>
        <v>147</v>
      </c>
      <c r="B155" s="187"/>
      <c r="C155" s="188"/>
      <c r="D155" s="189"/>
      <c r="E155" s="190"/>
      <c r="F155" s="270">
        <f t="shared" si="17"/>
        <v>29</v>
      </c>
      <c r="G155" s="191"/>
      <c r="H155" s="268" t="str">
        <f t="shared" si="19"/>
        <v/>
      </c>
      <c r="I155" s="269" t="str">
        <f t="shared" si="19"/>
        <v/>
      </c>
      <c r="J155" s="270">
        <f t="shared" si="18"/>
        <v>630</v>
      </c>
    </row>
    <row r="156" spans="1:10" s="37" customFormat="1" ht="15" customHeight="1" outlineLevel="1">
      <c r="A156" s="273">
        <f t="shared" si="16"/>
        <v>148</v>
      </c>
      <c r="B156" s="187"/>
      <c r="C156" s="188"/>
      <c r="D156" s="189"/>
      <c r="E156" s="190"/>
      <c r="F156" s="270">
        <f t="shared" si="17"/>
        <v>29</v>
      </c>
      <c r="G156" s="191"/>
      <c r="H156" s="268" t="str">
        <f t="shared" si="19"/>
        <v/>
      </c>
      <c r="I156" s="269" t="str">
        <f t="shared" si="19"/>
        <v/>
      </c>
      <c r="J156" s="270">
        <f t="shared" si="18"/>
        <v>630</v>
      </c>
    </row>
    <row r="157" spans="1:10" s="37" customFormat="1" ht="15" customHeight="1" outlineLevel="1">
      <c r="A157" s="273">
        <f t="shared" si="16"/>
        <v>149</v>
      </c>
      <c r="B157" s="187"/>
      <c r="C157" s="188"/>
      <c r="D157" s="189"/>
      <c r="E157" s="190"/>
      <c r="F157" s="270">
        <f t="shared" si="17"/>
        <v>29</v>
      </c>
      <c r="G157" s="191"/>
      <c r="H157" s="268" t="str">
        <f t="shared" si="19"/>
        <v/>
      </c>
      <c r="I157" s="269" t="str">
        <f t="shared" si="19"/>
        <v/>
      </c>
      <c r="J157" s="270">
        <f t="shared" si="18"/>
        <v>630</v>
      </c>
    </row>
    <row r="158" spans="1:10" s="37" customFormat="1" ht="15" customHeight="1" outlineLevel="1">
      <c r="A158" s="273">
        <f t="shared" si="16"/>
        <v>150</v>
      </c>
      <c r="B158" s="187"/>
      <c r="C158" s="188"/>
      <c r="D158" s="189"/>
      <c r="E158" s="190"/>
      <c r="F158" s="270">
        <f t="shared" si="17"/>
        <v>29</v>
      </c>
      <c r="G158" s="191"/>
      <c r="H158" s="268" t="str">
        <f t="shared" si="19"/>
        <v/>
      </c>
      <c r="I158" s="269" t="str">
        <f t="shared" si="19"/>
        <v/>
      </c>
      <c r="J158" s="270">
        <f t="shared" si="18"/>
        <v>630</v>
      </c>
    </row>
    <row r="159" spans="1:10" s="37" customFormat="1" ht="15" customHeight="1" outlineLevel="1">
      <c r="A159" s="273">
        <f t="shared" si="16"/>
        <v>151</v>
      </c>
      <c r="B159" s="187"/>
      <c r="C159" s="188"/>
      <c r="D159" s="189"/>
      <c r="E159" s="190"/>
      <c r="F159" s="270">
        <f t="shared" si="17"/>
        <v>29</v>
      </c>
      <c r="G159" s="191"/>
      <c r="H159" s="268" t="str">
        <f t="shared" si="19"/>
        <v/>
      </c>
      <c r="I159" s="269" t="str">
        <f t="shared" si="19"/>
        <v/>
      </c>
      <c r="J159" s="270">
        <f t="shared" si="18"/>
        <v>630</v>
      </c>
    </row>
    <row r="160" spans="1:10" s="37" customFormat="1" ht="15" customHeight="1" outlineLevel="1">
      <c r="A160" s="273">
        <f t="shared" si="16"/>
        <v>152</v>
      </c>
      <c r="B160" s="187"/>
      <c r="C160" s="188"/>
      <c r="D160" s="189"/>
      <c r="E160" s="190"/>
      <c r="F160" s="270">
        <f t="shared" si="17"/>
        <v>29</v>
      </c>
      <c r="G160" s="191"/>
      <c r="H160" s="268" t="str">
        <f t="shared" si="19"/>
        <v/>
      </c>
      <c r="I160" s="269" t="str">
        <f t="shared" si="19"/>
        <v/>
      </c>
      <c r="J160" s="270">
        <f t="shared" si="18"/>
        <v>630</v>
      </c>
    </row>
    <row r="161" spans="1:10" s="37" customFormat="1" ht="15" customHeight="1" outlineLevel="1">
      <c r="A161" s="273">
        <f t="shared" si="16"/>
        <v>153</v>
      </c>
      <c r="B161" s="187"/>
      <c r="C161" s="188"/>
      <c r="D161" s="189"/>
      <c r="E161" s="190"/>
      <c r="F161" s="270">
        <f t="shared" si="17"/>
        <v>29</v>
      </c>
      <c r="G161" s="191"/>
      <c r="H161" s="268" t="str">
        <f t="shared" si="19"/>
        <v/>
      </c>
      <c r="I161" s="269" t="str">
        <f t="shared" si="19"/>
        <v/>
      </c>
      <c r="J161" s="270">
        <f t="shared" si="18"/>
        <v>630</v>
      </c>
    </row>
    <row r="162" spans="1:10" s="37" customFormat="1" ht="15" customHeight="1" outlineLevel="1">
      <c r="A162" s="273">
        <f t="shared" si="16"/>
        <v>154</v>
      </c>
      <c r="B162" s="187"/>
      <c r="C162" s="188"/>
      <c r="D162" s="189"/>
      <c r="E162" s="190"/>
      <c r="F162" s="270">
        <f t="shared" si="17"/>
        <v>29</v>
      </c>
      <c r="G162" s="191"/>
      <c r="H162" s="268" t="str">
        <f t="shared" si="19"/>
        <v/>
      </c>
      <c r="I162" s="269" t="str">
        <f t="shared" si="19"/>
        <v/>
      </c>
      <c r="J162" s="270">
        <f t="shared" si="18"/>
        <v>630</v>
      </c>
    </row>
    <row r="163" spans="1:10" s="37" customFormat="1" ht="15" customHeight="1" outlineLevel="1">
      <c r="A163" s="273">
        <f t="shared" si="16"/>
        <v>155</v>
      </c>
      <c r="B163" s="187"/>
      <c r="C163" s="188"/>
      <c r="D163" s="189"/>
      <c r="E163" s="190"/>
      <c r="F163" s="270">
        <f t="shared" si="17"/>
        <v>29</v>
      </c>
      <c r="G163" s="191"/>
      <c r="H163" s="268" t="str">
        <f t="shared" si="19"/>
        <v/>
      </c>
      <c r="I163" s="269" t="str">
        <f t="shared" si="19"/>
        <v/>
      </c>
      <c r="J163" s="270">
        <f t="shared" si="18"/>
        <v>630</v>
      </c>
    </row>
    <row r="164" spans="1:10" s="37" customFormat="1" ht="15" customHeight="1" outlineLevel="1">
      <c r="A164" s="273">
        <f t="shared" si="16"/>
        <v>156</v>
      </c>
      <c r="B164" s="187"/>
      <c r="C164" s="188"/>
      <c r="D164" s="189"/>
      <c r="E164" s="190"/>
      <c r="F164" s="270">
        <f t="shared" si="17"/>
        <v>29</v>
      </c>
      <c r="G164" s="191"/>
      <c r="H164" s="268" t="str">
        <f t="shared" si="19"/>
        <v/>
      </c>
      <c r="I164" s="269" t="str">
        <f t="shared" si="19"/>
        <v/>
      </c>
      <c r="J164" s="270">
        <f t="shared" si="18"/>
        <v>630</v>
      </c>
    </row>
    <row r="165" spans="1:10" s="37" customFormat="1" ht="15" customHeight="1" outlineLevel="1">
      <c r="A165" s="273">
        <f t="shared" si="16"/>
        <v>157</v>
      </c>
      <c r="B165" s="187"/>
      <c r="C165" s="188"/>
      <c r="D165" s="189"/>
      <c r="E165" s="190"/>
      <c r="F165" s="270">
        <f t="shared" si="17"/>
        <v>29</v>
      </c>
      <c r="G165" s="191"/>
      <c r="H165" s="268" t="str">
        <f t="shared" si="19"/>
        <v/>
      </c>
      <c r="I165" s="269" t="str">
        <f t="shared" si="19"/>
        <v/>
      </c>
      <c r="J165" s="270">
        <f t="shared" si="18"/>
        <v>630</v>
      </c>
    </row>
    <row r="166" spans="1:10" s="37" customFormat="1" ht="15" customHeight="1" outlineLevel="1">
      <c r="A166" s="273">
        <f t="shared" si="16"/>
        <v>158</v>
      </c>
      <c r="B166" s="187"/>
      <c r="C166" s="188"/>
      <c r="D166" s="189"/>
      <c r="E166" s="190"/>
      <c r="F166" s="270">
        <f t="shared" si="17"/>
        <v>29</v>
      </c>
      <c r="G166" s="191"/>
      <c r="H166" s="268" t="str">
        <f t="shared" si="19"/>
        <v/>
      </c>
      <c r="I166" s="269" t="str">
        <f t="shared" si="19"/>
        <v/>
      </c>
      <c r="J166" s="270">
        <f t="shared" si="18"/>
        <v>630</v>
      </c>
    </row>
    <row r="167" spans="1:10" s="37" customFormat="1" ht="15" customHeight="1" outlineLevel="1">
      <c r="A167" s="273">
        <f t="shared" si="16"/>
        <v>159</v>
      </c>
      <c r="B167" s="187"/>
      <c r="C167" s="188"/>
      <c r="D167" s="189"/>
      <c r="E167" s="190"/>
      <c r="F167" s="270">
        <f t="shared" si="17"/>
        <v>29</v>
      </c>
      <c r="G167" s="191"/>
      <c r="H167" s="268" t="str">
        <f t="shared" si="19"/>
        <v/>
      </c>
      <c r="I167" s="269" t="str">
        <f t="shared" si="19"/>
        <v/>
      </c>
      <c r="J167" s="270">
        <f t="shared" si="18"/>
        <v>630</v>
      </c>
    </row>
    <row r="168" spans="1:10" s="37" customFormat="1" ht="15" customHeight="1" outlineLevel="1">
      <c r="A168" s="273">
        <f t="shared" si="16"/>
        <v>160</v>
      </c>
      <c r="B168" s="187"/>
      <c r="C168" s="188"/>
      <c r="D168" s="189"/>
      <c r="E168" s="190"/>
      <c r="F168" s="270">
        <f t="shared" si="17"/>
        <v>29</v>
      </c>
      <c r="G168" s="191"/>
      <c r="H168" s="268" t="str">
        <f t="shared" ref="H168:I183" si="20">IF(D168="","",IF($G168="","",IF($G168="ΟΧΙ","",D168)))</f>
        <v/>
      </c>
      <c r="I168" s="269" t="str">
        <f t="shared" si="20"/>
        <v/>
      </c>
      <c r="J168" s="270">
        <f t="shared" si="18"/>
        <v>630</v>
      </c>
    </row>
    <row r="169" spans="1:10" s="37" customFormat="1" ht="15" customHeight="1" outlineLevel="1">
      <c r="A169" s="273">
        <f t="shared" si="16"/>
        <v>161</v>
      </c>
      <c r="B169" s="187"/>
      <c r="C169" s="188"/>
      <c r="D169" s="189"/>
      <c r="E169" s="190"/>
      <c r="F169" s="270">
        <f t="shared" si="17"/>
        <v>29</v>
      </c>
      <c r="G169" s="191"/>
      <c r="H169" s="268" t="str">
        <f t="shared" si="20"/>
        <v/>
      </c>
      <c r="I169" s="269" t="str">
        <f t="shared" si="20"/>
        <v/>
      </c>
      <c r="J169" s="270">
        <f t="shared" si="18"/>
        <v>630</v>
      </c>
    </row>
    <row r="170" spans="1:10" s="37" customFormat="1" ht="15" customHeight="1" outlineLevel="1">
      <c r="A170" s="273">
        <f t="shared" si="16"/>
        <v>162</v>
      </c>
      <c r="B170" s="187"/>
      <c r="C170" s="188"/>
      <c r="D170" s="189"/>
      <c r="E170" s="190"/>
      <c r="F170" s="270">
        <f t="shared" si="17"/>
        <v>29</v>
      </c>
      <c r="G170" s="191"/>
      <c r="H170" s="268" t="str">
        <f t="shared" si="20"/>
        <v/>
      </c>
      <c r="I170" s="269" t="str">
        <f t="shared" si="20"/>
        <v/>
      </c>
      <c r="J170" s="270">
        <f t="shared" si="18"/>
        <v>630</v>
      </c>
    </row>
    <row r="171" spans="1:10" s="37" customFormat="1" ht="15" customHeight="1" outlineLevel="1">
      <c r="A171" s="273">
        <f t="shared" si="16"/>
        <v>163</v>
      </c>
      <c r="B171" s="187"/>
      <c r="C171" s="188"/>
      <c r="D171" s="189"/>
      <c r="E171" s="190"/>
      <c r="F171" s="270">
        <f t="shared" si="17"/>
        <v>29</v>
      </c>
      <c r="G171" s="191"/>
      <c r="H171" s="268" t="str">
        <f t="shared" si="20"/>
        <v/>
      </c>
      <c r="I171" s="269" t="str">
        <f t="shared" si="20"/>
        <v/>
      </c>
      <c r="J171" s="270">
        <f t="shared" si="18"/>
        <v>630</v>
      </c>
    </row>
    <row r="172" spans="1:10" s="37" customFormat="1" ht="15" customHeight="1" outlineLevel="1">
      <c r="A172" s="273">
        <f t="shared" si="16"/>
        <v>164</v>
      </c>
      <c r="B172" s="187"/>
      <c r="C172" s="188"/>
      <c r="D172" s="189"/>
      <c r="E172" s="190"/>
      <c r="F172" s="270">
        <f t="shared" si="17"/>
        <v>29</v>
      </c>
      <c r="G172" s="191"/>
      <c r="H172" s="268" t="str">
        <f t="shared" si="20"/>
        <v/>
      </c>
      <c r="I172" s="269" t="str">
        <f t="shared" si="20"/>
        <v/>
      </c>
      <c r="J172" s="270">
        <f t="shared" si="18"/>
        <v>630</v>
      </c>
    </row>
    <row r="173" spans="1:10" s="37" customFormat="1" ht="15" customHeight="1" outlineLevel="1">
      <c r="A173" s="273">
        <f t="shared" si="16"/>
        <v>165</v>
      </c>
      <c r="B173" s="187"/>
      <c r="C173" s="188"/>
      <c r="D173" s="189"/>
      <c r="E173" s="190"/>
      <c r="F173" s="270">
        <f t="shared" si="17"/>
        <v>29</v>
      </c>
      <c r="G173" s="191"/>
      <c r="H173" s="268" t="str">
        <f t="shared" si="20"/>
        <v/>
      </c>
      <c r="I173" s="269" t="str">
        <f t="shared" si="20"/>
        <v/>
      </c>
      <c r="J173" s="270">
        <f t="shared" si="18"/>
        <v>630</v>
      </c>
    </row>
    <row r="174" spans="1:10" s="37" customFormat="1" ht="15" customHeight="1" outlineLevel="1">
      <c r="A174" s="273">
        <f t="shared" si="16"/>
        <v>166</v>
      </c>
      <c r="B174" s="187"/>
      <c r="C174" s="188"/>
      <c r="D174" s="189"/>
      <c r="E174" s="190"/>
      <c r="F174" s="270">
        <f t="shared" si="17"/>
        <v>29</v>
      </c>
      <c r="G174" s="191"/>
      <c r="H174" s="268" t="str">
        <f t="shared" si="20"/>
        <v/>
      </c>
      <c r="I174" s="269" t="str">
        <f t="shared" si="20"/>
        <v/>
      </c>
      <c r="J174" s="270">
        <f t="shared" si="18"/>
        <v>630</v>
      </c>
    </row>
    <row r="175" spans="1:10" s="37" customFormat="1" ht="15" customHeight="1" outlineLevel="1">
      <c r="A175" s="273">
        <f t="shared" si="16"/>
        <v>167</v>
      </c>
      <c r="B175" s="187"/>
      <c r="C175" s="188"/>
      <c r="D175" s="189"/>
      <c r="E175" s="190"/>
      <c r="F175" s="270">
        <f t="shared" si="17"/>
        <v>29</v>
      </c>
      <c r="G175" s="191"/>
      <c r="H175" s="268" t="str">
        <f t="shared" si="20"/>
        <v/>
      </c>
      <c r="I175" s="269" t="str">
        <f t="shared" si="20"/>
        <v/>
      </c>
      <c r="J175" s="270">
        <f t="shared" si="18"/>
        <v>630</v>
      </c>
    </row>
    <row r="176" spans="1:10" s="37" customFormat="1" ht="15" customHeight="1" outlineLevel="1">
      <c r="A176" s="273">
        <f t="shared" si="16"/>
        <v>168</v>
      </c>
      <c r="B176" s="187"/>
      <c r="C176" s="188"/>
      <c r="D176" s="189"/>
      <c r="E176" s="190"/>
      <c r="F176" s="270">
        <f t="shared" si="17"/>
        <v>29</v>
      </c>
      <c r="G176" s="191"/>
      <c r="H176" s="268" t="str">
        <f t="shared" si="20"/>
        <v/>
      </c>
      <c r="I176" s="269" t="str">
        <f t="shared" si="20"/>
        <v/>
      </c>
      <c r="J176" s="270">
        <f t="shared" si="18"/>
        <v>630</v>
      </c>
    </row>
    <row r="177" spans="1:14" s="37" customFormat="1" ht="15" customHeight="1" outlineLevel="1">
      <c r="A177" s="273">
        <f t="shared" si="16"/>
        <v>169</v>
      </c>
      <c r="B177" s="187"/>
      <c r="C177" s="188"/>
      <c r="D177" s="189"/>
      <c r="E177" s="190"/>
      <c r="F177" s="270">
        <f t="shared" si="17"/>
        <v>29</v>
      </c>
      <c r="G177" s="191"/>
      <c r="H177" s="268" t="str">
        <f t="shared" si="20"/>
        <v/>
      </c>
      <c r="I177" s="269" t="str">
        <f t="shared" si="20"/>
        <v/>
      </c>
      <c r="J177" s="270">
        <f t="shared" si="18"/>
        <v>630</v>
      </c>
    </row>
    <row r="178" spans="1:14" s="37" customFormat="1" ht="15" customHeight="1" outlineLevel="1">
      <c r="A178" s="273">
        <f t="shared" si="16"/>
        <v>170</v>
      </c>
      <c r="B178" s="187"/>
      <c r="C178" s="188"/>
      <c r="D178" s="189"/>
      <c r="E178" s="190"/>
      <c r="F178" s="270">
        <f t="shared" si="17"/>
        <v>29</v>
      </c>
      <c r="G178" s="191"/>
      <c r="H178" s="268" t="str">
        <f t="shared" si="20"/>
        <v/>
      </c>
      <c r="I178" s="269" t="str">
        <f t="shared" si="20"/>
        <v/>
      </c>
      <c r="J178" s="270">
        <f t="shared" si="18"/>
        <v>630</v>
      </c>
    </row>
    <row r="179" spans="1:14" s="37" customFormat="1" ht="15" customHeight="1" outlineLevel="1">
      <c r="A179" s="273">
        <f t="shared" si="16"/>
        <v>171</v>
      </c>
      <c r="B179" s="187"/>
      <c r="C179" s="188"/>
      <c r="D179" s="189"/>
      <c r="E179" s="190"/>
      <c r="F179" s="270">
        <f t="shared" si="17"/>
        <v>29</v>
      </c>
      <c r="G179" s="191"/>
      <c r="H179" s="268" t="str">
        <f t="shared" si="20"/>
        <v/>
      </c>
      <c r="I179" s="269" t="str">
        <f t="shared" si="20"/>
        <v/>
      </c>
      <c r="J179" s="270">
        <f t="shared" si="18"/>
        <v>630</v>
      </c>
    </row>
    <row r="180" spans="1:14" s="37" customFormat="1" ht="15" customHeight="1" outlineLevel="1">
      <c r="A180" s="273">
        <f t="shared" si="16"/>
        <v>172</v>
      </c>
      <c r="B180" s="187"/>
      <c r="C180" s="188"/>
      <c r="D180" s="189"/>
      <c r="E180" s="190"/>
      <c r="F180" s="270">
        <f t="shared" si="17"/>
        <v>29</v>
      </c>
      <c r="G180" s="191"/>
      <c r="H180" s="268" t="str">
        <f t="shared" si="20"/>
        <v/>
      </c>
      <c r="I180" s="269" t="str">
        <f t="shared" si="20"/>
        <v/>
      </c>
      <c r="J180" s="270">
        <f t="shared" si="18"/>
        <v>630</v>
      </c>
    </row>
    <row r="181" spans="1:14" s="37" customFormat="1" ht="15" customHeight="1" outlineLevel="1">
      <c r="A181" s="273">
        <f t="shared" si="16"/>
        <v>173</v>
      </c>
      <c r="B181" s="187"/>
      <c r="C181" s="188"/>
      <c r="D181" s="189"/>
      <c r="E181" s="190"/>
      <c r="F181" s="270">
        <f t="shared" si="17"/>
        <v>29</v>
      </c>
      <c r="G181" s="191"/>
      <c r="H181" s="268" t="str">
        <f t="shared" si="20"/>
        <v/>
      </c>
      <c r="I181" s="269" t="str">
        <f t="shared" si="20"/>
        <v/>
      </c>
      <c r="J181" s="270">
        <f t="shared" si="18"/>
        <v>630</v>
      </c>
    </row>
    <row r="182" spans="1:14" s="37" customFormat="1" ht="15" customHeight="1" outlineLevel="1">
      <c r="A182" s="273">
        <f t="shared" si="16"/>
        <v>174</v>
      </c>
      <c r="B182" s="187"/>
      <c r="C182" s="188"/>
      <c r="D182" s="189"/>
      <c r="E182" s="190"/>
      <c r="F182" s="270">
        <f t="shared" si="17"/>
        <v>29</v>
      </c>
      <c r="G182" s="191"/>
      <c r="H182" s="268" t="str">
        <f t="shared" si="20"/>
        <v/>
      </c>
      <c r="I182" s="269" t="str">
        <f t="shared" si="20"/>
        <v/>
      </c>
      <c r="J182" s="270">
        <f t="shared" si="18"/>
        <v>630</v>
      </c>
    </row>
    <row r="183" spans="1:14" s="37" customFormat="1" ht="15" customHeight="1" outlineLevel="1">
      <c r="A183" s="273">
        <f t="shared" si="16"/>
        <v>175</v>
      </c>
      <c r="B183" s="187"/>
      <c r="C183" s="188"/>
      <c r="D183" s="189"/>
      <c r="E183" s="190"/>
      <c r="F183" s="270">
        <f t="shared" si="17"/>
        <v>29</v>
      </c>
      <c r="G183" s="191"/>
      <c r="H183" s="268" t="str">
        <f t="shared" si="20"/>
        <v/>
      </c>
      <c r="I183" s="269" t="str">
        <f t="shared" si="20"/>
        <v/>
      </c>
      <c r="J183" s="270">
        <f t="shared" si="18"/>
        <v>630</v>
      </c>
    </row>
    <row r="184" spans="1:14" s="37" customFormat="1" ht="15" customHeight="1" outlineLevel="1">
      <c r="A184" s="273">
        <f t="shared" si="16"/>
        <v>176</v>
      </c>
      <c r="B184" s="187"/>
      <c r="C184" s="188"/>
      <c r="D184" s="189"/>
      <c r="E184" s="190"/>
      <c r="F184" s="270">
        <f t="shared" si="17"/>
        <v>29</v>
      </c>
      <c r="G184" s="191"/>
      <c r="H184" s="268" t="str">
        <f t="shared" ref="H184:I194" si="21">IF(D184="","",IF($G184="","",IF($G184="ΟΧΙ","",D184)))</f>
        <v/>
      </c>
      <c r="I184" s="269" t="str">
        <f t="shared" si="21"/>
        <v/>
      </c>
      <c r="J184" s="270">
        <f t="shared" si="18"/>
        <v>630</v>
      </c>
    </row>
    <row r="185" spans="1:14" s="37" customFormat="1" ht="15" customHeight="1" outlineLevel="1">
      <c r="A185" s="273">
        <f t="shared" si="16"/>
        <v>177</v>
      </c>
      <c r="B185" s="187"/>
      <c r="C185" s="188"/>
      <c r="D185" s="189"/>
      <c r="E185" s="190"/>
      <c r="F185" s="270">
        <f t="shared" si="17"/>
        <v>29</v>
      </c>
      <c r="G185" s="191"/>
      <c r="H185" s="268" t="str">
        <f t="shared" si="21"/>
        <v/>
      </c>
      <c r="I185" s="269" t="str">
        <f t="shared" si="21"/>
        <v/>
      </c>
      <c r="J185" s="270">
        <f t="shared" si="18"/>
        <v>630</v>
      </c>
    </row>
    <row r="186" spans="1:14" s="37" customFormat="1" ht="15" customHeight="1" outlineLevel="1">
      <c r="A186" s="273">
        <f t="shared" si="16"/>
        <v>178</v>
      </c>
      <c r="B186" s="187"/>
      <c r="C186" s="188"/>
      <c r="D186" s="189"/>
      <c r="E186" s="190"/>
      <c r="F186" s="270">
        <f t="shared" si="17"/>
        <v>29</v>
      </c>
      <c r="G186" s="191"/>
      <c r="H186" s="268" t="str">
        <f t="shared" si="21"/>
        <v/>
      </c>
      <c r="I186" s="269" t="str">
        <f t="shared" si="21"/>
        <v/>
      </c>
      <c r="J186" s="270">
        <f t="shared" si="18"/>
        <v>630</v>
      </c>
    </row>
    <row r="187" spans="1:14" s="37" customFormat="1" ht="15" customHeight="1" outlineLevel="1">
      <c r="A187" s="273">
        <f t="shared" si="16"/>
        <v>179</v>
      </c>
      <c r="B187" s="187"/>
      <c r="C187" s="188"/>
      <c r="D187" s="189"/>
      <c r="E187" s="190"/>
      <c r="F187" s="270">
        <f t="shared" si="17"/>
        <v>29</v>
      </c>
      <c r="G187" s="191"/>
      <c r="H187" s="268" t="str">
        <f t="shared" si="21"/>
        <v/>
      </c>
      <c r="I187" s="269" t="str">
        <f t="shared" si="21"/>
        <v/>
      </c>
      <c r="J187" s="270">
        <f t="shared" si="18"/>
        <v>630</v>
      </c>
      <c r="N187" s="115"/>
    </row>
    <row r="188" spans="1:14" s="37" customFormat="1" ht="15" customHeight="1" outlineLevel="1">
      <c r="A188" s="273">
        <f t="shared" si="16"/>
        <v>180</v>
      </c>
      <c r="B188" s="187"/>
      <c r="C188" s="188"/>
      <c r="D188" s="189"/>
      <c r="E188" s="190"/>
      <c r="F188" s="270">
        <f t="shared" si="17"/>
        <v>29</v>
      </c>
      <c r="G188" s="191"/>
      <c r="H188" s="268" t="str">
        <f t="shared" si="21"/>
        <v/>
      </c>
      <c r="I188" s="269" t="str">
        <f t="shared" si="21"/>
        <v/>
      </c>
      <c r="J188" s="270">
        <f t="shared" si="18"/>
        <v>630</v>
      </c>
      <c r="L188" s="115"/>
      <c r="M188" s="115"/>
      <c r="N188" s="262"/>
    </row>
    <row r="189" spans="1:14" s="37" customFormat="1" ht="15" customHeight="1" outlineLevel="1">
      <c r="A189" s="273">
        <f t="shared" si="16"/>
        <v>181</v>
      </c>
      <c r="B189" s="187"/>
      <c r="C189" s="188"/>
      <c r="D189" s="189"/>
      <c r="E189" s="190"/>
      <c r="F189" s="270">
        <f t="shared" si="17"/>
        <v>29</v>
      </c>
      <c r="G189" s="191"/>
      <c r="H189" s="268" t="str">
        <f t="shared" si="21"/>
        <v/>
      </c>
      <c r="I189" s="269" t="str">
        <f t="shared" si="21"/>
        <v/>
      </c>
      <c r="J189" s="270">
        <f t="shared" si="18"/>
        <v>630</v>
      </c>
      <c r="L189" s="262"/>
      <c r="M189" s="264"/>
      <c r="N189" s="262"/>
    </row>
    <row r="190" spans="1:14" s="37" customFormat="1" ht="15" customHeight="1" outlineLevel="1">
      <c r="A190" s="273">
        <f t="shared" si="16"/>
        <v>182</v>
      </c>
      <c r="B190" s="187"/>
      <c r="C190" s="188"/>
      <c r="D190" s="189"/>
      <c r="E190" s="190"/>
      <c r="F190" s="270">
        <f t="shared" si="17"/>
        <v>29</v>
      </c>
      <c r="G190" s="191"/>
      <c r="H190" s="268" t="str">
        <f t="shared" si="21"/>
        <v/>
      </c>
      <c r="I190" s="269" t="str">
        <f t="shared" si="21"/>
        <v/>
      </c>
      <c r="J190" s="270">
        <f t="shared" si="18"/>
        <v>630</v>
      </c>
      <c r="L190" s="262"/>
      <c r="M190" s="264"/>
      <c r="N190" s="262"/>
    </row>
    <row r="191" spans="1:14" s="37" customFormat="1" ht="15" customHeight="1" outlineLevel="1">
      <c r="A191" s="273">
        <f t="shared" si="16"/>
        <v>183</v>
      </c>
      <c r="B191" s="187"/>
      <c r="C191" s="188"/>
      <c r="D191" s="189"/>
      <c r="E191" s="190"/>
      <c r="F191" s="270">
        <f t="shared" si="17"/>
        <v>29</v>
      </c>
      <c r="G191" s="191"/>
      <c r="H191" s="268" t="str">
        <f t="shared" si="21"/>
        <v/>
      </c>
      <c r="I191" s="269" t="str">
        <f t="shared" si="21"/>
        <v/>
      </c>
      <c r="J191" s="270">
        <f t="shared" si="18"/>
        <v>630</v>
      </c>
      <c r="L191" s="262"/>
      <c r="M191" s="264"/>
      <c r="N191" s="262"/>
    </row>
    <row r="192" spans="1:14" s="37" customFormat="1" ht="15" customHeight="1" outlineLevel="1" collapsed="1">
      <c r="A192" s="273">
        <f t="shared" si="16"/>
        <v>184</v>
      </c>
      <c r="B192" s="187"/>
      <c r="C192" s="188"/>
      <c r="D192" s="189"/>
      <c r="E192" s="190"/>
      <c r="F192" s="270">
        <f t="shared" si="17"/>
        <v>29</v>
      </c>
      <c r="G192" s="191"/>
      <c r="H192" s="268" t="str">
        <f t="shared" si="21"/>
        <v/>
      </c>
      <c r="I192" s="269" t="str">
        <f t="shared" si="21"/>
        <v/>
      </c>
      <c r="J192" s="270">
        <f t="shared" si="18"/>
        <v>630</v>
      </c>
      <c r="L192" s="262"/>
      <c r="M192" s="264"/>
      <c r="N192" s="262"/>
    </row>
    <row r="193" spans="1:14" s="37" customFormat="1" ht="15" customHeight="1" outlineLevel="1">
      <c r="A193" s="273">
        <f t="shared" si="16"/>
        <v>185</v>
      </c>
      <c r="B193" s="187"/>
      <c r="C193" s="188"/>
      <c r="D193" s="189"/>
      <c r="E193" s="190"/>
      <c r="F193" s="270">
        <f t="shared" si="17"/>
        <v>29</v>
      </c>
      <c r="G193" s="191"/>
      <c r="H193" s="268" t="str">
        <f t="shared" si="21"/>
        <v/>
      </c>
      <c r="I193" s="269" t="str">
        <f t="shared" si="21"/>
        <v/>
      </c>
      <c r="J193" s="270">
        <f t="shared" si="18"/>
        <v>630</v>
      </c>
      <c r="L193" s="262"/>
      <c r="M193" s="264"/>
      <c r="N193" s="262"/>
    </row>
    <row r="194" spans="1:14" s="37" customFormat="1" ht="15" customHeight="1" outlineLevel="1">
      <c r="A194" s="273">
        <f t="shared" si="16"/>
        <v>186</v>
      </c>
      <c r="B194" s="187"/>
      <c r="C194" s="188"/>
      <c r="D194" s="189"/>
      <c r="E194" s="190"/>
      <c r="F194" s="270">
        <f t="shared" si="17"/>
        <v>29</v>
      </c>
      <c r="G194" s="191"/>
      <c r="H194" s="268" t="str">
        <f t="shared" si="21"/>
        <v/>
      </c>
      <c r="I194" s="269" t="str">
        <f t="shared" si="21"/>
        <v/>
      </c>
      <c r="J194" s="270">
        <f t="shared" si="18"/>
        <v>630</v>
      </c>
      <c r="K194" s="634" t="s">
        <v>605</v>
      </c>
      <c r="L194" s="635" t="s">
        <v>606</v>
      </c>
      <c r="M194" s="636" t="s">
        <v>607</v>
      </c>
      <c r="N194" s="634" t="s">
        <v>608</v>
      </c>
    </row>
    <row r="195" spans="1:14" s="115" customFormat="1" ht="15" customHeight="1">
      <c r="A195" s="691" t="s">
        <v>63</v>
      </c>
      <c r="B195" s="692"/>
      <c r="C195" s="693"/>
      <c r="D195" s="242">
        <f>SUM(D9:D194)</f>
        <v>2671</v>
      </c>
      <c r="E195" s="243">
        <f>SUM(E9:E194)</f>
        <v>2642</v>
      </c>
      <c r="F195" s="196">
        <f>D195-E195</f>
        <v>29</v>
      </c>
      <c r="G195" s="633">
        <f>E10-D9-J195</f>
        <v>376</v>
      </c>
      <c r="H195" s="242">
        <f>SUM(H9:H194)</f>
        <v>1492</v>
      </c>
      <c r="I195" s="243">
        <f>SUM(I9:I194)</f>
        <v>862</v>
      </c>
      <c r="J195" s="196">
        <f>H195-I195</f>
        <v>630</v>
      </c>
      <c r="K195" s="637">
        <f>SUM(F195:G195)</f>
        <v>405</v>
      </c>
      <c r="L195" s="638">
        <f>D195-H195-D9</f>
        <v>985</v>
      </c>
      <c r="M195" s="639">
        <f>E195-I195-E10</f>
        <v>580</v>
      </c>
      <c r="N195" s="637">
        <f>L195-M195</f>
        <v>405</v>
      </c>
    </row>
  </sheetData>
  <sheetProtection password="E4A3" sheet="1" objects="1" scenarios="1"/>
  <mergeCells count="17">
    <mergeCell ref="A195:C195"/>
    <mergeCell ref="L7:N7"/>
    <mergeCell ref="L8:N8"/>
    <mergeCell ref="L9:N10"/>
    <mergeCell ref="N21:N42"/>
    <mergeCell ref="A6:J6"/>
    <mergeCell ref="A7:A8"/>
    <mergeCell ref="B7:B8"/>
    <mergeCell ref="C7:C8"/>
    <mergeCell ref="D7:F7"/>
    <mergeCell ref="H7:J7"/>
    <mergeCell ref="A5:J5"/>
    <mergeCell ref="A1:C1"/>
    <mergeCell ref="D1:J1"/>
    <mergeCell ref="A2:J2"/>
    <mergeCell ref="A3:J3"/>
    <mergeCell ref="A4:J4"/>
  </mergeCells>
  <conditionalFormatting sqref="G9:G23">
    <cfRule type="containsText" dxfId="5262" priority="4914" operator="containsText" text="ΟΧΙ">
      <formula>NOT(ISERROR(SEARCH("ΟΧΙ",G9)))</formula>
    </cfRule>
    <cfRule type="containsText" dxfId="5261" priority="4915" operator="containsText" text="ΝΑΙ">
      <formula>NOT(ISERROR(SEARCH("ΝΑΙ",G9)))</formula>
    </cfRule>
  </conditionalFormatting>
  <conditionalFormatting sqref="G9:G194">
    <cfRule type="containsText" dxfId="5260" priority="4913" operator="containsText" text="ΟΧΙ">
      <formula>NOT(ISERROR(SEARCH("ΟΧΙ",G9)))</formula>
    </cfRule>
  </conditionalFormatting>
  <conditionalFormatting sqref="C10">
    <cfRule type="expression" dxfId="5259" priority="4912">
      <formula>E10&gt;0</formula>
    </cfRule>
  </conditionalFormatting>
  <conditionalFormatting sqref="C9">
    <cfRule type="expression" dxfId="5258" priority="4911">
      <formula>E9&gt;0</formula>
    </cfRule>
  </conditionalFormatting>
  <conditionalFormatting sqref="C11:C12">
    <cfRule type="expression" dxfId="5257" priority="4910">
      <formula>E11&gt;0</formula>
    </cfRule>
  </conditionalFormatting>
  <conditionalFormatting sqref="C12">
    <cfRule type="expression" dxfId="5256" priority="4909">
      <formula>E12&gt;0</formula>
    </cfRule>
  </conditionalFormatting>
  <conditionalFormatting sqref="C13:C14">
    <cfRule type="expression" dxfId="5255" priority="4908">
      <formula>E13&gt;0</formula>
    </cfRule>
  </conditionalFormatting>
  <conditionalFormatting sqref="C14">
    <cfRule type="expression" dxfId="5254" priority="4907">
      <formula>E14&gt;0</formula>
    </cfRule>
  </conditionalFormatting>
  <conditionalFormatting sqref="C15">
    <cfRule type="expression" dxfId="5253" priority="4906">
      <formula>E15&gt;0</formula>
    </cfRule>
  </conditionalFormatting>
  <conditionalFormatting sqref="C16">
    <cfRule type="expression" dxfId="5252" priority="4905">
      <formula>E16&gt;0</formula>
    </cfRule>
  </conditionalFormatting>
  <conditionalFormatting sqref="C14">
    <cfRule type="expression" dxfId="5251" priority="4904">
      <formula>E14&gt;0</formula>
    </cfRule>
  </conditionalFormatting>
  <conditionalFormatting sqref="C17">
    <cfRule type="expression" dxfId="5250" priority="4903">
      <formula>E17&gt;0</formula>
    </cfRule>
  </conditionalFormatting>
  <conditionalFormatting sqref="C18">
    <cfRule type="expression" dxfId="5249" priority="4902">
      <formula>E18&gt;0</formula>
    </cfRule>
  </conditionalFormatting>
  <conditionalFormatting sqref="C19">
    <cfRule type="expression" dxfId="5248" priority="4901">
      <formula>E19&gt;0</formula>
    </cfRule>
  </conditionalFormatting>
  <conditionalFormatting sqref="C20">
    <cfRule type="expression" dxfId="5247" priority="4900">
      <formula>E20&gt;0</formula>
    </cfRule>
  </conditionalFormatting>
  <conditionalFormatting sqref="C21:C52">
    <cfRule type="expression" dxfId="5246" priority="4899">
      <formula>E21&gt;0</formula>
    </cfRule>
  </conditionalFormatting>
  <conditionalFormatting sqref="C22">
    <cfRule type="expression" dxfId="5245" priority="4898">
      <formula>E22&gt;0</formula>
    </cfRule>
  </conditionalFormatting>
  <conditionalFormatting sqref="C23:C52">
    <cfRule type="expression" dxfId="5244" priority="4897">
      <formula>E23&gt;0</formula>
    </cfRule>
  </conditionalFormatting>
  <conditionalFormatting sqref="C24:C52">
    <cfRule type="expression" dxfId="5243" priority="4896">
      <formula>E24&gt;0</formula>
    </cfRule>
  </conditionalFormatting>
  <conditionalFormatting sqref="C25:C26">
    <cfRule type="expression" dxfId="5242" priority="4895">
      <formula>E25&gt;0</formula>
    </cfRule>
  </conditionalFormatting>
  <conditionalFormatting sqref="C26:C52">
    <cfRule type="expression" dxfId="5241" priority="4894">
      <formula>E26&gt;0</formula>
    </cfRule>
  </conditionalFormatting>
  <conditionalFormatting sqref="C27:C28">
    <cfRule type="expression" dxfId="5240" priority="4893">
      <formula>E27&gt;0</formula>
    </cfRule>
  </conditionalFormatting>
  <conditionalFormatting sqref="C28:C52">
    <cfRule type="expression" dxfId="5239" priority="4892">
      <formula>E28&gt;0</formula>
    </cfRule>
  </conditionalFormatting>
  <conditionalFormatting sqref="C29:C52">
    <cfRule type="expression" dxfId="5238" priority="4891">
      <formula>E29&gt;0</formula>
    </cfRule>
  </conditionalFormatting>
  <conditionalFormatting sqref="C30:C52">
    <cfRule type="expression" dxfId="5237" priority="4890">
      <formula>E30&gt;0</formula>
    </cfRule>
  </conditionalFormatting>
  <conditionalFormatting sqref="C31">
    <cfRule type="expression" dxfId="5236" priority="4889">
      <formula>E31&gt;0</formula>
    </cfRule>
  </conditionalFormatting>
  <conditionalFormatting sqref="C32:C52">
    <cfRule type="expression" dxfId="5235" priority="4888">
      <formula>E32&gt;0</formula>
    </cfRule>
  </conditionalFormatting>
  <conditionalFormatting sqref="C33:C52">
    <cfRule type="expression" dxfId="5234" priority="4887">
      <formula>E33&gt;0</formula>
    </cfRule>
  </conditionalFormatting>
  <conditionalFormatting sqref="C34">
    <cfRule type="expression" dxfId="5233" priority="4886">
      <formula>E34&gt;0</formula>
    </cfRule>
  </conditionalFormatting>
  <conditionalFormatting sqref="C35">
    <cfRule type="expression" dxfId="5232" priority="4885">
      <formula>E35&gt;0</formula>
    </cfRule>
  </conditionalFormatting>
  <conditionalFormatting sqref="C36:C52">
    <cfRule type="expression" dxfId="5231" priority="4884">
      <formula>E36&gt;0</formula>
    </cfRule>
  </conditionalFormatting>
  <conditionalFormatting sqref="C37">
    <cfRule type="expression" dxfId="5230" priority="4883">
      <formula>E37&gt;0</formula>
    </cfRule>
  </conditionalFormatting>
  <conditionalFormatting sqref="C38">
    <cfRule type="expression" dxfId="5229" priority="4882">
      <formula>E38&gt;0</formula>
    </cfRule>
  </conditionalFormatting>
  <conditionalFormatting sqref="C39:C52">
    <cfRule type="expression" dxfId="5228" priority="4881">
      <formula>E39&gt;0</formula>
    </cfRule>
  </conditionalFormatting>
  <conditionalFormatting sqref="C38">
    <cfRule type="expression" dxfId="5227" priority="4880">
      <formula>E38&gt;0</formula>
    </cfRule>
  </conditionalFormatting>
  <conditionalFormatting sqref="C40">
    <cfRule type="expression" dxfId="5226" priority="4879">
      <formula>E40&gt;0</formula>
    </cfRule>
  </conditionalFormatting>
  <conditionalFormatting sqref="C41">
    <cfRule type="expression" dxfId="5225" priority="4878">
      <formula>E41&gt;0</formula>
    </cfRule>
  </conditionalFormatting>
  <conditionalFormatting sqref="C42:C52">
    <cfRule type="expression" dxfId="5224" priority="4877">
      <formula>E42&gt;0</formula>
    </cfRule>
  </conditionalFormatting>
  <conditionalFormatting sqref="C43">
    <cfRule type="expression" dxfId="5223" priority="4876">
      <formula>E43&gt;0</formula>
    </cfRule>
  </conditionalFormatting>
  <conditionalFormatting sqref="C44">
    <cfRule type="expression" dxfId="5222" priority="4875">
      <formula>E44&gt;0</formula>
    </cfRule>
  </conditionalFormatting>
  <conditionalFormatting sqref="C45:C50">
    <cfRule type="expression" dxfId="5221" priority="4874">
      <formula>E45&gt;0</formula>
    </cfRule>
  </conditionalFormatting>
  <conditionalFormatting sqref="C46">
    <cfRule type="expression" dxfId="5220" priority="4873">
      <formula>E46&gt;0</formula>
    </cfRule>
  </conditionalFormatting>
  <conditionalFormatting sqref="C47">
    <cfRule type="expression" dxfId="5219" priority="4872">
      <formula>E47&gt;0</formula>
    </cfRule>
  </conditionalFormatting>
  <conditionalFormatting sqref="C48:C50">
    <cfRule type="expression" dxfId="5218" priority="4871">
      <formula>E48&gt;0</formula>
    </cfRule>
  </conditionalFormatting>
  <conditionalFormatting sqref="C49">
    <cfRule type="expression" dxfId="5217" priority="4870">
      <formula>E49&gt;0</formula>
    </cfRule>
  </conditionalFormatting>
  <conditionalFormatting sqref="C50">
    <cfRule type="expression" dxfId="5216" priority="4869">
      <formula>E50&gt;0</formula>
    </cfRule>
  </conditionalFormatting>
  <conditionalFormatting sqref="C51">
    <cfRule type="expression" dxfId="5215" priority="4868">
      <formula>E51&gt;0</formula>
    </cfRule>
  </conditionalFormatting>
  <conditionalFormatting sqref="C52">
    <cfRule type="expression" dxfId="5214" priority="4867">
      <formula>E52&gt;0</formula>
    </cfRule>
  </conditionalFormatting>
  <conditionalFormatting sqref="C53">
    <cfRule type="expression" dxfId="5213" priority="4866">
      <formula>E53&gt;0</formula>
    </cfRule>
  </conditionalFormatting>
  <conditionalFormatting sqref="C54">
    <cfRule type="expression" dxfId="5212" priority="4865">
      <formula>E54&gt;0</formula>
    </cfRule>
  </conditionalFormatting>
  <conditionalFormatting sqref="C55">
    <cfRule type="expression" dxfId="5211" priority="4864">
      <formula>E55&gt;0</formula>
    </cfRule>
  </conditionalFormatting>
  <conditionalFormatting sqref="C56">
    <cfRule type="expression" dxfId="5210" priority="4863">
      <formula>E56&gt;0</formula>
    </cfRule>
  </conditionalFormatting>
  <conditionalFormatting sqref="C57">
    <cfRule type="expression" dxfId="5209" priority="4862">
      <formula>E57&gt;0</formula>
    </cfRule>
  </conditionalFormatting>
  <conditionalFormatting sqref="C58">
    <cfRule type="expression" dxfId="5208" priority="4861">
      <formula>E58&gt;0</formula>
    </cfRule>
  </conditionalFormatting>
  <conditionalFormatting sqref="C59">
    <cfRule type="expression" dxfId="5207" priority="4860">
      <formula>E59&gt;0</formula>
    </cfRule>
  </conditionalFormatting>
  <conditionalFormatting sqref="C60">
    <cfRule type="expression" dxfId="5206" priority="4859">
      <formula>E60&gt;0</formula>
    </cfRule>
  </conditionalFormatting>
  <conditionalFormatting sqref="C61">
    <cfRule type="expression" dxfId="5205" priority="4858">
      <formula>E61&gt;0</formula>
    </cfRule>
  </conditionalFormatting>
  <conditionalFormatting sqref="C62">
    <cfRule type="expression" dxfId="5204" priority="4857">
      <formula>E62&gt;0</formula>
    </cfRule>
  </conditionalFormatting>
  <conditionalFormatting sqref="C63">
    <cfRule type="expression" dxfId="5203" priority="4856">
      <formula>E63&gt;0</formula>
    </cfRule>
  </conditionalFormatting>
  <conditionalFormatting sqref="C64">
    <cfRule type="expression" dxfId="5202" priority="4855">
      <formula>E64&gt;0</formula>
    </cfRule>
  </conditionalFormatting>
  <conditionalFormatting sqref="C65">
    <cfRule type="expression" dxfId="5201" priority="4854">
      <formula>E65&gt;0</formula>
    </cfRule>
  </conditionalFormatting>
  <conditionalFormatting sqref="C66">
    <cfRule type="expression" dxfId="5200" priority="4853">
      <formula>E66&gt;0</formula>
    </cfRule>
  </conditionalFormatting>
  <conditionalFormatting sqref="C66">
    <cfRule type="expression" dxfId="5199" priority="4852">
      <formula>E66&gt;0</formula>
    </cfRule>
  </conditionalFormatting>
  <conditionalFormatting sqref="C67">
    <cfRule type="expression" dxfId="5198" priority="4851">
      <formula>E67&gt;0</formula>
    </cfRule>
  </conditionalFormatting>
  <conditionalFormatting sqref="C68">
    <cfRule type="expression" dxfId="5197" priority="4850">
      <formula>E68&gt;0</formula>
    </cfRule>
  </conditionalFormatting>
  <conditionalFormatting sqref="C69">
    <cfRule type="expression" dxfId="5196" priority="4849">
      <formula>E69&gt;0</formula>
    </cfRule>
  </conditionalFormatting>
  <conditionalFormatting sqref="C70">
    <cfRule type="expression" dxfId="5195" priority="4848">
      <formula>E70&gt;0</formula>
    </cfRule>
  </conditionalFormatting>
  <conditionalFormatting sqref="C71">
    <cfRule type="expression" dxfId="5194" priority="4847">
      <formula>E71&gt;0</formula>
    </cfRule>
  </conditionalFormatting>
  <conditionalFormatting sqref="C72">
    <cfRule type="expression" dxfId="5193" priority="4846">
      <formula>E72&gt;0</formula>
    </cfRule>
  </conditionalFormatting>
  <conditionalFormatting sqref="C73">
    <cfRule type="expression" dxfId="5192" priority="4845">
      <formula>E73&gt;0</formula>
    </cfRule>
  </conditionalFormatting>
  <conditionalFormatting sqref="C74">
    <cfRule type="expression" dxfId="5191" priority="4844">
      <formula>E74&gt;0</formula>
    </cfRule>
  </conditionalFormatting>
  <conditionalFormatting sqref="C75">
    <cfRule type="expression" dxfId="5190" priority="4843">
      <formula>E75&gt;0</formula>
    </cfRule>
  </conditionalFormatting>
  <conditionalFormatting sqref="C76">
    <cfRule type="expression" dxfId="5189" priority="4842">
      <formula>E76&gt;0</formula>
    </cfRule>
  </conditionalFormatting>
  <conditionalFormatting sqref="C77">
    <cfRule type="expression" dxfId="5188" priority="4841">
      <formula>E77&gt;0</formula>
    </cfRule>
  </conditionalFormatting>
  <conditionalFormatting sqref="C78">
    <cfRule type="expression" dxfId="5187" priority="4840">
      <formula>E78&gt;0</formula>
    </cfRule>
  </conditionalFormatting>
  <conditionalFormatting sqref="C79">
    <cfRule type="expression" dxfId="5186" priority="4839">
      <formula>E79&gt;0</formula>
    </cfRule>
  </conditionalFormatting>
  <conditionalFormatting sqref="C80">
    <cfRule type="expression" dxfId="5185" priority="4838">
      <formula>E80&gt;0</formula>
    </cfRule>
  </conditionalFormatting>
  <conditionalFormatting sqref="C81">
    <cfRule type="expression" dxfId="5184" priority="4837">
      <formula>E81&gt;0</formula>
    </cfRule>
  </conditionalFormatting>
  <conditionalFormatting sqref="C82">
    <cfRule type="expression" dxfId="5183" priority="4836">
      <formula>E82&gt;0</formula>
    </cfRule>
  </conditionalFormatting>
  <conditionalFormatting sqref="C83">
    <cfRule type="expression" dxfId="5182" priority="4835">
      <formula>E83&gt;0</formula>
    </cfRule>
  </conditionalFormatting>
  <conditionalFormatting sqref="C84">
    <cfRule type="expression" dxfId="5181" priority="4834">
      <formula>E84&gt;0</formula>
    </cfRule>
  </conditionalFormatting>
  <conditionalFormatting sqref="C85">
    <cfRule type="expression" dxfId="5180" priority="4833">
      <formula>E85&gt;0</formula>
    </cfRule>
  </conditionalFormatting>
  <conditionalFormatting sqref="C86">
    <cfRule type="expression" dxfId="5179" priority="4832">
      <formula>E86&gt;0</formula>
    </cfRule>
  </conditionalFormatting>
  <conditionalFormatting sqref="C87">
    <cfRule type="expression" dxfId="5178" priority="4831">
      <formula>E87&gt;0</formula>
    </cfRule>
  </conditionalFormatting>
  <conditionalFormatting sqref="C88">
    <cfRule type="expression" dxfId="5177" priority="4830">
      <formula>E88&gt;0</formula>
    </cfRule>
  </conditionalFormatting>
  <conditionalFormatting sqref="C89">
    <cfRule type="expression" dxfId="5176" priority="4829">
      <formula>E89&gt;0</formula>
    </cfRule>
  </conditionalFormatting>
  <conditionalFormatting sqref="C90">
    <cfRule type="expression" dxfId="5175" priority="4828">
      <formula>E90&gt;0</formula>
    </cfRule>
  </conditionalFormatting>
  <conditionalFormatting sqref="C91">
    <cfRule type="expression" dxfId="5174" priority="4827">
      <formula>E91&gt;0</formula>
    </cfRule>
  </conditionalFormatting>
  <conditionalFormatting sqref="C92">
    <cfRule type="expression" dxfId="5173" priority="4826">
      <formula>E92&gt;0</formula>
    </cfRule>
  </conditionalFormatting>
  <conditionalFormatting sqref="C93">
    <cfRule type="expression" dxfId="5172" priority="4825">
      <formula>E93&gt;0</formula>
    </cfRule>
  </conditionalFormatting>
  <conditionalFormatting sqref="C94">
    <cfRule type="expression" dxfId="5171" priority="4824">
      <formula>E94&gt;0</formula>
    </cfRule>
  </conditionalFormatting>
  <conditionalFormatting sqref="C95">
    <cfRule type="expression" dxfId="5170" priority="4823">
      <formula>E95&gt;0</formula>
    </cfRule>
  </conditionalFormatting>
  <conditionalFormatting sqref="C96">
    <cfRule type="expression" dxfId="5169" priority="4822">
      <formula>E96&gt;0</formula>
    </cfRule>
  </conditionalFormatting>
  <conditionalFormatting sqref="C97">
    <cfRule type="expression" dxfId="5168" priority="4821">
      <formula>E97&gt;0</formula>
    </cfRule>
  </conditionalFormatting>
  <conditionalFormatting sqref="C98">
    <cfRule type="expression" dxfId="5167" priority="4820">
      <formula>E98&gt;0</formula>
    </cfRule>
  </conditionalFormatting>
  <conditionalFormatting sqref="C99">
    <cfRule type="expression" dxfId="5166" priority="4819">
      <formula>E99&gt;0</formula>
    </cfRule>
  </conditionalFormatting>
  <conditionalFormatting sqref="C100">
    <cfRule type="expression" dxfId="5165" priority="4818">
      <formula>E100&gt;0</formula>
    </cfRule>
  </conditionalFormatting>
  <conditionalFormatting sqref="C101">
    <cfRule type="expression" dxfId="5164" priority="4817">
      <formula>E101&gt;0</formula>
    </cfRule>
  </conditionalFormatting>
  <conditionalFormatting sqref="C102">
    <cfRule type="expression" dxfId="5163" priority="4816">
      <formula>E102&gt;0</formula>
    </cfRule>
  </conditionalFormatting>
  <conditionalFormatting sqref="C193">
    <cfRule type="expression" dxfId="5162" priority="4815">
      <formula>E193&gt;0</formula>
    </cfRule>
  </conditionalFormatting>
  <conditionalFormatting sqref="C194">
    <cfRule type="expression" dxfId="5161" priority="4814">
      <formula>E194&gt;0</formula>
    </cfRule>
  </conditionalFormatting>
  <conditionalFormatting sqref="C103">
    <cfRule type="expression" dxfId="5160" priority="4813">
      <formula>E103&gt;0</formula>
    </cfRule>
  </conditionalFormatting>
  <conditionalFormatting sqref="C104:C192">
    <cfRule type="expression" dxfId="5159" priority="4812">
      <formula>E104&gt;0</formula>
    </cfRule>
  </conditionalFormatting>
  <conditionalFormatting sqref="C105">
    <cfRule type="expression" dxfId="5158" priority="4811">
      <formula>E105&gt;0</formula>
    </cfRule>
  </conditionalFormatting>
  <conditionalFormatting sqref="C106">
    <cfRule type="expression" dxfId="5157" priority="4810">
      <formula>E106&gt;0</formula>
    </cfRule>
  </conditionalFormatting>
  <conditionalFormatting sqref="C107">
    <cfRule type="expression" dxfId="5156" priority="4809">
      <formula>E107&gt;0</formula>
    </cfRule>
  </conditionalFormatting>
  <conditionalFormatting sqref="C108">
    <cfRule type="expression" dxfId="5155" priority="4808">
      <formula>E108&gt;0</formula>
    </cfRule>
  </conditionalFormatting>
  <conditionalFormatting sqref="C109">
    <cfRule type="expression" dxfId="5154" priority="4807">
      <formula>E109&gt;0</formula>
    </cfRule>
  </conditionalFormatting>
  <conditionalFormatting sqref="C110">
    <cfRule type="expression" dxfId="5153" priority="4806">
      <formula>E110&gt;0</formula>
    </cfRule>
  </conditionalFormatting>
  <conditionalFormatting sqref="C111">
    <cfRule type="expression" dxfId="5152" priority="4805">
      <formula>E111&gt;0</formula>
    </cfRule>
  </conditionalFormatting>
  <conditionalFormatting sqref="C112">
    <cfRule type="expression" dxfId="5151" priority="4804">
      <formula>E112&gt;0</formula>
    </cfRule>
  </conditionalFormatting>
  <conditionalFormatting sqref="C113">
    <cfRule type="expression" dxfId="5150" priority="4803">
      <formula>E113&gt;0</formula>
    </cfRule>
  </conditionalFormatting>
  <conditionalFormatting sqref="C114">
    <cfRule type="expression" dxfId="5149" priority="4802">
      <formula>E114&gt;0</formula>
    </cfRule>
  </conditionalFormatting>
  <conditionalFormatting sqref="C106">
    <cfRule type="expression" dxfId="5148" priority="4801">
      <formula>E106&gt;0</formula>
    </cfRule>
  </conditionalFormatting>
  <conditionalFormatting sqref="C107">
    <cfRule type="expression" dxfId="5147" priority="4800">
      <formula>E107&gt;0</formula>
    </cfRule>
  </conditionalFormatting>
  <conditionalFormatting sqref="C108">
    <cfRule type="expression" dxfId="5146" priority="4799">
      <formula>E108&gt;0</formula>
    </cfRule>
  </conditionalFormatting>
  <conditionalFormatting sqref="C109">
    <cfRule type="expression" dxfId="5145" priority="4798">
      <formula>E109&gt;0</formula>
    </cfRule>
  </conditionalFormatting>
  <conditionalFormatting sqref="C110">
    <cfRule type="expression" dxfId="5144" priority="4797">
      <formula>E110&gt;0</formula>
    </cfRule>
  </conditionalFormatting>
  <conditionalFormatting sqref="C111">
    <cfRule type="expression" dxfId="5143" priority="4796">
      <formula>E111&gt;0</formula>
    </cfRule>
  </conditionalFormatting>
  <conditionalFormatting sqref="C112">
    <cfRule type="expression" dxfId="5142" priority="4795">
      <formula>E112&gt;0</formula>
    </cfRule>
  </conditionalFormatting>
  <conditionalFormatting sqref="C113">
    <cfRule type="expression" dxfId="5141" priority="4794">
      <formula>E113&gt;0</formula>
    </cfRule>
  </conditionalFormatting>
  <conditionalFormatting sqref="C114">
    <cfRule type="expression" dxfId="5140" priority="4793">
      <formula>E114&gt;0</formula>
    </cfRule>
  </conditionalFormatting>
  <conditionalFormatting sqref="C115">
    <cfRule type="expression" dxfId="5139" priority="4792">
      <formula>E115&gt;0</formula>
    </cfRule>
  </conditionalFormatting>
  <conditionalFormatting sqref="C105">
    <cfRule type="expression" dxfId="5138" priority="4791">
      <formula>E105&gt;0</formula>
    </cfRule>
  </conditionalFormatting>
  <conditionalFormatting sqref="C116">
    <cfRule type="expression" dxfId="5137" priority="4790">
      <formula>E116&gt;0</formula>
    </cfRule>
  </conditionalFormatting>
  <conditionalFormatting sqref="C116">
    <cfRule type="expression" dxfId="5136" priority="4789">
      <formula>E116&gt;0</formula>
    </cfRule>
  </conditionalFormatting>
  <conditionalFormatting sqref="C117">
    <cfRule type="expression" dxfId="5135" priority="4788">
      <formula>E117&gt;0</formula>
    </cfRule>
  </conditionalFormatting>
  <conditionalFormatting sqref="C118">
    <cfRule type="expression" dxfId="5134" priority="4787">
      <formula>E118&gt;0</formula>
    </cfRule>
  </conditionalFormatting>
  <conditionalFormatting sqref="C119">
    <cfRule type="expression" dxfId="5133" priority="4786">
      <formula>E119&gt;0</formula>
    </cfRule>
  </conditionalFormatting>
  <conditionalFormatting sqref="C120">
    <cfRule type="expression" dxfId="5132" priority="4785">
      <formula>E120&gt;0</formula>
    </cfRule>
  </conditionalFormatting>
  <conditionalFormatting sqref="C121">
    <cfRule type="expression" dxfId="5131" priority="4784">
      <formula>E121&gt;0</formula>
    </cfRule>
  </conditionalFormatting>
  <conditionalFormatting sqref="C122">
    <cfRule type="expression" dxfId="5130" priority="4783">
      <formula>E122&gt;0</formula>
    </cfRule>
  </conditionalFormatting>
  <conditionalFormatting sqref="C123">
    <cfRule type="expression" dxfId="5129" priority="4782">
      <formula>E123&gt;0</formula>
    </cfRule>
  </conditionalFormatting>
  <conditionalFormatting sqref="C124">
    <cfRule type="expression" dxfId="5128" priority="4781">
      <formula>E124&gt;0</formula>
    </cfRule>
  </conditionalFormatting>
  <conditionalFormatting sqref="C125">
    <cfRule type="expression" dxfId="5127" priority="4780">
      <formula>E125&gt;0</formula>
    </cfRule>
  </conditionalFormatting>
  <conditionalFormatting sqref="C126">
    <cfRule type="expression" dxfId="5126" priority="4779">
      <formula>E126&gt;0</formula>
    </cfRule>
  </conditionalFormatting>
  <conditionalFormatting sqref="C127">
    <cfRule type="expression" dxfId="5125" priority="4778">
      <formula>E127&gt;0</formula>
    </cfRule>
  </conditionalFormatting>
  <conditionalFormatting sqref="C128">
    <cfRule type="expression" dxfId="5124" priority="4777">
      <formula>E128&gt;0</formula>
    </cfRule>
  </conditionalFormatting>
  <conditionalFormatting sqref="C129">
    <cfRule type="expression" dxfId="5123" priority="4776">
      <formula>E129&gt;0</formula>
    </cfRule>
  </conditionalFormatting>
  <conditionalFormatting sqref="C121">
    <cfRule type="expression" dxfId="5122" priority="4775">
      <formula>E121&gt;0</formula>
    </cfRule>
  </conditionalFormatting>
  <conditionalFormatting sqref="C122">
    <cfRule type="expression" dxfId="5121" priority="4774">
      <formula>E122&gt;0</formula>
    </cfRule>
  </conditionalFormatting>
  <conditionalFormatting sqref="C123">
    <cfRule type="expression" dxfId="5120" priority="4773">
      <formula>E123&gt;0</formula>
    </cfRule>
  </conditionalFormatting>
  <conditionalFormatting sqref="C124">
    <cfRule type="expression" dxfId="5119" priority="4772">
      <formula>E124&gt;0</formula>
    </cfRule>
  </conditionalFormatting>
  <conditionalFormatting sqref="C125">
    <cfRule type="expression" dxfId="5118" priority="4771">
      <formula>E125&gt;0</formula>
    </cfRule>
  </conditionalFormatting>
  <conditionalFormatting sqref="C126">
    <cfRule type="expression" dxfId="5117" priority="4770">
      <formula>E126&gt;0</formula>
    </cfRule>
  </conditionalFormatting>
  <conditionalFormatting sqref="C127">
    <cfRule type="expression" dxfId="5116" priority="4769">
      <formula>E127&gt;0</formula>
    </cfRule>
  </conditionalFormatting>
  <conditionalFormatting sqref="C128">
    <cfRule type="expression" dxfId="5115" priority="4768">
      <formula>E128&gt;0</formula>
    </cfRule>
  </conditionalFormatting>
  <conditionalFormatting sqref="C129">
    <cfRule type="expression" dxfId="5114" priority="4767">
      <formula>E129&gt;0</formula>
    </cfRule>
  </conditionalFormatting>
  <conditionalFormatting sqref="C130">
    <cfRule type="expression" dxfId="5113" priority="4766">
      <formula>E130&gt;0</formula>
    </cfRule>
  </conditionalFormatting>
  <conditionalFormatting sqref="C131">
    <cfRule type="expression" dxfId="5112" priority="4765">
      <formula>E131&gt;0</formula>
    </cfRule>
  </conditionalFormatting>
  <conditionalFormatting sqref="C132">
    <cfRule type="expression" dxfId="5111" priority="4764">
      <formula>E132&gt;0</formula>
    </cfRule>
  </conditionalFormatting>
  <conditionalFormatting sqref="C133">
    <cfRule type="expression" dxfId="5110" priority="4763">
      <formula>E133&gt;0</formula>
    </cfRule>
  </conditionalFormatting>
  <conditionalFormatting sqref="C134">
    <cfRule type="expression" dxfId="5109" priority="4762">
      <formula>E134&gt;0</formula>
    </cfRule>
  </conditionalFormatting>
  <conditionalFormatting sqref="C134">
    <cfRule type="expression" dxfId="5108" priority="4761">
      <formula>E134&gt;0</formula>
    </cfRule>
  </conditionalFormatting>
  <conditionalFormatting sqref="C135">
    <cfRule type="expression" dxfId="5107" priority="4760">
      <formula>E135&gt;0</formula>
    </cfRule>
  </conditionalFormatting>
  <conditionalFormatting sqref="C136">
    <cfRule type="expression" dxfId="5106" priority="4759">
      <formula>E136&gt;0</formula>
    </cfRule>
  </conditionalFormatting>
  <conditionalFormatting sqref="C137">
    <cfRule type="expression" dxfId="5105" priority="4758">
      <formula>E137&gt;0</formula>
    </cfRule>
  </conditionalFormatting>
  <conditionalFormatting sqref="C138">
    <cfRule type="expression" dxfId="5104" priority="4757">
      <formula>E138&gt;0</formula>
    </cfRule>
  </conditionalFormatting>
  <conditionalFormatting sqref="C131">
    <cfRule type="expression" dxfId="5103" priority="4756">
      <formula>E131&gt;0</formula>
    </cfRule>
  </conditionalFormatting>
  <conditionalFormatting sqref="C131">
    <cfRule type="expression" dxfId="5102" priority="4755">
      <formula>E131&gt;0</formula>
    </cfRule>
  </conditionalFormatting>
  <conditionalFormatting sqref="C134">
    <cfRule type="expression" dxfId="5101" priority="4754">
      <formula>E134&gt;0</formula>
    </cfRule>
  </conditionalFormatting>
  <conditionalFormatting sqref="C135">
    <cfRule type="expression" dxfId="5100" priority="4753">
      <formula>E135&gt;0</formula>
    </cfRule>
  </conditionalFormatting>
  <conditionalFormatting sqref="C136">
    <cfRule type="expression" dxfId="5099" priority="4752">
      <formula>E136&gt;0</formula>
    </cfRule>
  </conditionalFormatting>
  <conditionalFormatting sqref="C137">
    <cfRule type="expression" dxfId="5098" priority="4751">
      <formula>E137&gt;0</formula>
    </cfRule>
  </conditionalFormatting>
  <conditionalFormatting sqref="C138">
    <cfRule type="expression" dxfId="5097" priority="4750">
      <formula>E138&gt;0</formula>
    </cfRule>
  </conditionalFormatting>
  <conditionalFormatting sqref="C138">
    <cfRule type="expression" dxfId="5096" priority="4749">
      <formula>E138&gt;0</formula>
    </cfRule>
  </conditionalFormatting>
  <conditionalFormatting sqref="C137">
    <cfRule type="expression" dxfId="5095" priority="4748">
      <formula>E137&gt;0</formula>
    </cfRule>
  </conditionalFormatting>
  <conditionalFormatting sqref="C138:C147">
    <cfRule type="expression" dxfId="5094" priority="4747">
      <formula>E138&gt;0</formula>
    </cfRule>
  </conditionalFormatting>
  <conditionalFormatting sqref="C138">
    <cfRule type="expression" dxfId="5093" priority="4746">
      <formula>E138&gt;0</formula>
    </cfRule>
  </conditionalFormatting>
  <conditionalFormatting sqref="C138">
    <cfRule type="expression" dxfId="5092" priority="4745">
      <formula>E138&gt;0</formula>
    </cfRule>
  </conditionalFormatting>
  <conditionalFormatting sqref="C138">
    <cfRule type="expression" dxfId="5091" priority="4744">
      <formula>E138&gt;0</formula>
    </cfRule>
  </conditionalFormatting>
  <conditionalFormatting sqref="C138">
    <cfRule type="expression" dxfId="5090" priority="4743">
      <formula>E138&gt;0</formula>
    </cfRule>
  </conditionalFormatting>
  <conditionalFormatting sqref="C139">
    <cfRule type="expression" dxfId="5089" priority="4742">
      <formula>E139&gt;0</formula>
    </cfRule>
  </conditionalFormatting>
  <conditionalFormatting sqref="C140">
    <cfRule type="expression" dxfId="5088" priority="4741">
      <formula>E140&gt;0</formula>
    </cfRule>
  </conditionalFormatting>
  <conditionalFormatting sqref="C141">
    <cfRule type="expression" dxfId="5087" priority="4740">
      <formula>E141&gt;0</formula>
    </cfRule>
  </conditionalFormatting>
  <conditionalFormatting sqref="C142">
    <cfRule type="expression" dxfId="5086" priority="4739">
      <formula>E142&gt;0</formula>
    </cfRule>
  </conditionalFormatting>
  <conditionalFormatting sqref="C143">
    <cfRule type="expression" dxfId="5085" priority="4738">
      <formula>E143&gt;0</formula>
    </cfRule>
  </conditionalFormatting>
  <conditionalFormatting sqref="C144">
    <cfRule type="expression" dxfId="5084" priority="4737">
      <formula>E144&gt;0</formula>
    </cfRule>
  </conditionalFormatting>
  <conditionalFormatting sqref="C145">
    <cfRule type="expression" dxfId="5083" priority="4736">
      <formula>E145&gt;0</formula>
    </cfRule>
  </conditionalFormatting>
  <conditionalFormatting sqref="C146">
    <cfRule type="expression" dxfId="5082" priority="4735">
      <formula>E146&gt;0</formula>
    </cfRule>
  </conditionalFormatting>
  <conditionalFormatting sqref="C138">
    <cfRule type="expression" dxfId="5081" priority="4734">
      <formula>E138&gt;0</formula>
    </cfRule>
  </conditionalFormatting>
  <conditionalFormatting sqref="C139">
    <cfRule type="expression" dxfId="5080" priority="4733">
      <formula>E139&gt;0</formula>
    </cfRule>
  </conditionalFormatting>
  <conditionalFormatting sqref="C140">
    <cfRule type="expression" dxfId="5079" priority="4732">
      <formula>E140&gt;0</formula>
    </cfRule>
  </conditionalFormatting>
  <conditionalFormatting sqref="C141">
    <cfRule type="expression" dxfId="5078" priority="4731">
      <formula>E141&gt;0</formula>
    </cfRule>
  </conditionalFormatting>
  <conditionalFormatting sqref="C142">
    <cfRule type="expression" dxfId="5077" priority="4730">
      <formula>E142&gt;0</formula>
    </cfRule>
  </conditionalFormatting>
  <conditionalFormatting sqref="C143">
    <cfRule type="expression" dxfId="5076" priority="4729">
      <formula>E143&gt;0</formula>
    </cfRule>
  </conditionalFormatting>
  <conditionalFormatting sqref="C144">
    <cfRule type="expression" dxfId="5075" priority="4728">
      <formula>E144&gt;0</formula>
    </cfRule>
  </conditionalFormatting>
  <conditionalFormatting sqref="C145">
    <cfRule type="expression" dxfId="5074" priority="4727">
      <formula>E145&gt;0</formula>
    </cfRule>
  </conditionalFormatting>
  <conditionalFormatting sqref="C146">
    <cfRule type="expression" dxfId="5073" priority="4726">
      <formula>E146&gt;0</formula>
    </cfRule>
  </conditionalFormatting>
  <conditionalFormatting sqref="C147">
    <cfRule type="expression" dxfId="5072" priority="4725">
      <formula>E147&gt;0</formula>
    </cfRule>
  </conditionalFormatting>
  <conditionalFormatting sqref="C148:C191">
    <cfRule type="expression" dxfId="5071" priority="4724">
      <formula>E148&gt;0</formula>
    </cfRule>
  </conditionalFormatting>
  <conditionalFormatting sqref="C148:C191">
    <cfRule type="expression" dxfId="5070" priority="4723">
      <formula>E148&gt;0</formula>
    </cfRule>
  </conditionalFormatting>
  <conditionalFormatting sqref="C148:C191">
    <cfRule type="expression" dxfId="5069" priority="4722">
      <formula>E148&gt;0</formula>
    </cfRule>
  </conditionalFormatting>
  <conditionalFormatting sqref="C149">
    <cfRule type="expression" dxfId="5068" priority="4721">
      <formula>E149&gt;0</formula>
    </cfRule>
  </conditionalFormatting>
  <conditionalFormatting sqref="C150">
    <cfRule type="expression" dxfId="5067" priority="4720">
      <formula>E150&gt;0</formula>
    </cfRule>
  </conditionalFormatting>
  <conditionalFormatting sqref="C150">
    <cfRule type="expression" dxfId="5066" priority="4719">
      <formula>E150&gt;0</formula>
    </cfRule>
  </conditionalFormatting>
  <conditionalFormatting sqref="C151">
    <cfRule type="expression" dxfId="5065" priority="4718">
      <formula>E151&gt;0</formula>
    </cfRule>
  </conditionalFormatting>
  <conditionalFormatting sqref="C152">
    <cfRule type="expression" dxfId="5064" priority="4717">
      <formula>E152&gt;0</formula>
    </cfRule>
  </conditionalFormatting>
  <conditionalFormatting sqref="C150">
    <cfRule type="expression" dxfId="5063" priority="4716">
      <formula>E150&gt;0</formula>
    </cfRule>
  </conditionalFormatting>
  <conditionalFormatting sqref="C151">
    <cfRule type="expression" dxfId="5062" priority="4715">
      <formula>E151&gt;0</formula>
    </cfRule>
  </conditionalFormatting>
  <conditionalFormatting sqref="C152">
    <cfRule type="expression" dxfId="5061" priority="4714">
      <formula>E152&gt;0</formula>
    </cfRule>
  </conditionalFormatting>
  <conditionalFormatting sqref="C153">
    <cfRule type="expression" dxfId="5060" priority="4713">
      <formula>E153&gt;0</formula>
    </cfRule>
  </conditionalFormatting>
  <conditionalFormatting sqref="C154">
    <cfRule type="expression" dxfId="5059" priority="4712">
      <formula>E154&gt;0</formula>
    </cfRule>
  </conditionalFormatting>
  <conditionalFormatting sqref="C154">
    <cfRule type="expression" dxfId="5058" priority="4711">
      <formula>E154&gt;0</formula>
    </cfRule>
  </conditionalFormatting>
  <conditionalFormatting sqref="C154">
    <cfRule type="expression" dxfId="5057" priority="4710">
      <formula>E154&gt;0</formula>
    </cfRule>
  </conditionalFormatting>
  <conditionalFormatting sqref="C154:C163">
    <cfRule type="expression" dxfId="5056" priority="4709">
      <formula>E154&gt;0</formula>
    </cfRule>
  </conditionalFormatting>
  <conditionalFormatting sqref="C154">
    <cfRule type="expression" dxfId="5055" priority="4708">
      <formula>E154&gt;0</formula>
    </cfRule>
  </conditionalFormatting>
  <conditionalFormatting sqref="C154">
    <cfRule type="expression" dxfId="5054" priority="4707">
      <formula>E154&gt;0</formula>
    </cfRule>
  </conditionalFormatting>
  <conditionalFormatting sqref="C154">
    <cfRule type="expression" dxfId="5053" priority="4706">
      <formula>E154&gt;0</formula>
    </cfRule>
  </conditionalFormatting>
  <conditionalFormatting sqref="C154">
    <cfRule type="expression" dxfId="5052" priority="4705">
      <formula>E154&gt;0</formula>
    </cfRule>
  </conditionalFormatting>
  <conditionalFormatting sqref="C155">
    <cfRule type="expression" dxfId="5051" priority="4704">
      <formula>E155&gt;0</formula>
    </cfRule>
  </conditionalFormatting>
  <conditionalFormatting sqref="C156">
    <cfRule type="expression" dxfId="5050" priority="4703">
      <formula>E156&gt;0</formula>
    </cfRule>
  </conditionalFormatting>
  <conditionalFormatting sqref="C157">
    <cfRule type="expression" dxfId="5049" priority="4702">
      <formula>E157&gt;0</formula>
    </cfRule>
  </conditionalFormatting>
  <conditionalFormatting sqref="C158">
    <cfRule type="expression" dxfId="5048" priority="4701">
      <formula>E158&gt;0</formula>
    </cfRule>
  </conditionalFormatting>
  <conditionalFormatting sqref="C159">
    <cfRule type="expression" dxfId="5047" priority="4700">
      <formula>E159&gt;0</formula>
    </cfRule>
  </conditionalFormatting>
  <conditionalFormatting sqref="C160">
    <cfRule type="expression" dxfId="5046" priority="4699">
      <formula>E160&gt;0</formula>
    </cfRule>
  </conditionalFormatting>
  <conditionalFormatting sqref="C161">
    <cfRule type="expression" dxfId="5045" priority="4698">
      <formula>E161&gt;0</formula>
    </cfRule>
  </conditionalFormatting>
  <conditionalFormatting sqref="C162">
    <cfRule type="expression" dxfId="5044" priority="4697">
      <formula>E162&gt;0</formula>
    </cfRule>
  </conditionalFormatting>
  <conditionalFormatting sqref="C154">
    <cfRule type="expression" dxfId="5043" priority="4696">
      <formula>E154&gt;0</formula>
    </cfRule>
  </conditionalFormatting>
  <conditionalFormatting sqref="C155">
    <cfRule type="expression" dxfId="5042" priority="4695">
      <formula>E155&gt;0</formula>
    </cfRule>
  </conditionalFormatting>
  <conditionalFormatting sqref="C156">
    <cfRule type="expression" dxfId="5041" priority="4694">
      <formula>E156&gt;0</formula>
    </cfRule>
  </conditionalFormatting>
  <conditionalFormatting sqref="C157">
    <cfRule type="expression" dxfId="5040" priority="4693">
      <formula>E157&gt;0</formula>
    </cfRule>
  </conditionalFormatting>
  <conditionalFormatting sqref="C158">
    <cfRule type="expression" dxfId="5039" priority="4692">
      <formula>E158&gt;0</formula>
    </cfRule>
  </conditionalFormatting>
  <conditionalFormatting sqref="C159">
    <cfRule type="expression" dxfId="5038" priority="4691">
      <formula>E159&gt;0</formula>
    </cfRule>
  </conditionalFormatting>
  <conditionalFormatting sqref="C160">
    <cfRule type="expression" dxfId="5037" priority="4690">
      <formula>E160&gt;0</formula>
    </cfRule>
  </conditionalFormatting>
  <conditionalFormatting sqref="C161">
    <cfRule type="expression" dxfId="5036" priority="4689">
      <formula>E161&gt;0</formula>
    </cfRule>
  </conditionalFormatting>
  <conditionalFormatting sqref="C162">
    <cfRule type="expression" dxfId="5035" priority="4688">
      <formula>E162&gt;0</formula>
    </cfRule>
  </conditionalFormatting>
  <conditionalFormatting sqref="C163">
    <cfRule type="expression" dxfId="5034" priority="4687">
      <formula>E163&gt;0</formula>
    </cfRule>
  </conditionalFormatting>
  <conditionalFormatting sqref="C165">
    <cfRule type="expression" dxfId="5033" priority="4686">
      <formula>E165&gt;0</formula>
    </cfRule>
  </conditionalFormatting>
  <conditionalFormatting sqref="C166">
    <cfRule type="expression" dxfId="5032" priority="4685">
      <formula>E166&gt;0</formula>
    </cfRule>
  </conditionalFormatting>
  <conditionalFormatting sqref="C166">
    <cfRule type="expression" dxfId="5031" priority="4684">
      <formula>E166&gt;0</formula>
    </cfRule>
  </conditionalFormatting>
  <conditionalFormatting sqref="C167">
    <cfRule type="expression" dxfId="5030" priority="4683">
      <formula>E167&gt;0</formula>
    </cfRule>
  </conditionalFormatting>
  <conditionalFormatting sqref="C168">
    <cfRule type="expression" dxfId="5029" priority="4682">
      <formula>E168&gt;0</formula>
    </cfRule>
  </conditionalFormatting>
  <conditionalFormatting sqref="C166">
    <cfRule type="expression" dxfId="5028" priority="4681">
      <formula>E166&gt;0</formula>
    </cfRule>
  </conditionalFormatting>
  <conditionalFormatting sqref="C167">
    <cfRule type="expression" dxfId="5027" priority="4680">
      <formula>E167&gt;0</formula>
    </cfRule>
  </conditionalFormatting>
  <conditionalFormatting sqref="C168">
    <cfRule type="expression" dxfId="5026" priority="4679">
      <formula>E168&gt;0</formula>
    </cfRule>
  </conditionalFormatting>
  <conditionalFormatting sqref="C170">
    <cfRule type="expression" dxfId="5025" priority="4678">
      <formula>E170&gt;0</formula>
    </cfRule>
  </conditionalFormatting>
  <conditionalFormatting sqref="C170">
    <cfRule type="expression" dxfId="5024" priority="4677">
      <formula>E170&gt;0</formula>
    </cfRule>
  </conditionalFormatting>
  <conditionalFormatting sqref="C170">
    <cfRule type="expression" dxfId="5023" priority="4676">
      <formula>E170&gt;0</formula>
    </cfRule>
  </conditionalFormatting>
  <conditionalFormatting sqref="C171">
    <cfRule type="expression" dxfId="5022" priority="4675">
      <formula>E171&gt;0</formula>
    </cfRule>
  </conditionalFormatting>
  <conditionalFormatting sqref="C171">
    <cfRule type="expression" dxfId="5021" priority="4674">
      <formula>E171&gt;0</formula>
    </cfRule>
  </conditionalFormatting>
  <conditionalFormatting sqref="C171">
    <cfRule type="expression" dxfId="5020" priority="4673">
      <formula>E171&gt;0</formula>
    </cfRule>
  </conditionalFormatting>
  <conditionalFormatting sqref="C171:C180">
    <cfRule type="expression" dxfId="5019" priority="4672">
      <formula>E171&gt;0</formula>
    </cfRule>
  </conditionalFormatting>
  <conditionalFormatting sqref="C171">
    <cfRule type="expression" dxfId="5018" priority="4671">
      <formula>E171&gt;0</formula>
    </cfRule>
  </conditionalFormatting>
  <conditionalFormatting sqref="C171">
    <cfRule type="expression" dxfId="5017" priority="4670">
      <formula>E171&gt;0</formula>
    </cfRule>
  </conditionalFormatting>
  <conditionalFormatting sqref="C171">
    <cfRule type="expression" dxfId="5016" priority="4669">
      <formula>E171&gt;0</formula>
    </cfRule>
  </conditionalFormatting>
  <conditionalFormatting sqref="C171">
    <cfRule type="expression" dxfId="5015" priority="4668">
      <formula>E171&gt;0</formula>
    </cfRule>
  </conditionalFormatting>
  <conditionalFormatting sqref="C172">
    <cfRule type="expression" dxfId="5014" priority="4667">
      <formula>E172&gt;0</formula>
    </cfRule>
  </conditionalFormatting>
  <conditionalFormatting sqref="C173">
    <cfRule type="expression" dxfId="5013" priority="4666">
      <formula>E173&gt;0</formula>
    </cfRule>
  </conditionalFormatting>
  <conditionalFormatting sqref="C174">
    <cfRule type="expression" dxfId="5012" priority="4665">
      <formula>E174&gt;0</formula>
    </cfRule>
  </conditionalFormatting>
  <conditionalFormatting sqref="C175">
    <cfRule type="expression" dxfId="5011" priority="4664">
      <formula>E175&gt;0</formula>
    </cfRule>
  </conditionalFormatting>
  <conditionalFormatting sqref="C176">
    <cfRule type="expression" dxfId="5010" priority="4663">
      <formula>E176&gt;0</formula>
    </cfRule>
  </conditionalFormatting>
  <conditionalFormatting sqref="C177">
    <cfRule type="expression" dxfId="5009" priority="4662">
      <formula>E177&gt;0</formula>
    </cfRule>
  </conditionalFormatting>
  <conditionalFormatting sqref="C178">
    <cfRule type="expression" dxfId="5008" priority="4661">
      <formula>E178&gt;0</formula>
    </cfRule>
  </conditionalFormatting>
  <conditionalFormatting sqref="C179">
    <cfRule type="expression" dxfId="5007" priority="4660">
      <formula>E179&gt;0</formula>
    </cfRule>
  </conditionalFormatting>
  <conditionalFormatting sqref="C171">
    <cfRule type="expression" dxfId="5006" priority="4659">
      <formula>E171&gt;0</formula>
    </cfRule>
  </conditionalFormatting>
  <conditionalFormatting sqref="C172">
    <cfRule type="expression" dxfId="5005" priority="4658">
      <formula>E172&gt;0</formula>
    </cfRule>
  </conditionalFormatting>
  <conditionalFormatting sqref="C173">
    <cfRule type="expression" dxfId="5004" priority="4657">
      <formula>E173&gt;0</formula>
    </cfRule>
  </conditionalFormatting>
  <conditionalFormatting sqref="C174">
    <cfRule type="expression" dxfId="5003" priority="4656">
      <formula>E174&gt;0</formula>
    </cfRule>
  </conditionalFormatting>
  <conditionalFormatting sqref="C175">
    <cfRule type="expression" dxfId="5002" priority="4655">
      <formula>E175&gt;0</formula>
    </cfRule>
  </conditionalFormatting>
  <conditionalFormatting sqref="C176">
    <cfRule type="expression" dxfId="5001" priority="4654">
      <formula>E176&gt;0</formula>
    </cfRule>
  </conditionalFormatting>
  <conditionalFormatting sqref="C177">
    <cfRule type="expression" dxfId="5000" priority="4653">
      <formula>E177&gt;0</formula>
    </cfRule>
  </conditionalFormatting>
  <conditionalFormatting sqref="C178">
    <cfRule type="expression" dxfId="4999" priority="4652">
      <formula>E178&gt;0</formula>
    </cfRule>
  </conditionalFormatting>
  <conditionalFormatting sqref="C179">
    <cfRule type="expression" dxfId="4998" priority="4651">
      <formula>E179&gt;0</formula>
    </cfRule>
  </conditionalFormatting>
  <conditionalFormatting sqref="C180">
    <cfRule type="expression" dxfId="4997" priority="4650">
      <formula>E180&gt;0</formula>
    </cfRule>
  </conditionalFormatting>
  <conditionalFormatting sqref="C182">
    <cfRule type="expression" dxfId="4996" priority="4649">
      <formula>E182&gt;0</formula>
    </cfRule>
  </conditionalFormatting>
  <conditionalFormatting sqref="C183">
    <cfRule type="expression" dxfId="4995" priority="4648">
      <formula>E183&gt;0</formula>
    </cfRule>
  </conditionalFormatting>
  <conditionalFormatting sqref="C183">
    <cfRule type="expression" dxfId="4994" priority="4647">
      <formula>E183&gt;0</formula>
    </cfRule>
  </conditionalFormatting>
  <conditionalFormatting sqref="C184">
    <cfRule type="expression" dxfId="4993" priority="4646">
      <formula>E184&gt;0</formula>
    </cfRule>
  </conditionalFormatting>
  <conditionalFormatting sqref="C185">
    <cfRule type="expression" dxfId="4992" priority="4645">
      <formula>E185&gt;0</formula>
    </cfRule>
  </conditionalFormatting>
  <conditionalFormatting sqref="C183">
    <cfRule type="expression" dxfId="4991" priority="4644">
      <formula>E183&gt;0</formula>
    </cfRule>
  </conditionalFormatting>
  <conditionalFormatting sqref="C184">
    <cfRule type="expression" dxfId="4990" priority="4643">
      <formula>E184&gt;0</formula>
    </cfRule>
  </conditionalFormatting>
  <conditionalFormatting sqref="C185">
    <cfRule type="expression" dxfId="4989" priority="4642">
      <formula>E185&gt;0</formula>
    </cfRule>
  </conditionalFormatting>
  <conditionalFormatting sqref="C186">
    <cfRule type="expression" dxfId="4988" priority="4641">
      <formula>E186&gt;0</formula>
    </cfRule>
  </conditionalFormatting>
  <conditionalFormatting sqref="C10:C52">
    <cfRule type="expression" dxfId="4987" priority="4640">
      <formula>E10&gt;0</formula>
    </cfRule>
  </conditionalFormatting>
  <conditionalFormatting sqref="C10:C52">
    <cfRule type="expression" dxfId="4986" priority="4639">
      <formula>E10&gt;0</formula>
    </cfRule>
  </conditionalFormatting>
  <conditionalFormatting sqref="C10:C52">
    <cfRule type="expression" dxfId="4985" priority="4638">
      <formula>E10&gt;0</formula>
    </cfRule>
  </conditionalFormatting>
  <conditionalFormatting sqref="C10:C52">
    <cfRule type="expression" dxfId="4984" priority="4637">
      <formula>E10&gt;0</formula>
    </cfRule>
  </conditionalFormatting>
  <conditionalFormatting sqref="C11:C12">
    <cfRule type="expression" dxfId="4983" priority="4636">
      <formula>E11&gt;0</formula>
    </cfRule>
  </conditionalFormatting>
  <conditionalFormatting sqref="C12">
    <cfRule type="expression" dxfId="4982" priority="4635">
      <formula>E12&gt;0</formula>
    </cfRule>
  </conditionalFormatting>
  <conditionalFormatting sqref="C12">
    <cfRule type="expression" dxfId="4981" priority="4634">
      <formula>E12&gt;0</formula>
    </cfRule>
  </conditionalFormatting>
  <conditionalFormatting sqref="C13:C14">
    <cfRule type="expression" dxfId="4980" priority="4633">
      <formula>E13&gt;0</formula>
    </cfRule>
  </conditionalFormatting>
  <conditionalFormatting sqref="C14">
    <cfRule type="expression" dxfId="4979" priority="4632">
      <formula>E14&gt;0</formula>
    </cfRule>
  </conditionalFormatting>
  <conditionalFormatting sqref="C12">
    <cfRule type="expression" dxfId="4978" priority="4631">
      <formula>E12&gt;0</formula>
    </cfRule>
  </conditionalFormatting>
  <conditionalFormatting sqref="C13:C14">
    <cfRule type="expression" dxfId="4977" priority="4630">
      <formula>E13&gt;0</formula>
    </cfRule>
  </conditionalFormatting>
  <conditionalFormatting sqref="C14">
    <cfRule type="expression" dxfId="4976" priority="4629">
      <formula>E14&gt;0</formula>
    </cfRule>
  </conditionalFormatting>
  <conditionalFormatting sqref="C13:C14">
    <cfRule type="expression" dxfId="4975" priority="4628">
      <formula>E13&gt;0</formula>
    </cfRule>
  </conditionalFormatting>
  <conditionalFormatting sqref="C14">
    <cfRule type="expression" dxfId="4974" priority="4627">
      <formula>E14&gt;0</formula>
    </cfRule>
  </conditionalFormatting>
  <conditionalFormatting sqref="C15">
    <cfRule type="expression" dxfId="4973" priority="4626">
      <formula>E15&gt;0</formula>
    </cfRule>
  </conditionalFormatting>
  <conditionalFormatting sqref="C15">
    <cfRule type="expression" dxfId="4972" priority="4625">
      <formula>E15&gt;0</formula>
    </cfRule>
  </conditionalFormatting>
  <conditionalFormatting sqref="C13:C14">
    <cfRule type="expression" dxfId="4971" priority="4624">
      <formula>E13&gt;0</formula>
    </cfRule>
  </conditionalFormatting>
  <conditionalFormatting sqref="C13:C14">
    <cfRule type="expression" dxfId="4970" priority="4623">
      <formula>E13&gt;0</formula>
    </cfRule>
  </conditionalFormatting>
  <conditionalFormatting sqref="C14">
    <cfRule type="expression" dxfId="4969" priority="4622">
      <formula>E14&gt;0</formula>
    </cfRule>
  </conditionalFormatting>
  <conditionalFormatting sqref="C15">
    <cfRule type="expression" dxfId="4968" priority="4621">
      <formula>E15&gt;0</formula>
    </cfRule>
  </conditionalFormatting>
  <conditionalFormatting sqref="C13:C14">
    <cfRule type="expression" dxfId="4967" priority="4620">
      <formula>E13&gt;0</formula>
    </cfRule>
  </conditionalFormatting>
  <conditionalFormatting sqref="C14">
    <cfRule type="expression" dxfId="4966" priority="4619">
      <formula>E14&gt;0</formula>
    </cfRule>
  </conditionalFormatting>
  <conditionalFormatting sqref="C15">
    <cfRule type="expression" dxfId="4965" priority="4618">
      <formula>E15&gt;0</formula>
    </cfRule>
  </conditionalFormatting>
  <conditionalFormatting sqref="C15">
    <cfRule type="expression" dxfId="4964" priority="4617">
      <formula>E15&gt;0</formula>
    </cfRule>
  </conditionalFormatting>
  <conditionalFormatting sqref="C16">
    <cfRule type="expression" dxfId="4963" priority="4616">
      <formula>E16&gt;0</formula>
    </cfRule>
  </conditionalFormatting>
  <conditionalFormatting sqref="C15">
    <cfRule type="expression" dxfId="4962" priority="4615">
      <formula>E15&gt;0</formula>
    </cfRule>
  </conditionalFormatting>
  <conditionalFormatting sqref="C15">
    <cfRule type="expression" dxfId="4961" priority="4614">
      <formula>E15&gt;0</formula>
    </cfRule>
  </conditionalFormatting>
  <conditionalFormatting sqref="C15">
    <cfRule type="expression" dxfId="4960" priority="4613">
      <formula>E15&gt;0</formula>
    </cfRule>
  </conditionalFormatting>
  <conditionalFormatting sqref="C15">
    <cfRule type="expression" dxfId="4959" priority="4612">
      <formula>E15&gt;0</formula>
    </cfRule>
  </conditionalFormatting>
  <conditionalFormatting sqref="C16">
    <cfRule type="expression" dxfId="4958" priority="4611">
      <formula>E16&gt;0</formula>
    </cfRule>
  </conditionalFormatting>
  <conditionalFormatting sqref="C16">
    <cfRule type="expression" dxfId="4957" priority="4610">
      <formula>E16&gt;0</formula>
    </cfRule>
  </conditionalFormatting>
  <conditionalFormatting sqref="C15">
    <cfRule type="expression" dxfId="4956" priority="4609">
      <formula>E15&gt;0</formula>
    </cfRule>
  </conditionalFormatting>
  <conditionalFormatting sqref="C16">
    <cfRule type="expression" dxfId="4955" priority="4608">
      <formula>E16&gt;0</formula>
    </cfRule>
  </conditionalFormatting>
  <conditionalFormatting sqref="C15">
    <cfRule type="expression" dxfId="4954" priority="4607">
      <formula>E15&gt;0</formula>
    </cfRule>
  </conditionalFormatting>
  <conditionalFormatting sqref="C16">
    <cfRule type="expression" dxfId="4953" priority="4606">
      <formula>E16&gt;0</formula>
    </cfRule>
  </conditionalFormatting>
  <conditionalFormatting sqref="C38">
    <cfRule type="expression" dxfId="4952" priority="4605">
      <formula>E38&gt;0</formula>
    </cfRule>
  </conditionalFormatting>
  <conditionalFormatting sqref="C16">
    <cfRule type="expression" dxfId="4951" priority="4604">
      <formula>E16&gt;0</formula>
    </cfRule>
  </conditionalFormatting>
  <conditionalFormatting sqref="C15">
    <cfRule type="expression" dxfId="4950" priority="4603">
      <formula>E15&gt;0</formula>
    </cfRule>
  </conditionalFormatting>
  <conditionalFormatting sqref="C17:C19">
    <cfRule type="expression" dxfId="4949" priority="4602">
      <formula>E17&gt;0</formula>
    </cfRule>
  </conditionalFormatting>
  <conditionalFormatting sqref="C18">
    <cfRule type="expression" dxfId="4948" priority="4601">
      <formula>E18&gt;0</formula>
    </cfRule>
  </conditionalFormatting>
  <conditionalFormatting sqref="C19:C52">
    <cfRule type="expression" dxfId="4947" priority="4600">
      <formula>E19&gt;0</formula>
    </cfRule>
  </conditionalFormatting>
  <conditionalFormatting sqref="C20">
    <cfRule type="expression" dxfId="4946" priority="4599">
      <formula>E20&gt;0</formula>
    </cfRule>
  </conditionalFormatting>
  <conditionalFormatting sqref="C21:C52">
    <cfRule type="expression" dxfId="4945" priority="4598">
      <formula>E21&gt;0</formula>
    </cfRule>
  </conditionalFormatting>
  <conditionalFormatting sqref="C22">
    <cfRule type="expression" dxfId="4944" priority="4597">
      <formula>E22&gt;0</formula>
    </cfRule>
  </conditionalFormatting>
  <conditionalFormatting sqref="C20">
    <cfRule type="expression" dxfId="4943" priority="4596">
      <formula>E20&gt;0</formula>
    </cfRule>
  </conditionalFormatting>
  <conditionalFormatting sqref="C23:C52">
    <cfRule type="expression" dxfId="4942" priority="4595">
      <formula>E23&gt;0</formula>
    </cfRule>
  </conditionalFormatting>
  <conditionalFormatting sqref="C24:C52">
    <cfRule type="expression" dxfId="4941" priority="4594">
      <formula>E24&gt;0</formula>
    </cfRule>
  </conditionalFormatting>
  <conditionalFormatting sqref="C25:C26">
    <cfRule type="expression" dxfId="4940" priority="4593">
      <formula>E25&gt;0</formula>
    </cfRule>
  </conditionalFormatting>
  <conditionalFormatting sqref="C26:C52">
    <cfRule type="expression" dxfId="4939" priority="4592">
      <formula>E26&gt;0</formula>
    </cfRule>
  </conditionalFormatting>
  <conditionalFormatting sqref="C27:C28">
    <cfRule type="expression" dxfId="4938" priority="4591">
      <formula>E27&gt;0</formula>
    </cfRule>
  </conditionalFormatting>
  <conditionalFormatting sqref="C28:C52">
    <cfRule type="expression" dxfId="4937" priority="4590">
      <formula>E28&gt;0</formula>
    </cfRule>
  </conditionalFormatting>
  <conditionalFormatting sqref="C29:C52">
    <cfRule type="expression" dxfId="4936" priority="4589">
      <formula>E29&gt;0</formula>
    </cfRule>
  </conditionalFormatting>
  <conditionalFormatting sqref="C30:C52">
    <cfRule type="expression" dxfId="4935" priority="4588">
      <formula>E30&gt;0</formula>
    </cfRule>
  </conditionalFormatting>
  <conditionalFormatting sqref="C31">
    <cfRule type="expression" dxfId="4934" priority="4587">
      <formula>E31&gt;0</formula>
    </cfRule>
  </conditionalFormatting>
  <conditionalFormatting sqref="C32:C52">
    <cfRule type="expression" dxfId="4933" priority="4586">
      <formula>E32&gt;0</formula>
    </cfRule>
  </conditionalFormatting>
  <conditionalFormatting sqref="C33:C52">
    <cfRule type="expression" dxfId="4932" priority="4585">
      <formula>E33&gt;0</formula>
    </cfRule>
  </conditionalFormatting>
  <conditionalFormatting sqref="C34">
    <cfRule type="expression" dxfId="4931" priority="4584">
      <formula>E34&gt;0</formula>
    </cfRule>
  </conditionalFormatting>
  <conditionalFormatting sqref="C17:C19">
    <cfRule type="expression" dxfId="4930" priority="4583">
      <formula>E17&gt;0</formula>
    </cfRule>
  </conditionalFormatting>
  <conditionalFormatting sqref="C18">
    <cfRule type="expression" dxfId="4929" priority="4582">
      <formula>E18&gt;0</formula>
    </cfRule>
  </conditionalFormatting>
  <conditionalFormatting sqref="C18">
    <cfRule type="expression" dxfId="4928" priority="4581">
      <formula>E18&gt;0</formula>
    </cfRule>
  </conditionalFormatting>
  <conditionalFormatting sqref="C19:C52">
    <cfRule type="expression" dxfId="4927" priority="4580">
      <formula>E19&gt;0</formula>
    </cfRule>
  </conditionalFormatting>
  <conditionalFormatting sqref="C20">
    <cfRule type="expression" dxfId="4926" priority="4579">
      <formula>E20&gt;0</formula>
    </cfRule>
  </conditionalFormatting>
  <conditionalFormatting sqref="C18">
    <cfRule type="expression" dxfId="4925" priority="4578">
      <formula>E18&gt;0</formula>
    </cfRule>
  </conditionalFormatting>
  <conditionalFormatting sqref="C19:C52">
    <cfRule type="expression" dxfId="4924" priority="4577">
      <formula>E19&gt;0</formula>
    </cfRule>
  </conditionalFormatting>
  <conditionalFormatting sqref="C20">
    <cfRule type="expression" dxfId="4923" priority="4576">
      <formula>E20&gt;0</formula>
    </cfRule>
  </conditionalFormatting>
  <conditionalFormatting sqref="C19:C52">
    <cfRule type="expression" dxfId="4922" priority="4575">
      <formula>E19&gt;0</formula>
    </cfRule>
  </conditionalFormatting>
  <conditionalFormatting sqref="C20">
    <cfRule type="expression" dxfId="4921" priority="4574">
      <formula>E20&gt;0</formula>
    </cfRule>
  </conditionalFormatting>
  <conditionalFormatting sqref="C21:C52">
    <cfRule type="expression" dxfId="4920" priority="4573">
      <formula>E21&gt;0</formula>
    </cfRule>
  </conditionalFormatting>
  <conditionalFormatting sqref="C21:C52">
    <cfRule type="expression" dxfId="4919" priority="4572">
      <formula>E21&gt;0</formula>
    </cfRule>
  </conditionalFormatting>
  <conditionalFormatting sqref="C19:C52">
    <cfRule type="expression" dxfId="4918" priority="4571">
      <formula>E19&gt;0</formula>
    </cfRule>
  </conditionalFormatting>
  <conditionalFormatting sqref="C19:C52">
    <cfRule type="expression" dxfId="4917" priority="4570">
      <formula>E19&gt;0</formula>
    </cfRule>
  </conditionalFormatting>
  <conditionalFormatting sqref="C20">
    <cfRule type="expression" dxfId="4916" priority="4569">
      <formula>E20&gt;0</formula>
    </cfRule>
  </conditionalFormatting>
  <conditionalFormatting sqref="C21:C52">
    <cfRule type="expression" dxfId="4915" priority="4568">
      <formula>E21&gt;0</formula>
    </cfRule>
  </conditionalFormatting>
  <conditionalFormatting sqref="C19:C52">
    <cfRule type="expression" dxfId="4914" priority="4567">
      <formula>E19&gt;0</formula>
    </cfRule>
  </conditionalFormatting>
  <conditionalFormatting sqref="C20">
    <cfRule type="expression" dxfId="4913" priority="4566">
      <formula>E20&gt;0</formula>
    </cfRule>
  </conditionalFormatting>
  <conditionalFormatting sqref="C21:C52">
    <cfRule type="expression" dxfId="4912" priority="4565">
      <formula>E21&gt;0</formula>
    </cfRule>
  </conditionalFormatting>
  <conditionalFormatting sqref="C21:C52">
    <cfRule type="expression" dxfId="4911" priority="4564">
      <formula>E21&gt;0</formula>
    </cfRule>
  </conditionalFormatting>
  <conditionalFormatting sqref="C22">
    <cfRule type="expression" dxfId="4910" priority="4563">
      <formula>E22&gt;0</formula>
    </cfRule>
  </conditionalFormatting>
  <conditionalFormatting sqref="C21:C52">
    <cfRule type="expression" dxfId="4909" priority="4562">
      <formula>E21&gt;0</formula>
    </cfRule>
  </conditionalFormatting>
  <conditionalFormatting sqref="C21:C52">
    <cfRule type="expression" dxfId="4908" priority="4561">
      <formula>E21&gt;0</formula>
    </cfRule>
  </conditionalFormatting>
  <conditionalFormatting sqref="C21:C52">
    <cfRule type="expression" dxfId="4907" priority="4560">
      <formula>E21&gt;0</formula>
    </cfRule>
  </conditionalFormatting>
  <conditionalFormatting sqref="C21:C52">
    <cfRule type="expression" dxfId="4906" priority="4559">
      <formula>E21&gt;0</formula>
    </cfRule>
  </conditionalFormatting>
  <conditionalFormatting sqref="C22">
    <cfRule type="expression" dxfId="4905" priority="4558">
      <formula>E22&gt;0</formula>
    </cfRule>
  </conditionalFormatting>
  <conditionalFormatting sqref="C22">
    <cfRule type="expression" dxfId="4904" priority="4557">
      <formula>E22&gt;0</formula>
    </cfRule>
  </conditionalFormatting>
  <conditionalFormatting sqref="C21:C52">
    <cfRule type="expression" dxfId="4903" priority="4556">
      <formula>E21&gt;0</formula>
    </cfRule>
  </conditionalFormatting>
  <conditionalFormatting sqref="C22">
    <cfRule type="expression" dxfId="4902" priority="4555">
      <formula>E22&gt;0</formula>
    </cfRule>
  </conditionalFormatting>
  <conditionalFormatting sqref="C21:C52">
    <cfRule type="expression" dxfId="4901" priority="4554">
      <formula>E21&gt;0</formula>
    </cfRule>
  </conditionalFormatting>
  <conditionalFormatting sqref="C22">
    <cfRule type="expression" dxfId="4900" priority="4553">
      <formula>E22&gt;0</formula>
    </cfRule>
  </conditionalFormatting>
  <conditionalFormatting sqref="C9">
    <cfRule type="expression" dxfId="4899" priority="4552">
      <formula>E9&gt;0</formula>
    </cfRule>
  </conditionalFormatting>
  <conditionalFormatting sqref="C10">
    <cfRule type="expression" dxfId="4898" priority="4551">
      <formula>E10&gt;0</formula>
    </cfRule>
  </conditionalFormatting>
  <conditionalFormatting sqref="C10">
    <cfRule type="expression" dxfId="4897" priority="4550">
      <formula>E10&gt;0</formula>
    </cfRule>
  </conditionalFormatting>
  <conditionalFormatting sqref="C11">
    <cfRule type="expression" dxfId="4896" priority="4549">
      <formula>E11&gt;0</formula>
    </cfRule>
  </conditionalFormatting>
  <conditionalFormatting sqref="C11">
    <cfRule type="expression" dxfId="4895" priority="4548">
      <formula>E11&gt;0</formula>
    </cfRule>
  </conditionalFormatting>
  <conditionalFormatting sqref="C11">
    <cfRule type="expression" dxfId="4894" priority="4547">
      <formula>E11&gt;0</formula>
    </cfRule>
  </conditionalFormatting>
  <conditionalFormatting sqref="C12">
    <cfRule type="expression" dxfId="4893" priority="4546">
      <formula>E12&gt;0</formula>
    </cfRule>
  </conditionalFormatting>
  <conditionalFormatting sqref="C13">
    <cfRule type="expression" dxfId="4892" priority="4545">
      <formula>E13&gt;0</formula>
    </cfRule>
  </conditionalFormatting>
  <conditionalFormatting sqref="C23:C52">
    <cfRule type="expression" dxfId="4891" priority="4544">
      <formula>E23&gt;0</formula>
    </cfRule>
  </conditionalFormatting>
  <conditionalFormatting sqref="C24:C52">
    <cfRule type="expression" dxfId="4890" priority="4543">
      <formula>E24&gt;0</formula>
    </cfRule>
  </conditionalFormatting>
  <conditionalFormatting sqref="C25:C26">
    <cfRule type="expression" dxfId="4889" priority="4542">
      <formula>E25&gt;0</formula>
    </cfRule>
  </conditionalFormatting>
  <conditionalFormatting sqref="C26:C52">
    <cfRule type="expression" dxfId="4888" priority="4541">
      <formula>E26&gt;0</formula>
    </cfRule>
  </conditionalFormatting>
  <conditionalFormatting sqref="C27:C28">
    <cfRule type="expression" dxfId="4887" priority="4540">
      <formula>E27&gt;0</formula>
    </cfRule>
  </conditionalFormatting>
  <conditionalFormatting sqref="C28:C52">
    <cfRule type="expression" dxfId="4886" priority="4539">
      <formula>E28&gt;0</formula>
    </cfRule>
  </conditionalFormatting>
  <conditionalFormatting sqref="C29:C52">
    <cfRule type="expression" dxfId="4885" priority="4538">
      <formula>E29&gt;0</formula>
    </cfRule>
  </conditionalFormatting>
  <conditionalFormatting sqref="C30:C52">
    <cfRule type="expression" dxfId="4884" priority="4537">
      <formula>E30&gt;0</formula>
    </cfRule>
  </conditionalFormatting>
  <conditionalFormatting sqref="C31">
    <cfRule type="expression" dxfId="4883" priority="4536">
      <formula>E31&gt;0</formula>
    </cfRule>
  </conditionalFormatting>
  <conditionalFormatting sqref="C32:C52">
    <cfRule type="expression" dxfId="4882" priority="4535">
      <formula>E32&gt;0</formula>
    </cfRule>
  </conditionalFormatting>
  <conditionalFormatting sqref="C23:C52">
    <cfRule type="expression" dxfId="4881" priority="4534">
      <formula>E23&gt;0</formula>
    </cfRule>
  </conditionalFormatting>
  <conditionalFormatting sqref="C24:C52">
    <cfRule type="expression" dxfId="4880" priority="4533">
      <formula>E24&gt;0</formula>
    </cfRule>
  </conditionalFormatting>
  <conditionalFormatting sqref="C25:C26">
    <cfRule type="expression" dxfId="4879" priority="4532">
      <formula>E25&gt;0</formula>
    </cfRule>
  </conditionalFormatting>
  <conditionalFormatting sqref="C26:C52">
    <cfRule type="expression" dxfId="4878" priority="4531">
      <formula>E26&gt;0</formula>
    </cfRule>
  </conditionalFormatting>
  <conditionalFormatting sqref="C27:C28">
    <cfRule type="expression" dxfId="4877" priority="4530">
      <formula>E27&gt;0</formula>
    </cfRule>
  </conditionalFormatting>
  <conditionalFormatting sqref="C28:C52">
    <cfRule type="expression" dxfId="4876" priority="4529">
      <formula>E28&gt;0</formula>
    </cfRule>
  </conditionalFormatting>
  <conditionalFormatting sqref="C29:C52">
    <cfRule type="expression" dxfId="4875" priority="4528">
      <formula>E29&gt;0</formula>
    </cfRule>
  </conditionalFormatting>
  <conditionalFormatting sqref="C30:C52">
    <cfRule type="expression" dxfId="4874" priority="4527">
      <formula>E30&gt;0</formula>
    </cfRule>
  </conditionalFormatting>
  <conditionalFormatting sqref="C31">
    <cfRule type="expression" dxfId="4873" priority="4526">
      <formula>E31&gt;0</formula>
    </cfRule>
  </conditionalFormatting>
  <conditionalFormatting sqref="C32:C52">
    <cfRule type="expression" dxfId="4872" priority="4525">
      <formula>E32&gt;0</formula>
    </cfRule>
  </conditionalFormatting>
  <conditionalFormatting sqref="C37">
    <cfRule type="expression" dxfId="4871" priority="4524">
      <formula>E37&gt;0</formula>
    </cfRule>
  </conditionalFormatting>
  <conditionalFormatting sqref="C35">
    <cfRule type="expression" dxfId="4870" priority="4523">
      <formula>E35&gt;0</formula>
    </cfRule>
  </conditionalFormatting>
  <conditionalFormatting sqref="C35">
    <cfRule type="expression" dxfId="4869" priority="4522">
      <formula>E35&gt;0</formula>
    </cfRule>
  </conditionalFormatting>
  <conditionalFormatting sqref="C35">
    <cfRule type="expression" dxfId="4868" priority="4521">
      <formula>E35&gt;0</formula>
    </cfRule>
  </conditionalFormatting>
  <conditionalFormatting sqref="C35">
    <cfRule type="expression" dxfId="4867" priority="4520">
      <formula>E35&gt;0</formula>
    </cfRule>
  </conditionalFormatting>
  <conditionalFormatting sqref="C35">
    <cfRule type="expression" dxfId="4866" priority="4519">
      <formula>E35&gt;0</formula>
    </cfRule>
  </conditionalFormatting>
  <conditionalFormatting sqref="C35">
    <cfRule type="expression" dxfId="4865" priority="4518">
      <formula>E35&gt;0</formula>
    </cfRule>
  </conditionalFormatting>
  <conditionalFormatting sqref="C35">
    <cfRule type="expression" dxfId="4864" priority="4517">
      <formula>E35&gt;0</formula>
    </cfRule>
  </conditionalFormatting>
  <conditionalFormatting sqref="C35">
    <cfRule type="expression" dxfId="4863" priority="4516">
      <formula>E35&gt;0</formula>
    </cfRule>
  </conditionalFormatting>
  <conditionalFormatting sqref="C35">
    <cfRule type="expression" dxfId="4862" priority="4515">
      <formula>E35&gt;0</formula>
    </cfRule>
  </conditionalFormatting>
  <conditionalFormatting sqref="C35">
    <cfRule type="expression" dxfId="4861" priority="4514">
      <formula>E35&gt;0</formula>
    </cfRule>
  </conditionalFormatting>
  <conditionalFormatting sqref="C35">
    <cfRule type="expression" dxfId="4860" priority="4513">
      <formula>E35&gt;0</formula>
    </cfRule>
  </conditionalFormatting>
  <conditionalFormatting sqref="C35">
    <cfRule type="expression" dxfId="4859" priority="4512">
      <formula>E35&gt;0</formula>
    </cfRule>
  </conditionalFormatting>
  <conditionalFormatting sqref="C35">
    <cfRule type="expression" dxfId="4858" priority="4511">
      <formula>E35&gt;0</formula>
    </cfRule>
  </conditionalFormatting>
  <conditionalFormatting sqref="C35">
    <cfRule type="expression" dxfId="4857" priority="4510">
      <formula>E35&gt;0</formula>
    </cfRule>
  </conditionalFormatting>
  <conditionalFormatting sqref="C35">
    <cfRule type="expression" dxfId="4856" priority="4509">
      <formula>E35&gt;0</formula>
    </cfRule>
  </conditionalFormatting>
  <conditionalFormatting sqref="C35">
    <cfRule type="expression" dxfId="4855" priority="4508">
      <formula>E35&gt;0</formula>
    </cfRule>
  </conditionalFormatting>
  <conditionalFormatting sqref="C35">
    <cfRule type="expression" dxfId="4854" priority="4507">
      <formula>E35&gt;0</formula>
    </cfRule>
  </conditionalFormatting>
  <conditionalFormatting sqref="C35">
    <cfRule type="expression" dxfId="4853" priority="4506">
      <formula>E35&gt;0</formula>
    </cfRule>
  </conditionalFormatting>
  <conditionalFormatting sqref="C14">
    <cfRule type="expression" dxfId="4852" priority="4505">
      <formula>E14&gt;0</formula>
    </cfRule>
  </conditionalFormatting>
  <conditionalFormatting sqref="C14">
    <cfRule type="expression" dxfId="4851" priority="4504">
      <formula>E14&gt;0</formula>
    </cfRule>
  </conditionalFormatting>
  <conditionalFormatting sqref="C14">
    <cfRule type="expression" dxfId="4850" priority="4503">
      <formula>E14&gt;0</formula>
    </cfRule>
  </conditionalFormatting>
  <conditionalFormatting sqref="C14">
    <cfRule type="expression" dxfId="4849" priority="4502">
      <formula>E14&gt;0</formula>
    </cfRule>
  </conditionalFormatting>
  <conditionalFormatting sqref="C34">
    <cfRule type="expression" dxfId="4848" priority="4501">
      <formula>E34&gt;0</formula>
    </cfRule>
  </conditionalFormatting>
  <conditionalFormatting sqref="C35">
    <cfRule type="expression" dxfId="4847" priority="4500">
      <formula>E35&gt;0</formula>
    </cfRule>
  </conditionalFormatting>
  <conditionalFormatting sqref="C36:C52">
    <cfRule type="expression" dxfId="4846" priority="4499">
      <formula>E36&gt;0</formula>
    </cfRule>
  </conditionalFormatting>
  <conditionalFormatting sqref="C34">
    <cfRule type="expression" dxfId="4845" priority="4498">
      <formula>E34&gt;0</formula>
    </cfRule>
  </conditionalFormatting>
  <conditionalFormatting sqref="C35">
    <cfRule type="expression" dxfId="4844" priority="4497">
      <formula>E35&gt;0</formula>
    </cfRule>
  </conditionalFormatting>
  <conditionalFormatting sqref="C36:C52">
    <cfRule type="expression" dxfId="4843" priority="4496">
      <formula>E36&gt;0</formula>
    </cfRule>
  </conditionalFormatting>
  <conditionalFormatting sqref="C36:C52">
    <cfRule type="expression" dxfId="4842" priority="4495">
      <formula>E36&gt;0</formula>
    </cfRule>
  </conditionalFormatting>
  <conditionalFormatting sqref="C36:C52">
    <cfRule type="expression" dxfId="4841" priority="4494">
      <formula>E36&gt;0</formula>
    </cfRule>
  </conditionalFormatting>
  <conditionalFormatting sqref="C36:C52">
    <cfRule type="expression" dxfId="4840" priority="4493">
      <formula>E36&gt;0</formula>
    </cfRule>
  </conditionalFormatting>
  <conditionalFormatting sqref="C36:C52">
    <cfRule type="expression" dxfId="4839" priority="4492">
      <formula>E36&gt;0</formula>
    </cfRule>
  </conditionalFormatting>
  <conditionalFormatting sqref="C36:C52">
    <cfRule type="expression" dxfId="4838" priority="4491">
      <formula>E36&gt;0</formula>
    </cfRule>
  </conditionalFormatting>
  <conditionalFormatting sqref="C36:C52">
    <cfRule type="expression" dxfId="4837" priority="4490">
      <formula>E36&gt;0</formula>
    </cfRule>
  </conditionalFormatting>
  <conditionalFormatting sqref="C36:C52">
    <cfRule type="expression" dxfId="4836" priority="4489">
      <formula>E36&gt;0</formula>
    </cfRule>
  </conditionalFormatting>
  <conditionalFormatting sqref="C36:C52">
    <cfRule type="expression" dxfId="4835" priority="4488">
      <formula>E36&gt;0</formula>
    </cfRule>
  </conditionalFormatting>
  <conditionalFormatting sqref="C36:C52">
    <cfRule type="expression" dxfId="4834" priority="4487">
      <formula>E36&gt;0</formula>
    </cfRule>
  </conditionalFormatting>
  <conditionalFormatting sqref="C36:C52">
    <cfRule type="expression" dxfId="4833" priority="4486">
      <formula>E36&gt;0</formula>
    </cfRule>
  </conditionalFormatting>
  <conditionalFormatting sqref="C36:C52">
    <cfRule type="expression" dxfId="4832" priority="4485">
      <formula>E36&gt;0</formula>
    </cfRule>
  </conditionalFormatting>
  <conditionalFormatting sqref="C36:C52">
    <cfRule type="expression" dxfId="4831" priority="4484">
      <formula>E36&gt;0</formula>
    </cfRule>
  </conditionalFormatting>
  <conditionalFormatting sqref="C36:C52">
    <cfRule type="expression" dxfId="4830" priority="4483">
      <formula>E36&gt;0</formula>
    </cfRule>
  </conditionalFormatting>
  <conditionalFormatting sqref="C36:C52">
    <cfRule type="expression" dxfId="4829" priority="4482">
      <formula>E36&gt;0</formula>
    </cfRule>
  </conditionalFormatting>
  <conditionalFormatting sqref="C36:C52">
    <cfRule type="expression" dxfId="4828" priority="4481">
      <formula>E36&gt;0</formula>
    </cfRule>
  </conditionalFormatting>
  <conditionalFormatting sqref="C36:C52">
    <cfRule type="expression" dxfId="4827" priority="4480">
      <formula>E36&gt;0</formula>
    </cfRule>
  </conditionalFormatting>
  <conditionalFormatting sqref="C36:C52">
    <cfRule type="expression" dxfId="4826" priority="4479">
      <formula>E36&gt;0</formula>
    </cfRule>
  </conditionalFormatting>
  <conditionalFormatting sqref="C16">
    <cfRule type="expression" dxfId="4825" priority="4478">
      <formula>E16&gt;0</formula>
    </cfRule>
  </conditionalFormatting>
  <conditionalFormatting sqref="C17">
    <cfRule type="expression" dxfId="4824" priority="4477">
      <formula>E17&gt;0</formula>
    </cfRule>
  </conditionalFormatting>
  <conditionalFormatting sqref="C18">
    <cfRule type="expression" dxfId="4823" priority="4476">
      <formula>E18&gt;0</formula>
    </cfRule>
  </conditionalFormatting>
  <conditionalFormatting sqref="C19">
    <cfRule type="expression" dxfId="4822" priority="4475">
      <formula>E19&gt;0</formula>
    </cfRule>
  </conditionalFormatting>
  <conditionalFormatting sqref="C20">
    <cfRule type="expression" dxfId="4821" priority="4474">
      <formula>E20&gt;0</formula>
    </cfRule>
  </conditionalFormatting>
  <conditionalFormatting sqref="C21:C52">
    <cfRule type="expression" dxfId="4820" priority="4473">
      <formula>E21&gt;0</formula>
    </cfRule>
  </conditionalFormatting>
  <conditionalFormatting sqref="C22">
    <cfRule type="expression" dxfId="4819" priority="4472">
      <formula>E22&gt;0</formula>
    </cfRule>
  </conditionalFormatting>
  <conditionalFormatting sqref="C23:C24">
    <cfRule type="expression" dxfId="4818" priority="4471">
      <formula>E23&gt;0</formula>
    </cfRule>
  </conditionalFormatting>
  <conditionalFormatting sqref="C26">
    <cfRule type="expression" dxfId="4817" priority="4470">
      <formula>E26&gt;0</formula>
    </cfRule>
  </conditionalFormatting>
  <conditionalFormatting sqref="C28">
    <cfRule type="expression" dxfId="4816" priority="4469">
      <formula>E28&gt;0</formula>
    </cfRule>
  </conditionalFormatting>
  <conditionalFormatting sqref="C30:C52">
    <cfRule type="expression" dxfId="4815" priority="4468">
      <formula>E30&gt;0</formula>
    </cfRule>
  </conditionalFormatting>
  <conditionalFormatting sqref="C32:C52">
    <cfRule type="expression" dxfId="4814" priority="4467">
      <formula>E32&gt;0</formula>
    </cfRule>
  </conditionalFormatting>
  <conditionalFormatting sqref="C16">
    <cfRule type="expression" dxfId="4813" priority="4466">
      <formula>E16&gt;0</formula>
    </cfRule>
  </conditionalFormatting>
  <conditionalFormatting sqref="C16">
    <cfRule type="expression" dxfId="4812" priority="4465">
      <formula>E16&gt;0</formula>
    </cfRule>
  </conditionalFormatting>
  <conditionalFormatting sqref="C16">
    <cfRule type="expression" dxfId="4811" priority="4464">
      <formula>E16&gt;0</formula>
    </cfRule>
  </conditionalFormatting>
  <conditionalFormatting sqref="C16">
    <cfRule type="expression" dxfId="4810" priority="4463">
      <formula>E16&gt;0</formula>
    </cfRule>
  </conditionalFormatting>
  <conditionalFormatting sqref="C16">
    <cfRule type="expression" dxfId="4809" priority="4462">
      <formula>E16&gt;0</formula>
    </cfRule>
  </conditionalFormatting>
  <conditionalFormatting sqref="C17">
    <cfRule type="expression" dxfId="4808" priority="4461">
      <formula>E17&gt;0</formula>
    </cfRule>
  </conditionalFormatting>
  <conditionalFormatting sqref="C16">
    <cfRule type="expression" dxfId="4807" priority="4460">
      <formula>E16&gt;0</formula>
    </cfRule>
  </conditionalFormatting>
  <conditionalFormatting sqref="C16">
    <cfRule type="expression" dxfId="4806" priority="4459">
      <formula>E16&gt;0</formula>
    </cfRule>
  </conditionalFormatting>
  <conditionalFormatting sqref="C16">
    <cfRule type="expression" dxfId="4805" priority="4458">
      <formula>E16&gt;0</formula>
    </cfRule>
  </conditionalFormatting>
  <conditionalFormatting sqref="C16">
    <cfRule type="expression" dxfId="4804" priority="4457">
      <formula>E16&gt;0</formula>
    </cfRule>
  </conditionalFormatting>
  <conditionalFormatting sqref="C17">
    <cfRule type="expression" dxfId="4803" priority="4456">
      <formula>E17&gt;0</formula>
    </cfRule>
  </conditionalFormatting>
  <conditionalFormatting sqref="C17">
    <cfRule type="expression" dxfId="4802" priority="4455">
      <formula>E17&gt;0</formula>
    </cfRule>
  </conditionalFormatting>
  <conditionalFormatting sqref="C16">
    <cfRule type="expression" dxfId="4801" priority="4454">
      <formula>E16&gt;0</formula>
    </cfRule>
  </conditionalFormatting>
  <conditionalFormatting sqref="C17">
    <cfRule type="expression" dxfId="4800" priority="4453">
      <formula>E17&gt;0</formula>
    </cfRule>
  </conditionalFormatting>
  <conditionalFormatting sqref="C16">
    <cfRule type="expression" dxfId="4799" priority="4452">
      <formula>E16&gt;0</formula>
    </cfRule>
  </conditionalFormatting>
  <conditionalFormatting sqref="C17">
    <cfRule type="expression" dxfId="4798" priority="4451">
      <formula>E17&gt;0</formula>
    </cfRule>
  </conditionalFormatting>
  <conditionalFormatting sqref="C17">
    <cfRule type="expression" dxfId="4797" priority="4450">
      <formula>E17&gt;0</formula>
    </cfRule>
  </conditionalFormatting>
  <conditionalFormatting sqref="C16">
    <cfRule type="expression" dxfId="4796" priority="4449">
      <formula>E16&gt;0</formula>
    </cfRule>
  </conditionalFormatting>
  <conditionalFormatting sqref="C19">
    <cfRule type="expression" dxfId="4795" priority="4448">
      <formula>E19&gt;0</formula>
    </cfRule>
  </conditionalFormatting>
  <conditionalFormatting sqref="C21:C52">
    <cfRule type="expression" dxfId="4794" priority="4447">
      <formula>E21&gt;0</formula>
    </cfRule>
  </conditionalFormatting>
  <conditionalFormatting sqref="C22">
    <cfRule type="expression" dxfId="4793" priority="4446">
      <formula>E22&gt;0</formula>
    </cfRule>
  </conditionalFormatting>
  <conditionalFormatting sqref="C23:C24">
    <cfRule type="expression" dxfId="4792" priority="4445">
      <formula>E23&gt;0</formula>
    </cfRule>
  </conditionalFormatting>
  <conditionalFormatting sqref="C21:C52">
    <cfRule type="expression" dxfId="4791" priority="4444">
      <formula>E21&gt;0</formula>
    </cfRule>
  </conditionalFormatting>
  <conditionalFormatting sqref="C26">
    <cfRule type="expression" dxfId="4790" priority="4443">
      <formula>E26&gt;0</formula>
    </cfRule>
  </conditionalFormatting>
  <conditionalFormatting sqref="C28">
    <cfRule type="expression" dxfId="4789" priority="4442">
      <formula>E28&gt;0</formula>
    </cfRule>
  </conditionalFormatting>
  <conditionalFormatting sqref="C30:C52">
    <cfRule type="expression" dxfId="4788" priority="4441">
      <formula>E30&gt;0</formula>
    </cfRule>
  </conditionalFormatting>
  <conditionalFormatting sqref="C32:C52">
    <cfRule type="expression" dxfId="4787" priority="4440">
      <formula>E32&gt;0</formula>
    </cfRule>
  </conditionalFormatting>
  <conditionalFormatting sqref="C19">
    <cfRule type="expression" dxfId="4786" priority="4439">
      <formula>E19&gt;0</formula>
    </cfRule>
  </conditionalFormatting>
  <conditionalFormatting sqref="C19">
    <cfRule type="expression" dxfId="4785" priority="4438">
      <formula>E19&gt;0</formula>
    </cfRule>
  </conditionalFormatting>
  <conditionalFormatting sqref="C21:C52">
    <cfRule type="expression" dxfId="4784" priority="4437">
      <formula>E21&gt;0</formula>
    </cfRule>
  </conditionalFormatting>
  <conditionalFormatting sqref="C19">
    <cfRule type="expression" dxfId="4783" priority="4436">
      <formula>E19&gt;0</formula>
    </cfRule>
  </conditionalFormatting>
  <conditionalFormatting sqref="C21:C52">
    <cfRule type="expression" dxfId="4782" priority="4435">
      <formula>E21&gt;0</formula>
    </cfRule>
  </conditionalFormatting>
  <conditionalFormatting sqref="C21:C52">
    <cfRule type="expression" dxfId="4781" priority="4434">
      <formula>E21&gt;0</formula>
    </cfRule>
  </conditionalFormatting>
  <conditionalFormatting sqref="C22">
    <cfRule type="expression" dxfId="4780" priority="4433">
      <formula>E22&gt;0</formula>
    </cfRule>
  </conditionalFormatting>
  <conditionalFormatting sqref="C22">
    <cfRule type="expression" dxfId="4779" priority="4432">
      <formula>E22&gt;0</formula>
    </cfRule>
  </conditionalFormatting>
  <conditionalFormatting sqref="C21:C52">
    <cfRule type="expression" dxfId="4778" priority="4431">
      <formula>E21&gt;0</formula>
    </cfRule>
  </conditionalFormatting>
  <conditionalFormatting sqref="C22">
    <cfRule type="expression" dxfId="4777" priority="4430">
      <formula>E22&gt;0</formula>
    </cfRule>
  </conditionalFormatting>
  <conditionalFormatting sqref="C21:C52">
    <cfRule type="expression" dxfId="4776" priority="4429">
      <formula>E21&gt;0</formula>
    </cfRule>
  </conditionalFormatting>
  <conditionalFormatting sqref="C22">
    <cfRule type="expression" dxfId="4775" priority="4428">
      <formula>E22&gt;0</formula>
    </cfRule>
  </conditionalFormatting>
  <conditionalFormatting sqref="C22">
    <cfRule type="expression" dxfId="4774" priority="4427">
      <formula>E22&gt;0</formula>
    </cfRule>
  </conditionalFormatting>
  <conditionalFormatting sqref="C23:C24">
    <cfRule type="expression" dxfId="4773" priority="4426">
      <formula>E23&gt;0</formula>
    </cfRule>
  </conditionalFormatting>
  <conditionalFormatting sqref="C22">
    <cfRule type="expression" dxfId="4772" priority="4425">
      <formula>E22&gt;0</formula>
    </cfRule>
  </conditionalFormatting>
  <conditionalFormatting sqref="C22">
    <cfRule type="expression" dxfId="4771" priority="4424">
      <formula>E22&gt;0</formula>
    </cfRule>
  </conditionalFormatting>
  <conditionalFormatting sqref="C22">
    <cfRule type="expression" dxfId="4770" priority="4423">
      <formula>E22&gt;0</formula>
    </cfRule>
  </conditionalFormatting>
  <conditionalFormatting sqref="C22">
    <cfRule type="expression" dxfId="4769" priority="4422">
      <formula>E22&gt;0</formula>
    </cfRule>
  </conditionalFormatting>
  <conditionalFormatting sqref="C23:C24">
    <cfRule type="expression" dxfId="4768" priority="4421">
      <formula>E23&gt;0</formula>
    </cfRule>
  </conditionalFormatting>
  <conditionalFormatting sqref="C23:C24">
    <cfRule type="expression" dxfId="4767" priority="4420">
      <formula>E23&gt;0</formula>
    </cfRule>
  </conditionalFormatting>
  <conditionalFormatting sqref="C22">
    <cfRule type="expression" dxfId="4766" priority="4419">
      <formula>E22&gt;0</formula>
    </cfRule>
  </conditionalFormatting>
  <conditionalFormatting sqref="C23:C24">
    <cfRule type="expression" dxfId="4765" priority="4418">
      <formula>E23&gt;0</formula>
    </cfRule>
  </conditionalFormatting>
  <conditionalFormatting sqref="C22">
    <cfRule type="expression" dxfId="4764" priority="4417">
      <formula>E22&gt;0</formula>
    </cfRule>
  </conditionalFormatting>
  <conditionalFormatting sqref="C23:C24">
    <cfRule type="expression" dxfId="4763" priority="4416">
      <formula>E23&gt;0</formula>
    </cfRule>
  </conditionalFormatting>
  <conditionalFormatting sqref="C26">
    <cfRule type="expression" dxfId="4762" priority="4415">
      <formula>E26&gt;0</formula>
    </cfRule>
  </conditionalFormatting>
  <conditionalFormatting sqref="C28">
    <cfRule type="expression" dxfId="4761" priority="4414">
      <formula>E28&gt;0</formula>
    </cfRule>
  </conditionalFormatting>
  <conditionalFormatting sqref="C30:C52">
    <cfRule type="expression" dxfId="4760" priority="4413">
      <formula>E30&gt;0</formula>
    </cfRule>
  </conditionalFormatting>
  <conditionalFormatting sqref="C32:C52">
    <cfRule type="expression" dxfId="4759" priority="4412">
      <formula>E32&gt;0</formula>
    </cfRule>
  </conditionalFormatting>
  <conditionalFormatting sqref="C26">
    <cfRule type="expression" dxfId="4758" priority="4411">
      <formula>E26&gt;0</formula>
    </cfRule>
  </conditionalFormatting>
  <conditionalFormatting sqref="C28">
    <cfRule type="expression" dxfId="4757" priority="4410">
      <formula>E28&gt;0</formula>
    </cfRule>
  </conditionalFormatting>
  <conditionalFormatting sqref="C30:C52">
    <cfRule type="expression" dxfId="4756" priority="4409">
      <formula>E30&gt;0</formula>
    </cfRule>
  </conditionalFormatting>
  <conditionalFormatting sqref="C32:C52">
    <cfRule type="expression" dxfId="4755" priority="4408">
      <formula>E32&gt;0</formula>
    </cfRule>
  </conditionalFormatting>
  <conditionalFormatting sqref="C15">
    <cfRule type="expression" dxfId="4754" priority="4407">
      <formula>E15&gt;0</formula>
    </cfRule>
  </conditionalFormatting>
  <conditionalFormatting sqref="C15">
    <cfRule type="expression" dxfId="4753" priority="4406">
      <formula>E15&gt;0</formula>
    </cfRule>
  </conditionalFormatting>
  <conditionalFormatting sqref="C15">
    <cfRule type="expression" dxfId="4752" priority="4405">
      <formula>E15&gt;0</formula>
    </cfRule>
  </conditionalFormatting>
  <conditionalFormatting sqref="C15">
    <cfRule type="expression" dxfId="4751" priority="4404">
      <formula>E15&gt;0</formula>
    </cfRule>
  </conditionalFormatting>
  <conditionalFormatting sqref="C15">
    <cfRule type="expression" dxfId="4750" priority="4403">
      <formula>E15&gt;0</formula>
    </cfRule>
  </conditionalFormatting>
  <conditionalFormatting sqref="C15">
    <cfRule type="expression" dxfId="4749" priority="4402">
      <formula>E15&gt;0</formula>
    </cfRule>
  </conditionalFormatting>
  <conditionalFormatting sqref="C15">
    <cfRule type="expression" dxfId="4748" priority="4401">
      <formula>E15&gt;0</formula>
    </cfRule>
  </conditionalFormatting>
  <conditionalFormatting sqref="C15">
    <cfRule type="expression" dxfId="4747" priority="4400">
      <formula>E15&gt;0</formula>
    </cfRule>
  </conditionalFormatting>
  <conditionalFormatting sqref="C15">
    <cfRule type="expression" dxfId="4746" priority="4399">
      <formula>E15&gt;0</formula>
    </cfRule>
  </conditionalFormatting>
  <conditionalFormatting sqref="C15">
    <cfRule type="expression" dxfId="4745" priority="4398">
      <formula>E15&gt;0</formula>
    </cfRule>
  </conditionalFormatting>
  <conditionalFormatting sqref="C15">
    <cfRule type="expression" dxfId="4744" priority="4397">
      <formula>E15&gt;0</formula>
    </cfRule>
  </conditionalFormatting>
  <conditionalFormatting sqref="C15">
    <cfRule type="expression" dxfId="4743" priority="4396">
      <formula>E15&gt;0</formula>
    </cfRule>
  </conditionalFormatting>
  <conditionalFormatting sqref="C15">
    <cfRule type="expression" dxfId="4742" priority="4395">
      <formula>E15&gt;0</formula>
    </cfRule>
  </conditionalFormatting>
  <conditionalFormatting sqref="C15">
    <cfRule type="expression" dxfId="4741" priority="4394">
      <formula>E15&gt;0</formula>
    </cfRule>
  </conditionalFormatting>
  <conditionalFormatting sqref="C15">
    <cfRule type="expression" dxfId="4740" priority="4393">
      <formula>E15&gt;0</formula>
    </cfRule>
  </conditionalFormatting>
  <conditionalFormatting sqref="C15">
    <cfRule type="expression" dxfId="4739" priority="4392">
      <formula>E15&gt;0</formula>
    </cfRule>
  </conditionalFormatting>
  <conditionalFormatting sqref="C15">
    <cfRule type="expression" dxfId="4738" priority="4391">
      <formula>E15&gt;0</formula>
    </cfRule>
  </conditionalFormatting>
  <conditionalFormatting sqref="C15">
    <cfRule type="expression" dxfId="4737" priority="4390">
      <formula>E15&gt;0</formula>
    </cfRule>
  </conditionalFormatting>
  <conditionalFormatting sqref="C15">
    <cfRule type="expression" dxfId="4736" priority="4389">
      <formula>E15&gt;0</formula>
    </cfRule>
  </conditionalFormatting>
  <conditionalFormatting sqref="C15">
    <cfRule type="expression" dxfId="4735" priority="4388">
      <formula>E15&gt;0</formula>
    </cfRule>
  </conditionalFormatting>
  <conditionalFormatting sqref="C33:C52">
    <cfRule type="expression" dxfId="4734" priority="4387">
      <formula>E33&gt;0</formula>
    </cfRule>
  </conditionalFormatting>
  <conditionalFormatting sqref="C33:C52">
    <cfRule type="expression" dxfId="4733" priority="4386">
      <formula>E33&gt;0</formula>
    </cfRule>
  </conditionalFormatting>
  <conditionalFormatting sqref="C33:C52">
    <cfRule type="expression" dxfId="4732" priority="4385">
      <formula>E33&gt;0</formula>
    </cfRule>
  </conditionalFormatting>
  <conditionalFormatting sqref="C33:C52">
    <cfRule type="expression" dxfId="4731" priority="4384">
      <formula>E33&gt;0</formula>
    </cfRule>
  </conditionalFormatting>
  <conditionalFormatting sqref="C33:C52">
    <cfRule type="expression" dxfId="4730" priority="4383">
      <formula>E33&gt;0</formula>
    </cfRule>
  </conditionalFormatting>
  <conditionalFormatting sqref="C33:C52">
    <cfRule type="expression" dxfId="4729" priority="4382">
      <formula>E33&gt;0</formula>
    </cfRule>
  </conditionalFormatting>
  <conditionalFormatting sqref="C33:C52">
    <cfRule type="expression" dxfId="4728" priority="4381">
      <formula>E33&gt;0</formula>
    </cfRule>
  </conditionalFormatting>
  <conditionalFormatting sqref="C33:C52">
    <cfRule type="expression" dxfId="4727" priority="4380">
      <formula>E33&gt;0</formula>
    </cfRule>
  </conditionalFormatting>
  <conditionalFormatting sqref="C33:C52">
    <cfRule type="expression" dxfId="4726" priority="4379">
      <formula>E33&gt;0</formula>
    </cfRule>
  </conditionalFormatting>
  <conditionalFormatting sqref="C33:C52">
    <cfRule type="expression" dxfId="4725" priority="4378">
      <formula>E33&gt;0</formula>
    </cfRule>
  </conditionalFormatting>
  <conditionalFormatting sqref="C33:C52">
    <cfRule type="expression" dxfId="4724" priority="4377">
      <formula>E33&gt;0</formula>
    </cfRule>
  </conditionalFormatting>
  <conditionalFormatting sqref="C33:C52">
    <cfRule type="expression" dxfId="4723" priority="4376">
      <formula>E33&gt;0</formula>
    </cfRule>
  </conditionalFormatting>
  <conditionalFormatting sqref="C33:C52">
    <cfRule type="expression" dxfId="4722" priority="4375">
      <formula>E33&gt;0</formula>
    </cfRule>
  </conditionalFormatting>
  <conditionalFormatting sqref="C33:C52">
    <cfRule type="expression" dxfId="4721" priority="4374">
      <formula>E33&gt;0</formula>
    </cfRule>
  </conditionalFormatting>
  <conditionalFormatting sqref="C33:C52">
    <cfRule type="expression" dxfId="4720" priority="4373">
      <formula>E33&gt;0</formula>
    </cfRule>
  </conditionalFormatting>
  <conditionalFormatting sqref="C33:C52">
    <cfRule type="expression" dxfId="4719" priority="4372">
      <formula>E33&gt;0</formula>
    </cfRule>
  </conditionalFormatting>
  <conditionalFormatting sqref="C33:C52">
    <cfRule type="expression" dxfId="4718" priority="4371">
      <formula>E33&gt;0</formula>
    </cfRule>
  </conditionalFormatting>
  <conditionalFormatting sqref="C33:C52">
    <cfRule type="expression" dxfId="4717" priority="4370">
      <formula>E33&gt;0</formula>
    </cfRule>
  </conditionalFormatting>
  <conditionalFormatting sqref="C33:C52">
    <cfRule type="expression" dxfId="4716" priority="4369">
      <formula>E33&gt;0</formula>
    </cfRule>
  </conditionalFormatting>
  <conditionalFormatting sqref="C33:C52">
    <cfRule type="expression" dxfId="4715" priority="4368">
      <formula>E33&gt;0</formula>
    </cfRule>
  </conditionalFormatting>
  <conditionalFormatting sqref="C33:C52">
    <cfRule type="expression" dxfId="4714" priority="4367">
      <formula>E33&gt;0</formula>
    </cfRule>
  </conditionalFormatting>
  <conditionalFormatting sqref="C33:C52">
    <cfRule type="expression" dxfId="4713" priority="4366">
      <formula>E33&gt;0</formula>
    </cfRule>
  </conditionalFormatting>
  <conditionalFormatting sqref="C33:C52">
    <cfRule type="expression" dxfId="4712" priority="4365">
      <formula>E33&gt;0</formula>
    </cfRule>
  </conditionalFormatting>
  <conditionalFormatting sqref="C33:C52">
    <cfRule type="expression" dxfId="4711" priority="4364">
      <formula>E33&gt;0</formula>
    </cfRule>
  </conditionalFormatting>
  <conditionalFormatting sqref="C15">
    <cfRule type="expression" dxfId="4710" priority="4363">
      <formula>E15&gt;0</formula>
    </cfRule>
  </conditionalFormatting>
  <conditionalFormatting sqref="C15">
    <cfRule type="expression" dxfId="4709" priority="4362">
      <formula>E15&gt;0</formula>
    </cfRule>
  </conditionalFormatting>
  <conditionalFormatting sqref="C16">
    <cfRule type="expression" dxfId="4708" priority="4361">
      <formula>E16&gt;0</formula>
    </cfRule>
  </conditionalFormatting>
  <conditionalFormatting sqref="C15">
    <cfRule type="expression" dxfId="4707" priority="4360">
      <formula>E15&gt;0</formula>
    </cfRule>
  </conditionalFormatting>
  <conditionalFormatting sqref="C15">
    <cfRule type="expression" dxfId="4706" priority="4359">
      <formula>E15&gt;0</formula>
    </cfRule>
  </conditionalFormatting>
  <conditionalFormatting sqref="C15">
    <cfRule type="expression" dxfId="4705" priority="4358">
      <formula>E15&gt;0</formula>
    </cfRule>
  </conditionalFormatting>
  <conditionalFormatting sqref="C15">
    <cfRule type="expression" dxfId="4704" priority="4357">
      <formula>E15&gt;0</formula>
    </cfRule>
  </conditionalFormatting>
  <conditionalFormatting sqref="C15">
    <cfRule type="expression" dxfId="4703" priority="4356">
      <formula>E15&gt;0</formula>
    </cfRule>
  </conditionalFormatting>
  <conditionalFormatting sqref="C15">
    <cfRule type="expression" dxfId="4702" priority="4355">
      <formula>E15&gt;0</formula>
    </cfRule>
  </conditionalFormatting>
  <conditionalFormatting sqref="C15">
    <cfRule type="expression" dxfId="4701" priority="4354">
      <formula>E15&gt;0</formula>
    </cfRule>
  </conditionalFormatting>
  <conditionalFormatting sqref="C16">
    <cfRule type="expression" dxfId="4700" priority="4353">
      <formula>E16&gt;0</formula>
    </cfRule>
  </conditionalFormatting>
  <conditionalFormatting sqref="C16">
    <cfRule type="expression" dxfId="4699" priority="4352">
      <formula>E16&gt;0</formula>
    </cfRule>
  </conditionalFormatting>
  <conditionalFormatting sqref="C15">
    <cfRule type="expression" dxfId="4698" priority="4351">
      <formula>E15&gt;0</formula>
    </cfRule>
  </conditionalFormatting>
  <conditionalFormatting sqref="C15">
    <cfRule type="expression" dxfId="4697" priority="4350">
      <formula>E15&gt;0</formula>
    </cfRule>
  </conditionalFormatting>
  <conditionalFormatting sqref="C15">
    <cfRule type="expression" dxfId="4696" priority="4349">
      <formula>E15&gt;0</formula>
    </cfRule>
  </conditionalFormatting>
  <conditionalFormatting sqref="C16">
    <cfRule type="expression" dxfId="4695" priority="4348">
      <formula>E16&gt;0</formula>
    </cfRule>
  </conditionalFormatting>
  <conditionalFormatting sqref="C15">
    <cfRule type="expression" dxfId="4694" priority="4347">
      <formula>E15&gt;0</formula>
    </cfRule>
  </conditionalFormatting>
  <conditionalFormatting sqref="C15">
    <cfRule type="expression" dxfId="4693" priority="4346">
      <formula>E15&gt;0</formula>
    </cfRule>
  </conditionalFormatting>
  <conditionalFormatting sqref="C16">
    <cfRule type="expression" dxfId="4692" priority="4345">
      <formula>E16&gt;0</formula>
    </cfRule>
  </conditionalFormatting>
  <conditionalFormatting sqref="C16">
    <cfRule type="expression" dxfId="4691" priority="4344">
      <formula>E16&gt;0</formula>
    </cfRule>
  </conditionalFormatting>
  <conditionalFormatting sqref="C16">
    <cfRule type="expression" dxfId="4690" priority="4343">
      <formula>E16&gt;0</formula>
    </cfRule>
  </conditionalFormatting>
  <conditionalFormatting sqref="C16">
    <cfRule type="expression" dxfId="4689" priority="4342">
      <formula>E16&gt;0</formula>
    </cfRule>
  </conditionalFormatting>
  <conditionalFormatting sqref="C16">
    <cfRule type="expression" dxfId="4688" priority="4341">
      <formula>E16&gt;0</formula>
    </cfRule>
  </conditionalFormatting>
  <conditionalFormatting sqref="C16">
    <cfRule type="expression" dxfId="4687" priority="4340">
      <formula>E16&gt;0</formula>
    </cfRule>
  </conditionalFormatting>
  <conditionalFormatting sqref="C16">
    <cfRule type="expression" dxfId="4686" priority="4339">
      <formula>E16&gt;0</formula>
    </cfRule>
  </conditionalFormatting>
  <conditionalFormatting sqref="C16">
    <cfRule type="expression" dxfId="4685" priority="4338">
      <formula>E16&gt;0</formula>
    </cfRule>
  </conditionalFormatting>
  <conditionalFormatting sqref="C16">
    <cfRule type="expression" dxfId="4684" priority="4337">
      <formula>E16&gt;0</formula>
    </cfRule>
  </conditionalFormatting>
  <conditionalFormatting sqref="C15">
    <cfRule type="expression" dxfId="4683" priority="4336">
      <formula>E15&gt;0</formula>
    </cfRule>
  </conditionalFormatting>
  <conditionalFormatting sqref="C15">
    <cfRule type="expression" dxfId="4682" priority="4335">
      <formula>E15&gt;0</formula>
    </cfRule>
  </conditionalFormatting>
  <conditionalFormatting sqref="C15">
    <cfRule type="expression" dxfId="4681" priority="4334">
      <formula>E15&gt;0</formula>
    </cfRule>
  </conditionalFormatting>
  <conditionalFormatting sqref="C15">
    <cfRule type="expression" dxfId="4680" priority="4333">
      <formula>E15&gt;0</formula>
    </cfRule>
  </conditionalFormatting>
  <conditionalFormatting sqref="C16">
    <cfRule type="expression" dxfId="4679" priority="4332">
      <formula>E16&gt;0</formula>
    </cfRule>
  </conditionalFormatting>
  <conditionalFormatting sqref="C16">
    <cfRule type="expression" dxfId="4678" priority="4331">
      <formula>E16&gt;0</formula>
    </cfRule>
  </conditionalFormatting>
  <conditionalFormatting sqref="C16">
    <cfRule type="expression" dxfId="4677" priority="4330">
      <formula>E16&gt;0</formula>
    </cfRule>
  </conditionalFormatting>
  <conditionalFormatting sqref="C16">
    <cfRule type="expression" dxfId="4676" priority="4329">
      <formula>E16&gt;0</formula>
    </cfRule>
  </conditionalFormatting>
  <conditionalFormatting sqref="C16">
    <cfRule type="expression" dxfId="4675" priority="4328">
      <formula>E16&gt;0</formula>
    </cfRule>
  </conditionalFormatting>
  <conditionalFormatting sqref="C16">
    <cfRule type="expression" dxfId="4674" priority="4327">
      <formula>E16&gt;0</formula>
    </cfRule>
  </conditionalFormatting>
  <conditionalFormatting sqref="C16">
    <cfRule type="expression" dxfId="4673" priority="4326">
      <formula>E16&gt;0</formula>
    </cfRule>
  </conditionalFormatting>
  <conditionalFormatting sqref="C16">
    <cfRule type="expression" dxfId="4672" priority="4325">
      <formula>E16&gt;0</formula>
    </cfRule>
  </conditionalFormatting>
  <conditionalFormatting sqref="C16">
    <cfRule type="expression" dxfId="4671" priority="4324">
      <formula>E16&gt;0</formula>
    </cfRule>
  </conditionalFormatting>
  <conditionalFormatting sqref="C16">
    <cfRule type="expression" dxfId="4670" priority="4323">
      <formula>E16&gt;0</formula>
    </cfRule>
  </conditionalFormatting>
  <conditionalFormatting sqref="C16">
    <cfRule type="expression" dxfId="4669" priority="4322">
      <formula>E16&gt;0</formula>
    </cfRule>
  </conditionalFormatting>
  <conditionalFormatting sqref="C16">
    <cfRule type="expression" dxfId="4668" priority="4321">
      <formula>E16&gt;0</formula>
    </cfRule>
  </conditionalFormatting>
  <conditionalFormatting sqref="C16">
    <cfRule type="expression" dxfId="4667" priority="4320">
      <formula>E16&gt;0</formula>
    </cfRule>
  </conditionalFormatting>
  <conditionalFormatting sqref="C16">
    <cfRule type="expression" dxfId="4666" priority="4319">
      <formula>E16&gt;0</formula>
    </cfRule>
  </conditionalFormatting>
  <conditionalFormatting sqref="C16">
    <cfRule type="expression" dxfId="4665" priority="4318">
      <formula>E16&gt;0</formula>
    </cfRule>
  </conditionalFormatting>
  <conditionalFormatting sqref="C16">
    <cfRule type="expression" dxfId="4664" priority="4317">
      <formula>E16&gt;0</formula>
    </cfRule>
  </conditionalFormatting>
  <conditionalFormatting sqref="C16">
    <cfRule type="expression" dxfId="4663" priority="4316">
      <formula>E16&gt;0</formula>
    </cfRule>
  </conditionalFormatting>
  <conditionalFormatting sqref="C16">
    <cfRule type="expression" dxfId="4662" priority="4315">
      <formula>E16&gt;0</formula>
    </cfRule>
  </conditionalFormatting>
  <conditionalFormatting sqref="C16">
    <cfRule type="expression" dxfId="4661" priority="4314">
      <formula>E16&gt;0</formula>
    </cfRule>
  </conditionalFormatting>
  <conditionalFormatting sqref="C16">
    <cfRule type="expression" dxfId="4660" priority="4313">
      <formula>E16&gt;0</formula>
    </cfRule>
  </conditionalFormatting>
  <conditionalFormatting sqref="C14">
    <cfRule type="expression" dxfId="4659" priority="4312">
      <formula>E14&gt;0</formula>
    </cfRule>
  </conditionalFormatting>
  <conditionalFormatting sqref="C14">
    <cfRule type="expression" dxfId="4658" priority="4311">
      <formula>E14&gt;0</formula>
    </cfRule>
  </conditionalFormatting>
  <conditionalFormatting sqref="C14">
    <cfRule type="expression" dxfId="4657" priority="4310">
      <formula>E14&gt;0</formula>
    </cfRule>
  </conditionalFormatting>
  <conditionalFormatting sqref="C14">
    <cfRule type="expression" dxfId="4656" priority="4309">
      <formula>E14&gt;0</formula>
    </cfRule>
  </conditionalFormatting>
  <conditionalFormatting sqref="C14">
    <cfRule type="expression" dxfId="4655" priority="4308">
      <formula>E14&gt;0</formula>
    </cfRule>
  </conditionalFormatting>
  <conditionalFormatting sqref="C14">
    <cfRule type="expression" dxfId="4654" priority="4307">
      <formula>E14&gt;0</formula>
    </cfRule>
  </conditionalFormatting>
  <conditionalFormatting sqref="C14">
    <cfRule type="expression" dxfId="4653" priority="4306">
      <formula>E14&gt;0</formula>
    </cfRule>
  </conditionalFormatting>
  <conditionalFormatting sqref="C14">
    <cfRule type="expression" dxfId="4652" priority="4305">
      <formula>E14&gt;0</formula>
    </cfRule>
  </conditionalFormatting>
  <conditionalFormatting sqref="C14">
    <cfRule type="expression" dxfId="4651" priority="4304">
      <formula>E14&gt;0</formula>
    </cfRule>
  </conditionalFormatting>
  <conditionalFormatting sqref="C14">
    <cfRule type="expression" dxfId="4650" priority="4303">
      <formula>E14&gt;0</formula>
    </cfRule>
  </conditionalFormatting>
  <conditionalFormatting sqref="C14">
    <cfRule type="expression" dxfId="4649" priority="4302">
      <formula>E14&gt;0</formula>
    </cfRule>
  </conditionalFormatting>
  <conditionalFormatting sqref="C14">
    <cfRule type="expression" dxfId="4648" priority="4301">
      <formula>E14&gt;0</formula>
    </cfRule>
  </conditionalFormatting>
  <conditionalFormatting sqref="C14">
    <cfRule type="expression" dxfId="4647" priority="4300">
      <formula>E14&gt;0</formula>
    </cfRule>
  </conditionalFormatting>
  <conditionalFormatting sqref="C14">
    <cfRule type="expression" dxfId="4646" priority="4299">
      <formula>E14&gt;0</formula>
    </cfRule>
  </conditionalFormatting>
  <conditionalFormatting sqref="C14">
    <cfRule type="expression" dxfId="4645" priority="4298">
      <formula>E14&gt;0</formula>
    </cfRule>
  </conditionalFormatting>
  <conditionalFormatting sqref="C14">
    <cfRule type="expression" dxfId="4644" priority="4297">
      <formula>E14&gt;0</formula>
    </cfRule>
  </conditionalFormatting>
  <conditionalFormatting sqref="C14">
    <cfRule type="expression" dxfId="4643" priority="4296">
      <formula>E14&gt;0</formula>
    </cfRule>
  </conditionalFormatting>
  <conditionalFormatting sqref="C14">
    <cfRule type="expression" dxfId="4642" priority="4295">
      <formula>E14&gt;0</formula>
    </cfRule>
  </conditionalFormatting>
  <conditionalFormatting sqref="C14">
    <cfRule type="expression" dxfId="4641" priority="4294">
      <formula>E14&gt;0</formula>
    </cfRule>
  </conditionalFormatting>
  <conditionalFormatting sqref="C14">
    <cfRule type="expression" dxfId="4640" priority="4293">
      <formula>E14&gt;0</formula>
    </cfRule>
  </conditionalFormatting>
  <conditionalFormatting sqref="C14">
    <cfRule type="expression" dxfId="4639" priority="4292">
      <formula>E14&gt;0</formula>
    </cfRule>
  </conditionalFormatting>
  <conditionalFormatting sqref="C14">
    <cfRule type="expression" dxfId="4638" priority="4291">
      <formula>E14&gt;0</formula>
    </cfRule>
  </conditionalFormatting>
  <conditionalFormatting sqref="C14">
    <cfRule type="expression" dxfId="4637" priority="4290">
      <formula>E14&gt;0</formula>
    </cfRule>
  </conditionalFormatting>
  <conditionalFormatting sqref="C14">
    <cfRule type="expression" dxfId="4636" priority="4289">
      <formula>E14&gt;0</formula>
    </cfRule>
  </conditionalFormatting>
  <conditionalFormatting sqref="C14">
    <cfRule type="expression" dxfId="4635" priority="4288">
      <formula>E14&gt;0</formula>
    </cfRule>
  </conditionalFormatting>
  <conditionalFormatting sqref="C14">
    <cfRule type="expression" dxfId="4634" priority="4287">
      <formula>E14&gt;0</formula>
    </cfRule>
  </conditionalFormatting>
  <conditionalFormatting sqref="C34">
    <cfRule type="expression" dxfId="4633" priority="4286">
      <formula>E34&gt;0</formula>
    </cfRule>
  </conditionalFormatting>
  <conditionalFormatting sqref="C35">
    <cfRule type="expression" dxfId="4632" priority="4285">
      <formula>E35&gt;0</formula>
    </cfRule>
  </conditionalFormatting>
  <conditionalFormatting sqref="C35">
    <cfRule type="expression" dxfId="4631" priority="4284">
      <formula>E35&gt;0</formula>
    </cfRule>
  </conditionalFormatting>
  <conditionalFormatting sqref="C35">
    <cfRule type="expression" dxfId="4630" priority="4283">
      <formula>E35&gt;0</formula>
    </cfRule>
  </conditionalFormatting>
  <conditionalFormatting sqref="C34">
    <cfRule type="expression" dxfId="4629" priority="4282">
      <formula>E34&gt;0</formula>
    </cfRule>
  </conditionalFormatting>
  <conditionalFormatting sqref="C40">
    <cfRule type="expression" dxfId="4628" priority="4281">
      <formula>E40&gt;0</formula>
    </cfRule>
  </conditionalFormatting>
  <conditionalFormatting sqref="C41">
    <cfRule type="expression" dxfId="4627" priority="4280">
      <formula>E41&gt;0</formula>
    </cfRule>
  </conditionalFormatting>
  <conditionalFormatting sqref="C40">
    <cfRule type="expression" dxfId="4626" priority="4279">
      <formula>E40&gt;0</formula>
    </cfRule>
  </conditionalFormatting>
  <conditionalFormatting sqref="C41">
    <cfRule type="expression" dxfId="4625" priority="4278">
      <formula>E41&gt;0</formula>
    </cfRule>
  </conditionalFormatting>
  <conditionalFormatting sqref="C41">
    <cfRule type="expression" dxfId="4624" priority="4277">
      <formula>E41&gt;0</formula>
    </cfRule>
  </conditionalFormatting>
  <conditionalFormatting sqref="C41">
    <cfRule type="expression" dxfId="4623" priority="4276">
      <formula>E41&gt;0</formula>
    </cfRule>
  </conditionalFormatting>
  <conditionalFormatting sqref="C41">
    <cfRule type="expression" dxfId="4622" priority="4275">
      <formula>E41&gt;0</formula>
    </cfRule>
  </conditionalFormatting>
  <conditionalFormatting sqref="C41">
    <cfRule type="expression" dxfId="4621" priority="4274">
      <formula>E41&gt;0</formula>
    </cfRule>
  </conditionalFormatting>
  <conditionalFormatting sqref="C41">
    <cfRule type="expression" dxfId="4620" priority="4273">
      <formula>E41&gt;0</formula>
    </cfRule>
  </conditionalFormatting>
  <conditionalFormatting sqref="C41">
    <cfRule type="expression" dxfId="4619" priority="4272">
      <formula>E41&gt;0</formula>
    </cfRule>
  </conditionalFormatting>
  <conditionalFormatting sqref="C41">
    <cfRule type="expression" dxfId="4618" priority="4271">
      <formula>E41&gt;0</formula>
    </cfRule>
  </conditionalFormatting>
  <conditionalFormatting sqref="C41">
    <cfRule type="expression" dxfId="4617" priority="4270">
      <formula>E41&gt;0</formula>
    </cfRule>
  </conditionalFormatting>
  <conditionalFormatting sqref="C41">
    <cfRule type="expression" dxfId="4616" priority="4269">
      <formula>E41&gt;0</formula>
    </cfRule>
  </conditionalFormatting>
  <conditionalFormatting sqref="C41">
    <cfRule type="expression" dxfId="4615" priority="4268">
      <formula>E41&gt;0</formula>
    </cfRule>
  </conditionalFormatting>
  <conditionalFormatting sqref="C41">
    <cfRule type="expression" dxfId="4614" priority="4267">
      <formula>E41&gt;0</formula>
    </cfRule>
  </conditionalFormatting>
  <conditionalFormatting sqref="C41">
    <cfRule type="expression" dxfId="4613" priority="4266">
      <formula>E41&gt;0</formula>
    </cfRule>
  </conditionalFormatting>
  <conditionalFormatting sqref="C41">
    <cfRule type="expression" dxfId="4612" priority="4265">
      <formula>E41&gt;0</formula>
    </cfRule>
  </conditionalFormatting>
  <conditionalFormatting sqref="C41">
    <cfRule type="expression" dxfId="4611" priority="4264">
      <formula>E41&gt;0</formula>
    </cfRule>
  </conditionalFormatting>
  <conditionalFormatting sqref="C41">
    <cfRule type="expression" dxfId="4610" priority="4263">
      <formula>E41&gt;0</formula>
    </cfRule>
  </conditionalFormatting>
  <conditionalFormatting sqref="C41">
    <cfRule type="expression" dxfId="4609" priority="4262">
      <formula>E41&gt;0</formula>
    </cfRule>
  </conditionalFormatting>
  <conditionalFormatting sqref="C41">
    <cfRule type="expression" dxfId="4608" priority="4261">
      <formula>E41&gt;0</formula>
    </cfRule>
  </conditionalFormatting>
  <conditionalFormatting sqref="C40">
    <cfRule type="expression" dxfId="4607" priority="4260">
      <formula>E40&gt;0</formula>
    </cfRule>
  </conditionalFormatting>
  <conditionalFormatting sqref="C41">
    <cfRule type="expression" dxfId="4606" priority="4259">
      <formula>E41&gt;0</formula>
    </cfRule>
  </conditionalFormatting>
  <conditionalFormatting sqref="C40">
    <cfRule type="expression" dxfId="4605" priority="4258">
      <formula>E40&gt;0</formula>
    </cfRule>
  </conditionalFormatting>
  <conditionalFormatting sqref="C41">
    <cfRule type="expression" dxfId="4604" priority="4257">
      <formula>E41&gt;0</formula>
    </cfRule>
  </conditionalFormatting>
  <conditionalFormatting sqref="C40">
    <cfRule type="expression" dxfId="4603" priority="4256">
      <formula>E40&gt;0</formula>
    </cfRule>
  </conditionalFormatting>
  <conditionalFormatting sqref="C41">
    <cfRule type="expression" dxfId="4602" priority="4255">
      <formula>E41&gt;0</formula>
    </cfRule>
  </conditionalFormatting>
  <conditionalFormatting sqref="C41">
    <cfRule type="expression" dxfId="4601" priority="4254">
      <formula>E41&gt;0</formula>
    </cfRule>
  </conditionalFormatting>
  <conditionalFormatting sqref="C41">
    <cfRule type="expression" dxfId="4600" priority="4253">
      <formula>E41&gt;0</formula>
    </cfRule>
  </conditionalFormatting>
  <conditionalFormatting sqref="C40">
    <cfRule type="expression" dxfId="4599" priority="4252">
      <formula>E40&gt;0</formula>
    </cfRule>
  </conditionalFormatting>
  <conditionalFormatting sqref="C33:C52">
    <cfRule type="expression" dxfId="4598" priority="4251">
      <formula>E33&gt;0</formula>
    </cfRule>
  </conditionalFormatting>
  <conditionalFormatting sqref="C34">
    <cfRule type="expression" dxfId="4597" priority="4250">
      <formula>E34&gt;0</formula>
    </cfRule>
  </conditionalFormatting>
  <conditionalFormatting sqref="C33:C52">
    <cfRule type="expression" dxfId="4596" priority="4249">
      <formula>E33&gt;0</formula>
    </cfRule>
  </conditionalFormatting>
  <conditionalFormatting sqref="C33:C52">
    <cfRule type="expression" dxfId="4595" priority="4248">
      <formula>E33&gt;0</formula>
    </cfRule>
  </conditionalFormatting>
  <conditionalFormatting sqref="C33:C52">
    <cfRule type="expression" dxfId="4594" priority="4247">
      <formula>E33&gt;0</formula>
    </cfRule>
  </conditionalFormatting>
  <conditionalFormatting sqref="C33:C52">
    <cfRule type="expression" dxfId="4593" priority="4246">
      <formula>E33&gt;0</formula>
    </cfRule>
  </conditionalFormatting>
  <conditionalFormatting sqref="C33:C52">
    <cfRule type="expression" dxfId="4592" priority="4245">
      <formula>E33&gt;0</formula>
    </cfRule>
  </conditionalFormatting>
  <conditionalFormatting sqref="C34">
    <cfRule type="expression" dxfId="4591" priority="4244">
      <formula>E34&gt;0</formula>
    </cfRule>
  </conditionalFormatting>
  <conditionalFormatting sqref="C33:C52">
    <cfRule type="expression" dxfId="4590" priority="4243">
      <formula>E33&gt;0</formula>
    </cfRule>
  </conditionalFormatting>
  <conditionalFormatting sqref="C34">
    <cfRule type="expression" dxfId="4589" priority="4242">
      <formula>E34&gt;0</formula>
    </cfRule>
  </conditionalFormatting>
  <conditionalFormatting sqref="C34">
    <cfRule type="expression" dxfId="4588" priority="4241">
      <formula>E34&gt;0</formula>
    </cfRule>
  </conditionalFormatting>
  <conditionalFormatting sqref="C34">
    <cfRule type="expression" dxfId="4587" priority="4240">
      <formula>E34&gt;0</formula>
    </cfRule>
  </conditionalFormatting>
  <conditionalFormatting sqref="C33:C52">
    <cfRule type="expression" dxfId="4586" priority="4239">
      <formula>E33&gt;0</formula>
    </cfRule>
  </conditionalFormatting>
  <conditionalFormatting sqref="C34">
    <cfRule type="expression" dxfId="4585" priority="4238">
      <formula>E34&gt;0</formula>
    </cfRule>
  </conditionalFormatting>
  <conditionalFormatting sqref="C33:C52">
    <cfRule type="expression" dxfId="4584" priority="4237">
      <formula>E33&gt;0</formula>
    </cfRule>
  </conditionalFormatting>
  <conditionalFormatting sqref="C33:C52">
    <cfRule type="expression" dxfId="4583" priority="4236">
      <formula>E33&gt;0</formula>
    </cfRule>
  </conditionalFormatting>
  <conditionalFormatting sqref="C33:C52">
    <cfRule type="expression" dxfId="4582" priority="4235">
      <formula>E33&gt;0</formula>
    </cfRule>
  </conditionalFormatting>
  <conditionalFormatting sqref="C33:C52">
    <cfRule type="expression" dxfId="4581" priority="4234">
      <formula>E33&gt;0</formula>
    </cfRule>
  </conditionalFormatting>
  <conditionalFormatting sqref="C33:C52">
    <cfRule type="expression" dxfId="4580" priority="4233">
      <formula>E33&gt;0</formula>
    </cfRule>
  </conditionalFormatting>
  <conditionalFormatting sqref="C33:C52">
    <cfRule type="expression" dxfId="4579" priority="4232">
      <formula>E33&gt;0</formula>
    </cfRule>
  </conditionalFormatting>
  <conditionalFormatting sqref="C35">
    <cfRule type="expression" dxfId="4578" priority="4231">
      <formula>E35&gt;0</formula>
    </cfRule>
  </conditionalFormatting>
  <conditionalFormatting sqref="C35">
    <cfRule type="expression" dxfId="4577" priority="4230">
      <formula>E35&gt;0</formula>
    </cfRule>
  </conditionalFormatting>
  <conditionalFormatting sqref="C35">
    <cfRule type="expression" dxfId="4576" priority="4229">
      <formula>E35&gt;0</formula>
    </cfRule>
  </conditionalFormatting>
  <conditionalFormatting sqref="C35">
    <cfRule type="expression" dxfId="4575" priority="4228">
      <formula>E35&gt;0</formula>
    </cfRule>
  </conditionalFormatting>
  <conditionalFormatting sqref="C35">
    <cfRule type="expression" dxfId="4574" priority="4227">
      <formula>E35&gt;0</formula>
    </cfRule>
  </conditionalFormatting>
  <conditionalFormatting sqref="C35">
    <cfRule type="expression" dxfId="4573" priority="4226">
      <formula>E35&gt;0</formula>
    </cfRule>
  </conditionalFormatting>
  <conditionalFormatting sqref="C35">
    <cfRule type="expression" dxfId="4572" priority="4225">
      <formula>E35&gt;0</formula>
    </cfRule>
  </conditionalFormatting>
  <conditionalFormatting sqref="C35">
    <cfRule type="expression" dxfId="4571" priority="4224">
      <formula>E35&gt;0</formula>
    </cfRule>
  </conditionalFormatting>
  <conditionalFormatting sqref="C35">
    <cfRule type="expression" dxfId="4570" priority="4223">
      <formula>E35&gt;0</formula>
    </cfRule>
  </conditionalFormatting>
  <conditionalFormatting sqref="C35">
    <cfRule type="expression" dxfId="4569" priority="4222">
      <formula>E35&gt;0</formula>
    </cfRule>
  </conditionalFormatting>
  <conditionalFormatting sqref="C35">
    <cfRule type="expression" dxfId="4568" priority="4221">
      <formula>E35&gt;0</formula>
    </cfRule>
  </conditionalFormatting>
  <conditionalFormatting sqref="C35">
    <cfRule type="expression" dxfId="4567" priority="4220">
      <formula>E35&gt;0</formula>
    </cfRule>
  </conditionalFormatting>
  <conditionalFormatting sqref="C35">
    <cfRule type="expression" dxfId="4566" priority="4219">
      <formula>E35&gt;0</formula>
    </cfRule>
  </conditionalFormatting>
  <conditionalFormatting sqref="C35">
    <cfRule type="expression" dxfId="4565" priority="4218">
      <formula>E35&gt;0</formula>
    </cfRule>
  </conditionalFormatting>
  <conditionalFormatting sqref="C35">
    <cfRule type="expression" dxfId="4564" priority="4217">
      <formula>E35&gt;0</formula>
    </cfRule>
  </conditionalFormatting>
  <conditionalFormatting sqref="C35">
    <cfRule type="expression" dxfId="4563" priority="4216">
      <formula>E35&gt;0</formula>
    </cfRule>
  </conditionalFormatting>
  <conditionalFormatting sqref="C35">
    <cfRule type="expression" dxfId="4562" priority="4215">
      <formula>E35&gt;0</formula>
    </cfRule>
  </conditionalFormatting>
  <conditionalFormatting sqref="C35">
    <cfRule type="expression" dxfId="4561" priority="4214">
      <formula>E35&gt;0</formula>
    </cfRule>
  </conditionalFormatting>
  <conditionalFormatting sqref="C35">
    <cfRule type="expression" dxfId="4560" priority="4213">
      <formula>E35&gt;0</formula>
    </cfRule>
  </conditionalFormatting>
  <conditionalFormatting sqref="C35">
    <cfRule type="expression" dxfId="4559" priority="4212">
      <formula>E35&gt;0</formula>
    </cfRule>
  </conditionalFormatting>
  <conditionalFormatting sqref="C36:C52">
    <cfRule type="expression" dxfId="4558" priority="4211">
      <formula>E36&gt;0</formula>
    </cfRule>
  </conditionalFormatting>
  <conditionalFormatting sqref="C37">
    <cfRule type="expression" dxfId="4557" priority="4210">
      <formula>E37&gt;0</formula>
    </cfRule>
  </conditionalFormatting>
  <conditionalFormatting sqref="C36:C52">
    <cfRule type="expression" dxfId="4556" priority="4209">
      <formula>E36&gt;0</formula>
    </cfRule>
  </conditionalFormatting>
  <conditionalFormatting sqref="C36:C52">
    <cfRule type="expression" dxfId="4555" priority="4208">
      <formula>E36&gt;0</formula>
    </cfRule>
  </conditionalFormatting>
  <conditionalFormatting sqref="C36:C52">
    <cfRule type="expression" dxfId="4554" priority="4207">
      <formula>E36&gt;0</formula>
    </cfRule>
  </conditionalFormatting>
  <conditionalFormatting sqref="C36:C52">
    <cfRule type="expression" dxfId="4553" priority="4206">
      <formula>E36&gt;0</formula>
    </cfRule>
  </conditionalFormatting>
  <conditionalFormatting sqref="C36:C52">
    <cfRule type="expression" dxfId="4552" priority="4205">
      <formula>E36&gt;0</formula>
    </cfRule>
  </conditionalFormatting>
  <conditionalFormatting sqref="C37">
    <cfRule type="expression" dxfId="4551" priority="4204">
      <formula>E37&gt;0</formula>
    </cfRule>
  </conditionalFormatting>
  <conditionalFormatting sqref="C36:C52">
    <cfRule type="expression" dxfId="4550" priority="4203">
      <formula>E36&gt;0</formula>
    </cfRule>
  </conditionalFormatting>
  <conditionalFormatting sqref="C36:C52">
    <cfRule type="expression" dxfId="4549" priority="4202">
      <formula>E36&gt;0</formula>
    </cfRule>
  </conditionalFormatting>
  <conditionalFormatting sqref="C36:C52">
    <cfRule type="expression" dxfId="4548" priority="4201">
      <formula>E36&gt;0</formula>
    </cfRule>
  </conditionalFormatting>
  <conditionalFormatting sqref="C36:C52">
    <cfRule type="expression" dxfId="4547" priority="4200">
      <formula>E36&gt;0</formula>
    </cfRule>
  </conditionalFormatting>
  <conditionalFormatting sqref="C36:C52">
    <cfRule type="expression" dxfId="4546" priority="4199">
      <formula>E36&gt;0</formula>
    </cfRule>
  </conditionalFormatting>
  <conditionalFormatting sqref="C37">
    <cfRule type="expression" dxfId="4545" priority="4198">
      <formula>E37&gt;0</formula>
    </cfRule>
  </conditionalFormatting>
  <conditionalFormatting sqref="C37">
    <cfRule type="expression" dxfId="4544" priority="4197">
      <formula>E37&gt;0</formula>
    </cfRule>
  </conditionalFormatting>
  <conditionalFormatting sqref="C36:C52">
    <cfRule type="expression" dxfId="4543" priority="4196">
      <formula>E36&gt;0</formula>
    </cfRule>
  </conditionalFormatting>
  <conditionalFormatting sqref="C37">
    <cfRule type="expression" dxfId="4542" priority="4195">
      <formula>E37&gt;0</formula>
    </cfRule>
  </conditionalFormatting>
  <conditionalFormatting sqref="C36:C52">
    <cfRule type="expression" dxfId="4541" priority="4194">
      <formula>E36&gt;0</formula>
    </cfRule>
  </conditionalFormatting>
  <conditionalFormatting sqref="C37">
    <cfRule type="expression" dxfId="4540" priority="4193">
      <formula>E37&gt;0</formula>
    </cfRule>
  </conditionalFormatting>
  <conditionalFormatting sqref="C36:C52">
    <cfRule type="expression" dxfId="4539" priority="4192">
      <formula>E36&gt;0</formula>
    </cfRule>
  </conditionalFormatting>
  <conditionalFormatting sqref="C36:C52">
    <cfRule type="expression" dxfId="4538" priority="4191">
      <formula>E36&gt;0</formula>
    </cfRule>
  </conditionalFormatting>
  <conditionalFormatting sqref="C36:C52">
    <cfRule type="expression" dxfId="4537" priority="4190">
      <formula>E36&gt;0</formula>
    </cfRule>
  </conditionalFormatting>
  <conditionalFormatting sqref="C36:C52">
    <cfRule type="expression" dxfId="4536" priority="4189">
      <formula>E36&gt;0</formula>
    </cfRule>
  </conditionalFormatting>
  <conditionalFormatting sqref="C36:C52">
    <cfRule type="expression" dxfId="4535" priority="4188">
      <formula>E36&gt;0</formula>
    </cfRule>
  </conditionalFormatting>
  <conditionalFormatting sqref="C37">
    <cfRule type="expression" dxfId="4534" priority="4187">
      <formula>E37&gt;0</formula>
    </cfRule>
  </conditionalFormatting>
  <conditionalFormatting sqref="C36:C52">
    <cfRule type="expression" dxfId="4533" priority="4186">
      <formula>E36&gt;0</formula>
    </cfRule>
  </conditionalFormatting>
  <conditionalFormatting sqref="C36:C52">
    <cfRule type="expression" dxfId="4532" priority="4185">
      <formula>E36&gt;0</formula>
    </cfRule>
  </conditionalFormatting>
  <conditionalFormatting sqref="C36:C52">
    <cfRule type="expression" dxfId="4531" priority="4184">
      <formula>E36&gt;0</formula>
    </cfRule>
  </conditionalFormatting>
  <conditionalFormatting sqref="C36:C52">
    <cfRule type="expression" dxfId="4530" priority="4183">
      <formula>E36&gt;0</formula>
    </cfRule>
  </conditionalFormatting>
  <conditionalFormatting sqref="C37">
    <cfRule type="expression" dxfId="4529" priority="4182">
      <formula>E37&gt;0</formula>
    </cfRule>
  </conditionalFormatting>
  <conditionalFormatting sqref="C37">
    <cfRule type="expression" dxfId="4528" priority="4181">
      <formula>E37&gt;0</formula>
    </cfRule>
  </conditionalFormatting>
  <conditionalFormatting sqref="C36:C52">
    <cfRule type="expression" dxfId="4527" priority="4180">
      <formula>E36&gt;0</formula>
    </cfRule>
  </conditionalFormatting>
  <conditionalFormatting sqref="C37">
    <cfRule type="expression" dxfId="4526" priority="4179">
      <formula>E37&gt;0</formula>
    </cfRule>
  </conditionalFormatting>
  <conditionalFormatting sqref="C36:C52">
    <cfRule type="expression" dxfId="4525" priority="4178">
      <formula>E36&gt;0</formula>
    </cfRule>
  </conditionalFormatting>
  <conditionalFormatting sqref="C37">
    <cfRule type="expression" dxfId="4524" priority="4177">
      <formula>E37&gt;0</formula>
    </cfRule>
  </conditionalFormatting>
  <conditionalFormatting sqref="C38">
    <cfRule type="expression" dxfId="4523" priority="4176">
      <formula>E38&gt;0</formula>
    </cfRule>
  </conditionalFormatting>
  <conditionalFormatting sqref="C38">
    <cfRule type="expression" dxfId="4522" priority="4175">
      <formula>E38&gt;0</formula>
    </cfRule>
  </conditionalFormatting>
  <conditionalFormatting sqref="C60">
    <cfRule type="expression" dxfId="4521" priority="4174">
      <formula>E60&gt;0</formula>
    </cfRule>
  </conditionalFormatting>
  <conditionalFormatting sqref="C61">
    <cfRule type="expression" dxfId="4520" priority="4173">
      <formula>E61&gt;0</formula>
    </cfRule>
  </conditionalFormatting>
  <conditionalFormatting sqref="C60">
    <cfRule type="expression" dxfId="4519" priority="4172">
      <formula>E60&gt;0</formula>
    </cfRule>
  </conditionalFormatting>
  <conditionalFormatting sqref="C61">
    <cfRule type="expression" dxfId="4518" priority="4171">
      <formula>E61&gt;0</formula>
    </cfRule>
  </conditionalFormatting>
  <conditionalFormatting sqref="C60">
    <cfRule type="expression" dxfId="4517" priority="4170">
      <formula>E60&gt;0</formula>
    </cfRule>
  </conditionalFormatting>
  <conditionalFormatting sqref="C61">
    <cfRule type="expression" dxfId="4516" priority="4169">
      <formula>E61&gt;0</formula>
    </cfRule>
  </conditionalFormatting>
  <conditionalFormatting sqref="C61">
    <cfRule type="expression" dxfId="4515" priority="4168">
      <formula>E61&gt;0</formula>
    </cfRule>
  </conditionalFormatting>
  <conditionalFormatting sqref="C61">
    <cfRule type="expression" dxfId="4514" priority="4167">
      <formula>E61&gt;0</formula>
    </cfRule>
  </conditionalFormatting>
  <conditionalFormatting sqref="C61">
    <cfRule type="expression" dxfId="4513" priority="4166">
      <formula>E61&gt;0</formula>
    </cfRule>
  </conditionalFormatting>
  <conditionalFormatting sqref="C61">
    <cfRule type="expression" dxfId="4512" priority="4165">
      <formula>E61&gt;0</formula>
    </cfRule>
  </conditionalFormatting>
  <conditionalFormatting sqref="C61">
    <cfRule type="expression" dxfId="4511" priority="4164">
      <formula>E61&gt;0</formula>
    </cfRule>
  </conditionalFormatting>
  <conditionalFormatting sqref="C61">
    <cfRule type="expression" dxfId="4510" priority="4163">
      <formula>E61&gt;0</formula>
    </cfRule>
  </conditionalFormatting>
  <conditionalFormatting sqref="C61">
    <cfRule type="expression" dxfId="4509" priority="4162">
      <formula>E61&gt;0</formula>
    </cfRule>
  </conditionalFormatting>
  <conditionalFormatting sqref="C61">
    <cfRule type="expression" dxfId="4508" priority="4161">
      <formula>E61&gt;0</formula>
    </cfRule>
  </conditionalFormatting>
  <conditionalFormatting sqref="C61">
    <cfRule type="expression" dxfId="4507" priority="4160">
      <formula>E61&gt;0</formula>
    </cfRule>
  </conditionalFormatting>
  <conditionalFormatting sqref="C61">
    <cfRule type="expression" dxfId="4506" priority="4159">
      <formula>E61&gt;0</formula>
    </cfRule>
  </conditionalFormatting>
  <conditionalFormatting sqref="C61">
    <cfRule type="expression" dxfId="4505" priority="4158">
      <formula>E61&gt;0</formula>
    </cfRule>
  </conditionalFormatting>
  <conditionalFormatting sqref="C61">
    <cfRule type="expression" dxfId="4504" priority="4157">
      <formula>E61&gt;0</formula>
    </cfRule>
  </conditionalFormatting>
  <conditionalFormatting sqref="C61">
    <cfRule type="expression" dxfId="4503" priority="4156">
      <formula>E61&gt;0</formula>
    </cfRule>
  </conditionalFormatting>
  <conditionalFormatting sqref="C61">
    <cfRule type="expression" dxfId="4502" priority="4155">
      <formula>E61&gt;0</formula>
    </cfRule>
  </conditionalFormatting>
  <conditionalFormatting sqref="C61">
    <cfRule type="expression" dxfId="4501" priority="4154">
      <formula>E61&gt;0</formula>
    </cfRule>
  </conditionalFormatting>
  <conditionalFormatting sqref="C61">
    <cfRule type="expression" dxfId="4500" priority="4153">
      <formula>E61&gt;0</formula>
    </cfRule>
  </conditionalFormatting>
  <conditionalFormatting sqref="C61">
    <cfRule type="expression" dxfId="4499" priority="4152">
      <formula>E61&gt;0</formula>
    </cfRule>
  </conditionalFormatting>
  <conditionalFormatting sqref="C60">
    <cfRule type="expression" dxfId="4498" priority="4151">
      <formula>E60&gt;0</formula>
    </cfRule>
  </conditionalFormatting>
  <conditionalFormatting sqref="C61">
    <cfRule type="expression" dxfId="4497" priority="4150">
      <formula>E61&gt;0</formula>
    </cfRule>
  </conditionalFormatting>
  <conditionalFormatting sqref="C60">
    <cfRule type="expression" dxfId="4496" priority="4149">
      <formula>E60&gt;0</formula>
    </cfRule>
  </conditionalFormatting>
  <conditionalFormatting sqref="C61">
    <cfRule type="expression" dxfId="4495" priority="4148">
      <formula>E61&gt;0</formula>
    </cfRule>
  </conditionalFormatting>
  <conditionalFormatting sqref="C60">
    <cfRule type="expression" dxfId="4494" priority="4147">
      <formula>E60&gt;0</formula>
    </cfRule>
  </conditionalFormatting>
  <conditionalFormatting sqref="C61">
    <cfRule type="expression" dxfId="4493" priority="4146">
      <formula>E61&gt;0</formula>
    </cfRule>
  </conditionalFormatting>
  <conditionalFormatting sqref="C61">
    <cfRule type="expression" dxfId="4492" priority="4145">
      <formula>E61&gt;0</formula>
    </cfRule>
  </conditionalFormatting>
  <conditionalFormatting sqref="C61">
    <cfRule type="expression" dxfId="4491" priority="4144">
      <formula>E61&gt;0</formula>
    </cfRule>
  </conditionalFormatting>
  <conditionalFormatting sqref="C60">
    <cfRule type="expression" dxfId="4490" priority="4143">
      <formula>E60&gt;0</formula>
    </cfRule>
  </conditionalFormatting>
  <conditionalFormatting sqref="C39:C52">
    <cfRule type="expression" dxfId="4489" priority="4142">
      <formula>E39&gt;0</formula>
    </cfRule>
  </conditionalFormatting>
  <conditionalFormatting sqref="C39:C52">
    <cfRule type="expression" dxfId="4488" priority="4141">
      <formula>E39&gt;0</formula>
    </cfRule>
  </conditionalFormatting>
  <conditionalFormatting sqref="C40">
    <cfRule type="expression" dxfId="4487" priority="4140">
      <formula>E40&gt;0</formula>
    </cfRule>
  </conditionalFormatting>
  <conditionalFormatting sqref="C41:C52">
    <cfRule type="expression" dxfId="4486" priority="4139">
      <formula>E41&gt;0</formula>
    </cfRule>
  </conditionalFormatting>
  <conditionalFormatting sqref="C42:C52">
    <cfRule type="expression" dxfId="4485" priority="4138">
      <formula>E42&gt;0</formula>
    </cfRule>
  </conditionalFormatting>
  <conditionalFormatting sqref="C43:C50">
    <cfRule type="expression" dxfId="4484" priority="4137">
      <formula>E43&gt;0</formula>
    </cfRule>
  </conditionalFormatting>
  <conditionalFormatting sqref="C44">
    <cfRule type="expression" dxfId="4483" priority="4136">
      <formula>E44&gt;0</formula>
    </cfRule>
  </conditionalFormatting>
  <conditionalFormatting sqref="C45:C50">
    <cfRule type="expression" dxfId="4482" priority="4135">
      <formula>E45&gt;0</formula>
    </cfRule>
  </conditionalFormatting>
  <conditionalFormatting sqref="C46">
    <cfRule type="expression" dxfId="4481" priority="4134">
      <formula>E46&gt;0</formula>
    </cfRule>
  </conditionalFormatting>
  <conditionalFormatting sqref="C47">
    <cfRule type="expression" dxfId="4480" priority="4133">
      <formula>E47&gt;0</formula>
    </cfRule>
  </conditionalFormatting>
  <conditionalFormatting sqref="C39:C52">
    <cfRule type="expression" dxfId="4479" priority="4132">
      <formula>E39&gt;0</formula>
    </cfRule>
  </conditionalFormatting>
  <conditionalFormatting sqref="C39:C52">
    <cfRule type="expression" dxfId="4478" priority="4131">
      <formula>E39&gt;0</formula>
    </cfRule>
  </conditionalFormatting>
  <conditionalFormatting sqref="C40">
    <cfRule type="expression" dxfId="4477" priority="4130">
      <formula>E40&gt;0</formula>
    </cfRule>
  </conditionalFormatting>
  <conditionalFormatting sqref="C41:C52">
    <cfRule type="expression" dxfId="4476" priority="4129">
      <formula>E41&gt;0</formula>
    </cfRule>
  </conditionalFormatting>
  <conditionalFormatting sqref="C42:C52">
    <cfRule type="expression" dxfId="4475" priority="4128">
      <formula>E42&gt;0</formula>
    </cfRule>
  </conditionalFormatting>
  <conditionalFormatting sqref="C43:C50">
    <cfRule type="expression" dxfId="4474" priority="4127">
      <formula>E43&gt;0</formula>
    </cfRule>
  </conditionalFormatting>
  <conditionalFormatting sqref="C44">
    <cfRule type="expression" dxfId="4473" priority="4126">
      <formula>E44&gt;0</formula>
    </cfRule>
  </conditionalFormatting>
  <conditionalFormatting sqref="C45:C50">
    <cfRule type="expression" dxfId="4472" priority="4125">
      <formula>E45&gt;0</formula>
    </cfRule>
  </conditionalFormatting>
  <conditionalFormatting sqref="C46">
    <cfRule type="expression" dxfId="4471" priority="4124">
      <formula>E46&gt;0</formula>
    </cfRule>
  </conditionalFormatting>
  <conditionalFormatting sqref="C47">
    <cfRule type="expression" dxfId="4470" priority="4123">
      <formula>E47&gt;0</formula>
    </cfRule>
  </conditionalFormatting>
  <conditionalFormatting sqref="C39:C52">
    <cfRule type="expression" dxfId="4469" priority="4122">
      <formula>E39&gt;0</formula>
    </cfRule>
  </conditionalFormatting>
  <conditionalFormatting sqref="C39:C52">
    <cfRule type="expression" dxfId="4468" priority="4121">
      <formula>E39&gt;0</formula>
    </cfRule>
  </conditionalFormatting>
  <conditionalFormatting sqref="C40">
    <cfRule type="expression" dxfId="4467" priority="4120">
      <formula>E40&gt;0</formula>
    </cfRule>
  </conditionalFormatting>
  <conditionalFormatting sqref="C41:C52">
    <cfRule type="expression" dxfId="4466" priority="4119">
      <formula>E41&gt;0</formula>
    </cfRule>
  </conditionalFormatting>
  <conditionalFormatting sqref="C42:C52">
    <cfRule type="expression" dxfId="4465" priority="4118">
      <formula>E42&gt;0</formula>
    </cfRule>
  </conditionalFormatting>
  <conditionalFormatting sqref="C43:C50">
    <cfRule type="expression" dxfId="4464" priority="4117">
      <formula>E43&gt;0</formula>
    </cfRule>
  </conditionalFormatting>
  <conditionalFormatting sqref="C44">
    <cfRule type="expression" dxfId="4463" priority="4116">
      <formula>E44&gt;0</formula>
    </cfRule>
  </conditionalFormatting>
  <conditionalFormatting sqref="C45:C50">
    <cfRule type="expression" dxfId="4462" priority="4115">
      <formula>E45&gt;0</formula>
    </cfRule>
  </conditionalFormatting>
  <conditionalFormatting sqref="C46">
    <cfRule type="expression" dxfId="4461" priority="4114">
      <formula>E46&gt;0</formula>
    </cfRule>
  </conditionalFormatting>
  <conditionalFormatting sqref="C47">
    <cfRule type="expression" dxfId="4460" priority="4113">
      <formula>E47&gt;0</formula>
    </cfRule>
  </conditionalFormatting>
  <conditionalFormatting sqref="C39:C52">
    <cfRule type="expression" dxfId="4459" priority="4112">
      <formula>E39&gt;0</formula>
    </cfRule>
  </conditionalFormatting>
  <conditionalFormatting sqref="C39:C52">
    <cfRule type="expression" dxfId="4458" priority="4111">
      <formula>E39&gt;0</formula>
    </cfRule>
  </conditionalFormatting>
  <conditionalFormatting sqref="C40">
    <cfRule type="expression" dxfId="4457" priority="4110">
      <formula>E40&gt;0</formula>
    </cfRule>
  </conditionalFormatting>
  <conditionalFormatting sqref="C41:C52">
    <cfRule type="expression" dxfId="4456" priority="4109">
      <formula>E41&gt;0</formula>
    </cfRule>
  </conditionalFormatting>
  <conditionalFormatting sqref="C42:C52">
    <cfRule type="expression" dxfId="4455" priority="4108">
      <formula>E42&gt;0</formula>
    </cfRule>
  </conditionalFormatting>
  <conditionalFormatting sqref="C43:C50">
    <cfRule type="expression" dxfId="4454" priority="4107">
      <formula>E43&gt;0</formula>
    </cfRule>
  </conditionalFormatting>
  <conditionalFormatting sqref="C44">
    <cfRule type="expression" dxfId="4453" priority="4106">
      <formula>E44&gt;0</formula>
    </cfRule>
  </conditionalFormatting>
  <conditionalFormatting sqref="C45:C50">
    <cfRule type="expression" dxfId="4452" priority="4105">
      <formula>E45&gt;0</formula>
    </cfRule>
  </conditionalFormatting>
  <conditionalFormatting sqref="C46">
    <cfRule type="expression" dxfId="4451" priority="4104">
      <formula>E46&gt;0</formula>
    </cfRule>
  </conditionalFormatting>
  <conditionalFormatting sqref="C47">
    <cfRule type="expression" dxfId="4450" priority="4103">
      <formula>E47&gt;0</formula>
    </cfRule>
  </conditionalFormatting>
  <conditionalFormatting sqref="C41">
    <cfRule type="expression" dxfId="4449" priority="4102">
      <formula>E41&gt;0</formula>
    </cfRule>
  </conditionalFormatting>
  <conditionalFormatting sqref="C43">
    <cfRule type="expression" dxfId="4448" priority="4101">
      <formula>E43&gt;0</formula>
    </cfRule>
  </conditionalFormatting>
  <conditionalFormatting sqref="C45:C50">
    <cfRule type="expression" dxfId="4447" priority="4100">
      <formula>E45&gt;0</formula>
    </cfRule>
  </conditionalFormatting>
  <conditionalFormatting sqref="C47">
    <cfRule type="expression" dxfId="4446" priority="4099">
      <formula>E47&gt;0</formula>
    </cfRule>
  </conditionalFormatting>
  <conditionalFormatting sqref="C41">
    <cfRule type="expression" dxfId="4445" priority="4098">
      <formula>E41&gt;0</formula>
    </cfRule>
  </conditionalFormatting>
  <conditionalFormatting sqref="C43">
    <cfRule type="expression" dxfId="4444" priority="4097">
      <formula>E43&gt;0</formula>
    </cfRule>
  </conditionalFormatting>
  <conditionalFormatting sqref="C45:C50">
    <cfRule type="expression" dxfId="4443" priority="4096">
      <formula>E45&gt;0</formula>
    </cfRule>
  </conditionalFormatting>
  <conditionalFormatting sqref="C47">
    <cfRule type="expression" dxfId="4442" priority="4095">
      <formula>E47&gt;0</formula>
    </cfRule>
  </conditionalFormatting>
  <conditionalFormatting sqref="C41">
    <cfRule type="expression" dxfId="4441" priority="4094">
      <formula>E41&gt;0</formula>
    </cfRule>
  </conditionalFormatting>
  <conditionalFormatting sqref="C43">
    <cfRule type="expression" dxfId="4440" priority="4093">
      <formula>E43&gt;0</formula>
    </cfRule>
  </conditionalFormatting>
  <conditionalFormatting sqref="C45:C50">
    <cfRule type="expression" dxfId="4439" priority="4092">
      <formula>E45&gt;0</formula>
    </cfRule>
  </conditionalFormatting>
  <conditionalFormatting sqref="C47">
    <cfRule type="expression" dxfId="4438" priority="4091">
      <formula>E47&gt;0</formula>
    </cfRule>
  </conditionalFormatting>
  <conditionalFormatting sqref="C41">
    <cfRule type="expression" dxfId="4437" priority="4090">
      <formula>E41&gt;0</formula>
    </cfRule>
  </conditionalFormatting>
  <conditionalFormatting sqref="C43">
    <cfRule type="expression" dxfId="4436" priority="4089">
      <formula>E43&gt;0</formula>
    </cfRule>
  </conditionalFormatting>
  <conditionalFormatting sqref="C45:C50">
    <cfRule type="expression" dxfId="4435" priority="4088">
      <formula>E45&gt;0</formula>
    </cfRule>
  </conditionalFormatting>
  <conditionalFormatting sqref="C47">
    <cfRule type="expression" dxfId="4434" priority="4087">
      <formula>E47&gt;0</formula>
    </cfRule>
  </conditionalFormatting>
  <conditionalFormatting sqref="C48:C50">
    <cfRule type="expression" dxfId="4433" priority="4086">
      <formula>E48&gt;0</formula>
    </cfRule>
  </conditionalFormatting>
  <conditionalFormatting sqref="C49">
    <cfRule type="expression" dxfId="4432" priority="4085">
      <formula>E49&gt;0</formula>
    </cfRule>
  </conditionalFormatting>
  <conditionalFormatting sqref="C50">
    <cfRule type="expression" dxfId="4431" priority="4084">
      <formula>E50&gt;0</formula>
    </cfRule>
  </conditionalFormatting>
  <conditionalFormatting sqref="C51">
    <cfRule type="expression" dxfId="4430" priority="4083">
      <formula>E51&gt;0</formula>
    </cfRule>
  </conditionalFormatting>
  <conditionalFormatting sqref="C52">
    <cfRule type="expression" dxfId="4429" priority="4082">
      <formula>E52&gt;0</formula>
    </cfRule>
  </conditionalFormatting>
  <conditionalFormatting sqref="C48:C50">
    <cfRule type="expression" dxfId="4428" priority="4081">
      <formula>E48&gt;0</formula>
    </cfRule>
  </conditionalFormatting>
  <conditionalFormatting sqref="C49">
    <cfRule type="expression" dxfId="4427" priority="4080">
      <formula>E49&gt;0</formula>
    </cfRule>
  </conditionalFormatting>
  <conditionalFormatting sqref="C52">
    <cfRule type="expression" dxfId="4426" priority="4079">
      <formula>E52&gt;0</formula>
    </cfRule>
  </conditionalFormatting>
  <conditionalFormatting sqref="C50">
    <cfRule type="expression" dxfId="4425" priority="4078">
      <formula>E50&gt;0</formula>
    </cfRule>
  </conditionalFormatting>
  <conditionalFormatting sqref="C50">
    <cfRule type="expression" dxfId="4424" priority="4077">
      <formula>E50&gt;0</formula>
    </cfRule>
  </conditionalFormatting>
  <conditionalFormatting sqref="C50">
    <cfRule type="expression" dxfId="4423" priority="4076">
      <formula>E50&gt;0</formula>
    </cfRule>
  </conditionalFormatting>
  <conditionalFormatting sqref="C50">
    <cfRule type="expression" dxfId="4422" priority="4075">
      <formula>E50&gt;0</formula>
    </cfRule>
  </conditionalFormatting>
  <conditionalFormatting sqref="C50">
    <cfRule type="expression" dxfId="4421" priority="4074">
      <formula>E50&gt;0</formula>
    </cfRule>
  </conditionalFormatting>
  <conditionalFormatting sqref="C50">
    <cfRule type="expression" dxfId="4420" priority="4073">
      <formula>E50&gt;0</formula>
    </cfRule>
  </conditionalFormatting>
  <conditionalFormatting sqref="C50">
    <cfRule type="expression" dxfId="4419" priority="4072">
      <formula>E50&gt;0</formula>
    </cfRule>
  </conditionalFormatting>
  <conditionalFormatting sqref="C50">
    <cfRule type="expression" dxfId="4418" priority="4071">
      <formula>E50&gt;0</formula>
    </cfRule>
  </conditionalFormatting>
  <conditionalFormatting sqref="C50">
    <cfRule type="expression" dxfId="4417" priority="4070">
      <formula>E50&gt;0</formula>
    </cfRule>
  </conditionalFormatting>
  <conditionalFormatting sqref="C50">
    <cfRule type="expression" dxfId="4416" priority="4069">
      <formula>E50&gt;0</formula>
    </cfRule>
  </conditionalFormatting>
  <conditionalFormatting sqref="C50">
    <cfRule type="expression" dxfId="4415" priority="4068">
      <formula>E50&gt;0</formula>
    </cfRule>
  </conditionalFormatting>
  <conditionalFormatting sqref="C50">
    <cfRule type="expression" dxfId="4414" priority="4067">
      <formula>E50&gt;0</formula>
    </cfRule>
  </conditionalFormatting>
  <conditionalFormatting sqref="C50">
    <cfRule type="expression" dxfId="4413" priority="4066">
      <formula>E50&gt;0</formula>
    </cfRule>
  </conditionalFormatting>
  <conditionalFormatting sqref="C50">
    <cfRule type="expression" dxfId="4412" priority="4065">
      <formula>E50&gt;0</formula>
    </cfRule>
  </conditionalFormatting>
  <conditionalFormatting sqref="C50">
    <cfRule type="expression" dxfId="4411" priority="4064">
      <formula>E50&gt;0</formula>
    </cfRule>
  </conditionalFormatting>
  <conditionalFormatting sqref="C50">
    <cfRule type="expression" dxfId="4410" priority="4063">
      <formula>E50&gt;0</formula>
    </cfRule>
  </conditionalFormatting>
  <conditionalFormatting sqref="C50">
    <cfRule type="expression" dxfId="4409" priority="4062">
      <formula>E50&gt;0</formula>
    </cfRule>
  </conditionalFormatting>
  <conditionalFormatting sqref="C50">
    <cfRule type="expression" dxfId="4408" priority="4061">
      <formula>E50&gt;0</formula>
    </cfRule>
  </conditionalFormatting>
  <conditionalFormatting sqref="C49">
    <cfRule type="expression" dxfId="4407" priority="4060">
      <formula>E49&gt;0</formula>
    </cfRule>
  </conditionalFormatting>
  <conditionalFormatting sqref="C50">
    <cfRule type="expression" dxfId="4406" priority="4059">
      <formula>E50&gt;0</formula>
    </cfRule>
  </conditionalFormatting>
  <conditionalFormatting sqref="C51">
    <cfRule type="expression" dxfId="4405" priority="4058">
      <formula>E51&gt;0</formula>
    </cfRule>
  </conditionalFormatting>
  <conditionalFormatting sqref="C49">
    <cfRule type="expression" dxfId="4404" priority="4057">
      <formula>E49&gt;0</formula>
    </cfRule>
  </conditionalFormatting>
  <conditionalFormatting sqref="C50">
    <cfRule type="expression" dxfId="4403" priority="4056">
      <formula>E50&gt;0</formula>
    </cfRule>
  </conditionalFormatting>
  <conditionalFormatting sqref="C51">
    <cfRule type="expression" dxfId="4402" priority="4055">
      <formula>E51&gt;0</formula>
    </cfRule>
  </conditionalFormatting>
  <conditionalFormatting sqref="C51">
    <cfRule type="expression" dxfId="4401" priority="4054">
      <formula>E51&gt;0</formula>
    </cfRule>
  </conditionalFormatting>
  <conditionalFormatting sqref="C51">
    <cfRule type="expression" dxfId="4400" priority="4053">
      <formula>E51&gt;0</formula>
    </cfRule>
  </conditionalFormatting>
  <conditionalFormatting sqref="C51">
    <cfRule type="expression" dxfId="4399" priority="4052">
      <formula>E51&gt;0</formula>
    </cfRule>
  </conditionalFormatting>
  <conditionalFormatting sqref="C51">
    <cfRule type="expression" dxfId="4398" priority="4051">
      <formula>E51&gt;0</formula>
    </cfRule>
  </conditionalFormatting>
  <conditionalFormatting sqref="C51">
    <cfRule type="expression" dxfId="4397" priority="4050">
      <formula>E51&gt;0</formula>
    </cfRule>
  </conditionalFormatting>
  <conditionalFormatting sqref="C51">
    <cfRule type="expression" dxfId="4396" priority="4049">
      <formula>E51&gt;0</formula>
    </cfRule>
  </conditionalFormatting>
  <conditionalFormatting sqref="C51">
    <cfRule type="expression" dxfId="4395" priority="4048">
      <formula>E51&gt;0</formula>
    </cfRule>
  </conditionalFormatting>
  <conditionalFormatting sqref="C51">
    <cfRule type="expression" dxfId="4394" priority="4047">
      <formula>E51&gt;0</formula>
    </cfRule>
  </conditionalFormatting>
  <conditionalFormatting sqref="C51">
    <cfRule type="expression" dxfId="4393" priority="4046">
      <formula>E51&gt;0</formula>
    </cfRule>
  </conditionalFormatting>
  <conditionalFormatting sqref="C51">
    <cfRule type="expression" dxfId="4392" priority="4045">
      <formula>E51&gt;0</formula>
    </cfRule>
  </conditionalFormatting>
  <conditionalFormatting sqref="C51">
    <cfRule type="expression" dxfId="4391" priority="4044">
      <formula>E51&gt;0</formula>
    </cfRule>
  </conditionalFormatting>
  <conditionalFormatting sqref="C51">
    <cfRule type="expression" dxfId="4390" priority="4043">
      <formula>E51&gt;0</formula>
    </cfRule>
  </conditionalFormatting>
  <conditionalFormatting sqref="C51">
    <cfRule type="expression" dxfId="4389" priority="4042">
      <formula>E51&gt;0</formula>
    </cfRule>
  </conditionalFormatting>
  <conditionalFormatting sqref="C51">
    <cfRule type="expression" dxfId="4388" priority="4041">
      <formula>E51&gt;0</formula>
    </cfRule>
  </conditionalFormatting>
  <conditionalFormatting sqref="C51">
    <cfRule type="expression" dxfId="4387" priority="4040">
      <formula>E51&gt;0</formula>
    </cfRule>
  </conditionalFormatting>
  <conditionalFormatting sqref="C51">
    <cfRule type="expression" dxfId="4386" priority="4039">
      <formula>E51&gt;0</formula>
    </cfRule>
  </conditionalFormatting>
  <conditionalFormatting sqref="C51">
    <cfRule type="expression" dxfId="4385" priority="4038">
      <formula>E51&gt;0</formula>
    </cfRule>
  </conditionalFormatting>
  <conditionalFormatting sqref="C48:C50">
    <cfRule type="expression" dxfId="4384" priority="4037">
      <formula>E48&gt;0</formula>
    </cfRule>
  </conditionalFormatting>
  <conditionalFormatting sqref="C48:C50">
    <cfRule type="expression" dxfId="4383" priority="4036">
      <formula>E48&gt;0</formula>
    </cfRule>
  </conditionalFormatting>
  <conditionalFormatting sqref="C48:C50">
    <cfRule type="expression" dxfId="4382" priority="4035">
      <formula>E48&gt;0</formula>
    </cfRule>
  </conditionalFormatting>
  <conditionalFormatting sqref="C48:C50">
    <cfRule type="expression" dxfId="4381" priority="4034">
      <formula>E48&gt;0</formula>
    </cfRule>
  </conditionalFormatting>
  <conditionalFormatting sqref="C48:C50">
    <cfRule type="expression" dxfId="4380" priority="4033">
      <formula>E48&gt;0</formula>
    </cfRule>
  </conditionalFormatting>
  <conditionalFormatting sqref="C48:C50">
    <cfRule type="expression" dxfId="4379" priority="4032">
      <formula>E48&gt;0</formula>
    </cfRule>
  </conditionalFormatting>
  <conditionalFormatting sqref="C48:C50">
    <cfRule type="expression" dxfId="4378" priority="4031">
      <formula>E48&gt;0</formula>
    </cfRule>
  </conditionalFormatting>
  <conditionalFormatting sqref="C48:C50">
    <cfRule type="expression" dxfId="4377" priority="4030">
      <formula>E48&gt;0</formula>
    </cfRule>
  </conditionalFormatting>
  <conditionalFormatting sqref="C48:C50">
    <cfRule type="expression" dxfId="4376" priority="4029">
      <formula>E48&gt;0</formula>
    </cfRule>
  </conditionalFormatting>
  <conditionalFormatting sqref="C48:C50">
    <cfRule type="expression" dxfId="4375" priority="4028">
      <formula>E48&gt;0</formula>
    </cfRule>
  </conditionalFormatting>
  <conditionalFormatting sqref="C48:C50">
    <cfRule type="expression" dxfId="4374" priority="4027">
      <formula>E48&gt;0</formula>
    </cfRule>
  </conditionalFormatting>
  <conditionalFormatting sqref="C48:C50">
    <cfRule type="expression" dxfId="4373" priority="4026">
      <formula>E48&gt;0</formula>
    </cfRule>
  </conditionalFormatting>
  <conditionalFormatting sqref="C48:C50">
    <cfRule type="expression" dxfId="4372" priority="4025">
      <formula>E48&gt;0</formula>
    </cfRule>
  </conditionalFormatting>
  <conditionalFormatting sqref="C48:C50">
    <cfRule type="expression" dxfId="4371" priority="4024">
      <formula>E48&gt;0</formula>
    </cfRule>
  </conditionalFormatting>
  <conditionalFormatting sqref="C48:C50">
    <cfRule type="expression" dxfId="4370" priority="4023">
      <formula>E48&gt;0</formula>
    </cfRule>
  </conditionalFormatting>
  <conditionalFormatting sqref="C48:C50">
    <cfRule type="expression" dxfId="4369" priority="4022">
      <formula>E48&gt;0</formula>
    </cfRule>
  </conditionalFormatting>
  <conditionalFormatting sqref="C48:C50">
    <cfRule type="expression" dxfId="4368" priority="4021">
      <formula>E48&gt;0</formula>
    </cfRule>
  </conditionalFormatting>
  <conditionalFormatting sqref="C48:C50">
    <cfRule type="expression" dxfId="4367" priority="4020">
      <formula>E48&gt;0</formula>
    </cfRule>
  </conditionalFormatting>
  <conditionalFormatting sqref="C48:C50">
    <cfRule type="expression" dxfId="4366" priority="4019">
      <formula>E48&gt;0</formula>
    </cfRule>
  </conditionalFormatting>
  <conditionalFormatting sqref="C48:C50">
    <cfRule type="expression" dxfId="4365" priority="4018">
      <formula>E48&gt;0</formula>
    </cfRule>
  </conditionalFormatting>
  <conditionalFormatting sqref="C48:C50">
    <cfRule type="expression" dxfId="4364" priority="4017">
      <formula>E48&gt;0</formula>
    </cfRule>
  </conditionalFormatting>
  <conditionalFormatting sqref="C48:C50">
    <cfRule type="expression" dxfId="4363" priority="4016">
      <formula>E48&gt;0</formula>
    </cfRule>
  </conditionalFormatting>
  <conditionalFormatting sqref="C48:C50">
    <cfRule type="expression" dxfId="4362" priority="4015">
      <formula>E48&gt;0</formula>
    </cfRule>
  </conditionalFormatting>
  <conditionalFormatting sqref="C48:C50">
    <cfRule type="expression" dxfId="4361" priority="4014">
      <formula>E48&gt;0</formula>
    </cfRule>
  </conditionalFormatting>
  <conditionalFormatting sqref="C49">
    <cfRule type="expression" dxfId="4360" priority="4013">
      <formula>E49&gt;0</formula>
    </cfRule>
  </conditionalFormatting>
  <conditionalFormatting sqref="C50">
    <cfRule type="expression" dxfId="4359" priority="4012">
      <formula>E50&gt;0</formula>
    </cfRule>
  </conditionalFormatting>
  <conditionalFormatting sqref="C50">
    <cfRule type="expression" dxfId="4358" priority="4011">
      <formula>E50&gt;0</formula>
    </cfRule>
  </conditionalFormatting>
  <conditionalFormatting sqref="C50">
    <cfRule type="expression" dxfId="4357" priority="4010">
      <formula>E50&gt;0</formula>
    </cfRule>
  </conditionalFormatting>
  <conditionalFormatting sqref="C49">
    <cfRule type="expression" dxfId="4356" priority="4009">
      <formula>E49&gt;0</formula>
    </cfRule>
  </conditionalFormatting>
  <conditionalFormatting sqref="C48:C50">
    <cfRule type="expression" dxfId="4355" priority="4008">
      <formula>E48&gt;0</formula>
    </cfRule>
  </conditionalFormatting>
  <conditionalFormatting sqref="C49">
    <cfRule type="expression" dxfId="4354" priority="4007">
      <formula>E49&gt;0</formula>
    </cfRule>
  </conditionalFormatting>
  <conditionalFormatting sqref="C48:C50">
    <cfRule type="expression" dxfId="4353" priority="4006">
      <formula>E48&gt;0</formula>
    </cfRule>
  </conditionalFormatting>
  <conditionalFormatting sqref="C48:C50">
    <cfRule type="expression" dxfId="4352" priority="4005">
      <formula>E48&gt;0</formula>
    </cfRule>
  </conditionalFormatting>
  <conditionalFormatting sqref="C48:C50">
    <cfRule type="expression" dxfId="4351" priority="4004">
      <formula>E48&gt;0</formula>
    </cfRule>
  </conditionalFormatting>
  <conditionalFormatting sqref="C48:C50">
    <cfRule type="expression" dxfId="4350" priority="4003">
      <formula>E48&gt;0</formula>
    </cfRule>
  </conditionalFormatting>
  <conditionalFormatting sqref="C48:C50">
    <cfRule type="expression" dxfId="4349" priority="4002">
      <formula>E48&gt;0</formula>
    </cfRule>
  </conditionalFormatting>
  <conditionalFormatting sqref="C49">
    <cfRule type="expression" dxfId="4348" priority="4001">
      <formula>E49&gt;0</formula>
    </cfRule>
  </conditionalFormatting>
  <conditionalFormatting sqref="C48:C50">
    <cfRule type="expression" dxfId="4347" priority="4000">
      <formula>E48&gt;0</formula>
    </cfRule>
  </conditionalFormatting>
  <conditionalFormatting sqref="C49">
    <cfRule type="expression" dxfId="4346" priority="3999">
      <formula>E49&gt;0</formula>
    </cfRule>
  </conditionalFormatting>
  <conditionalFormatting sqref="C49">
    <cfRule type="expression" dxfId="4345" priority="3998">
      <formula>E49&gt;0</formula>
    </cfRule>
  </conditionalFormatting>
  <conditionalFormatting sqref="C49">
    <cfRule type="expression" dxfId="4344" priority="3997">
      <formula>E49&gt;0</formula>
    </cfRule>
  </conditionalFormatting>
  <conditionalFormatting sqref="C48:C50">
    <cfRule type="expression" dxfId="4343" priority="3996">
      <formula>E48&gt;0</formula>
    </cfRule>
  </conditionalFormatting>
  <conditionalFormatting sqref="C49">
    <cfRule type="expression" dxfId="4342" priority="3995">
      <formula>E49&gt;0</formula>
    </cfRule>
  </conditionalFormatting>
  <conditionalFormatting sqref="C48:C50">
    <cfRule type="expression" dxfId="4341" priority="3994">
      <formula>E48&gt;0</formula>
    </cfRule>
  </conditionalFormatting>
  <conditionalFormatting sqref="C48:C50">
    <cfRule type="expression" dxfId="4340" priority="3993">
      <formula>E48&gt;0</formula>
    </cfRule>
  </conditionalFormatting>
  <conditionalFormatting sqref="C48:C50">
    <cfRule type="expression" dxfId="4339" priority="3992">
      <formula>E48&gt;0</formula>
    </cfRule>
  </conditionalFormatting>
  <conditionalFormatting sqref="C48:C50">
    <cfRule type="expression" dxfId="4338" priority="3991">
      <formula>E48&gt;0</formula>
    </cfRule>
  </conditionalFormatting>
  <conditionalFormatting sqref="C48:C50">
    <cfRule type="expression" dxfId="4337" priority="3990">
      <formula>E48&gt;0</formula>
    </cfRule>
  </conditionalFormatting>
  <conditionalFormatting sqref="C48:C50">
    <cfRule type="expression" dxfId="4336" priority="3989">
      <formula>E48&gt;0</formula>
    </cfRule>
  </conditionalFormatting>
  <conditionalFormatting sqref="C50">
    <cfRule type="expression" dxfId="4335" priority="3988">
      <formula>E50&gt;0</formula>
    </cfRule>
  </conditionalFormatting>
  <conditionalFormatting sqref="C50">
    <cfRule type="expression" dxfId="4334" priority="3987">
      <formula>E50&gt;0</formula>
    </cfRule>
  </conditionalFormatting>
  <conditionalFormatting sqref="C50">
    <cfRule type="expression" dxfId="4333" priority="3986">
      <formula>E50&gt;0</formula>
    </cfRule>
  </conditionalFormatting>
  <conditionalFormatting sqref="C50">
    <cfRule type="expression" dxfId="4332" priority="3985">
      <formula>E50&gt;0</formula>
    </cfRule>
  </conditionalFormatting>
  <conditionalFormatting sqref="C50">
    <cfRule type="expression" dxfId="4331" priority="3984">
      <formula>E50&gt;0</formula>
    </cfRule>
  </conditionalFormatting>
  <conditionalFormatting sqref="C50">
    <cfRule type="expression" dxfId="4330" priority="3983">
      <formula>E50&gt;0</formula>
    </cfRule>
  </conditionalFormatting>
  <conditionalFormatting sqref="C50">
    <cfRule type="expression" dxfId="4329" priority="3982">
      <formula>E50&gt;0</formula>
    </cfRule>
  </conditionalFormatting>
  <conditionalFormatting sqref="C50">
    <cfRule type="expression" dxfId="4328" priority="3981">
      <formula>E50&gt;0</formula>
    </cfRule>
  </conditionalFormatting>
  <conditionalFormatting sqref="C50">
    <cfRule type="expression" dxfId="4327" priority="3980">
      <formula>E50&gt;0</formula>
    </cfRule>
  </conditionalFormatting>
  <conditionalFormatting sqref="C50">
    <cfRule type="expression" dxfId="4326" priority="3979">
      <formula>E50&gt;0</formula>
    </cfRule>
  </conditionalFormatting>
  <conditionalFormatting sqref="C50">
    <cfRule type="expression" dxfId="4325" priority="3978">
      <formula>E50&gt;0</formula>
    </cfRule>
  </conditionalFormatting>
  <conditionalFormatting sqref="C50">
    <cfRule type="expression" dxfId="4324" priority="3977">
      <formula>E50&gt;0</formula>
    </cfRule>
  </conditionalFormatting>
  <conditionalFormatting sqref="C50">
    <cfRule type="expression" dxfId="4323" priority="3976">
      <formula>E50&gt;0</formula>
    </cfRule>
  </conditionalFormatting>
  <conditionalFormatting sqref="C50">
    <cfRule type="expression" dxfId="4322" priority="3975">
      <formula>E50&gt;0</formula>
    </cfRule>
  </conditionalFormatting>
  <conditionalFormatting sqref="C50">
    <cfRule type="expression" dxfId="4321" priority="3974">
      <formula>E50&gt;0</formula>
    </cfRule>
  </conditionalFormatting>
  <conditionalFormatting sqref="C50">
    <cfRule type="expression" dxfId="4320" priority="3973">
      <formula>E50&gt;0</formula>
    </cfRule>
  </conditionalFormatting>
  <conditionalFormatting sqref="C50">
    <cfRule type="expression" dxfId="4319" priority="3972">
      <formula>E50&gt;0</formula>
    </cfRule>
  </conditionalFormatting>
  <conditionalFormatting sqref="C50">
    <cfRule type="expression" dxfId="4318" priority="3971">
      <formula>E50&gt;0</formula>
    </cfRule>
  </conditionalFormatting>
  <conditionalFormatting sqref="C50">
    <cfRule type="expression" dxfId="4317" priority="3970">
      <formula>E50&gt;0</formula>
    </cfRule>
  </conditionalFormatting>
  <conditionalFormatting sqref="C50">
    <cfRule type="expression" dxfId="4316" priority="3969">
      <formula>E50&gt;0</formula>
    </cfRule>
  </conditionalFormatting>
  <conditionalFormatting sqref="C51">
    <cfRule type="expression" dxfId="4315" priority="3968">
      <formula>E51&gt;0</formula>
    </cfRule>
  </conditionalFormatting>
  <conditionalFormatting sqref="C52">
    <cfRule type="expression" dxfId="4314" priority="3967">
      <formula>E52&gt;0</formula>
    </cfRule>
  </conditionalFormatting>
  <conditionalFormatting sqref="C51:C52">
    <cfRule type="expression" dxfId="4313" priority="3966">
      <formula>E51&gt;0</formula>
    </cfRule>
  </conditionalFormatting>
  <conditionalFormatting sqref="C51:C52">
    <cfRule type="expression" dxfId="4312" priority="3965">
      <formula>E51&gt;0</formula>
    </cfRule>
  </conditionalFormatting>
  <conditionalFormatting sqref="C51:C52">
    <cfRule type="expression" dxfId="4311" priority="3964">
      <formula>E51&gt;0</formula>
    </cfRule>
  </conditionalFormatting>
  <conditionalFormatting sqref="C51:C52">
    <cfRule type="expression" dxfId="4310" priority="3963">
      <formula>E51&gt;0</formula>
    </cfRule>
  </conditionalFormatting>
  <conditionalFormatting sqref="C51">
    <cfRule type="expression" dxfId="4309" priority="3962">
      <formula>E51&gt;0</formula>
    </cfRule>
  </conditionalFormatting>
  <conditionalFormatting sqref="C52">
    <cfRule type="expression" dxfId="4308" priority="3961">
      <formula>E52&gt;0</formula>
    </cfRule>
  </conditionalFormatting>
  <conditionalFormatting sqref="C51">
    <cfRule type="expression" dxfId="4307" priority="3960">
      <formula>E51&gt;0</formula>
    </cfRule>
  </conditionalFormatting>
  <conditionalFormatting sqref="C51">
    <cfRule type="expression" dxfId="4306" priority="3959">
      <formula>E51&gt;0</formula>
    </cfRule>
  </conditionalFormatting>
  <conditionalFormatting sqref="C51">
    <cfRule type="expression" dxfId="4305" priority="3958">
      <formula>E51&gt;0</formula>
    </cfRule>
  </conditionalFormatting>
  <conditionalFormatting sqref="C51">
    <cfRule type="expression" dxfId="4304" priority="3957">
      <formula>E51&gt;0</formula>
    </cfRule>
  </conditionalFormatting>
  <conditionalFormatting sqref="C51">
    <cfRule type="expression" dxfId="4303" priority="3956">
      <formula>E51&gt;0</formula>
    </cfRule>
  </conditionalFormatting>
  <conditionalFormatting sqref="C52">
    <cfRule type="expression" dxfId="4302" priority="3955">
      <formula>E52&gt;0</formula>
    </cfRule>
  </conditionalFormatting>
  <conditionalFormatting sqref="C52">
    <cfRule type="expression" dxfId="4301" priority="3954">
      <formula>E52&gt;0</formula>
    </cfRule>
  </conditionalFormatting>
  <conditionalFormatting sqref="C51">
    <cfRule type="expression" dxfId="4300" priority="3953">
      <formula>E51&gt;0</formula>
    </cfRule>
  </conditionalFormatting>
  <conditionalFormatting sqref="C52">
    <cfRule type="expression" dxfId="4299" priority="3952">
      <formula>E52&gt;0</formula>
    </cfRule>
  </conditionalFormatting>
  <conditionalFormatting sqref="C51">
    <cfRule type="expression" dxfId="4298" priority="3951">
      <formula>E51&gt;0</formula>
    </cfRule>
  </conditionalFormatting>
  <conditionalFormatting sqref="C52">
    <cfRule type="expression" dxfId="4297" priority="3950">
      <formula>E52&gt;0</formula>
    </cfRule>
  </conditionalFormatting>
  <conditionalFormatting sqref="C51">
    <cfRule type="expression" dxfId="4296" priority="3949">
      <formula>E51&gt;0</formula>
    </cfRule>
  </conditionalFormatting>
  <conditionalFormatting sqref="C51">
    <cfRule type="expression" dxfId="4295" priority="3948">
      <formula>E51&gt;0</formula>
    </cfRule>
  </conditionalFormatting>
  <conditionalFormatting sqref="C51">
    <cfRule type="expression" dxfId="4294" priority="3947">
      <formula>E51&gt;0</formula>
    </cfRule>
  </conditionalFormatting>
  <conditionalFormatting sqref="C51">
    <cfRule type="expression" dxfId="4293" priority="3946">
      <formula>E51&gt;0</formula>
    </cfRule>
  </conditionalFormatting>
  <conditionalFormatting sqref="C51">
    <cfRule type="expression" dxfId="4292" priority="3945">
      <formula>E51&gt;0</formula>
    </cfRule>
  </conditionalFormatting>
  <conditionalFormatting sqref="C52">
    <cfRule type="expression" dxfId="4291" priority="3944">
      <formula>E52&gt;0</formula>
    </cfRule>
  </conditionalFormatting>
  <conditionalFormatting sqref="C51">
    <cfRule type="expression" dxfId="4290" priority="3943">
      <formula>E51&gt;0</formula>
    </cfRule>
  </conditionalFormatting>
  <conditionalFormatting sqref="C51">
    <cfRule type="expression" dxfId="4289" priority="3942">
      <formula>E51&gt;0</formula>
    </cfRule>
  </conditionalFormatting>
  <conditionalFormatting sqref="C51">
    <cfRule type="expression" dxfId="4288" priority="3941">
      <formula>E51&gt;0</formula>
    </cfRule>
  </conditionalFormatting>
  <conditionalFormatting sqref="C51">
    <cfRule type="expression" dxfId="4287" priority="3940">
      <formula>E51&gt;0</formula>
    </cfRule>
  </conditionalFormatting>
  <conditionalFormatting sqref="C52">
    <cfRule type="expression" dxfId="4286" priority="3939">
      <formula>E52&gt;0</formula>
    </cfRule>
  </conditionalFormatting>
  <conditionalFormatting sqref="C52">
    <cfRule type="expression" dxfId="4285" priority="3938">
      <formula>E52&gt;0</formula>
    </cfRule>
  </conditionalFormatting>
  <conditionalFormatting sqref="C51">
    <cfRule type="expression" dxfId="4284" priority="3937">
      <formula>E51&gt;0</formula>
    </cfRule>
  </conditionalFormatting>
  <conditionalFormatting sqref="C52">
    <cfRule type="expression" dxfId="4283" priority="3936">
      <formula>E52&gt;0</formula>
    </cfRule>
  </conditionalFormatting>
  <conditionalFormatting sqref="C51">
    <cfRule type="expression" dxfId="4282" priority="3935">
      <formula>E51&gt;0</formula>
    </cfRule>
  </conditionalFormatting>
  <conditionalFormatting sqref="C52">
    <cfRule type="expression" dxfId="4281" priority="3934">
      <formula>E52&gt;0</formula>
    </cfRule>
  </conditionalFormatting>
  <conditionalFormatting sqref="C49:C52">
    <cfRule type="expression" dxfId="4280" priority="3933">
      <formula>E49&gt;0</formula>
    </cfRule>
  </conditionalFormatting>
  <conditionalFormatting sqref="C49:C52">
    <cfRule type="expression" dxfId="4279" priority="3932">
      <formula>E49&gt;0</formula>
    </cfRule>
  </conditionalFormatting>
  <conditionalFormatting sqref="C49:C52">
    <cfRule type="expression" dxfId="4278" priority="3931">
      <formula>E49&gt;0</formula>
    </cfRule>
  </conditionalFormatting>
  <conditionalFormatting sqref="C49:C52">
    <cfRule type="expression" dxfId="4277" priority="3930">
      <formula>E49&gt;0</formula>
    </cfRule>
  </conditionalFormatting>
  <conditionalFormatting sqref="C49">
    <cfRule type="expression" dxfId="4276" priority="3929">
      <formula>E49&gt;0</formula>
    </cfRule>
  </conditionalFormatting>
  <conditionalFormatting sqref="C50">
    <cfRule type="expression" dxfId="4275" priority="3928">
      <formula>E50&gt;0</formula>
    </cfRule>
  </conditionalFormatting>
  <conditionalFormatting sqref="C50">
    <cfRule type="expression" dxfId="4274" priority="3927">
      <formula>E50&gt;0</formula>
    </cfRule>
  </conditionalFormatting>
  <conditionalFormatting sqref="C51">
    <cfRule type="expression" dxfId="4273" priority="3926">
      <formula>E51&gt;0</formula>
    </cfRule>
  </conditionalFormatting>
  <conditionalFormatting sqref="C52">
    <cfRule type="expression" dxfId="4272" priority="3925">
      <formula>E52&gt;0</formula>
    </cfRule>
  </conditionalFormatting>
  <conditionalFormatting sqref="C50">
    <cfRule type="expression" dxfId="4271" priority="3924">
      <formula>E50&gt;0</formula>
    </cfRule>
  </conditionalFormatting>
  <conditionalFormatting sqref="C51">
    <cfRule type="expression" dxfId="4270" priority="3923">
      <formula>E51&gt;0</formula>
    </cfRule>
  </conditionalFormatting>
  <conditionalFormatting sqref="C52">
    <cfRule type="expression" dxfId="4269" priority="3922">
      <formula>E52&gt;0</formula>
    </cfRule>
  </conditionalFormatting>
  <conditionalFormatting sqref="C53:C54">
    <cfRule type="expression" dxfId="4268" priority="3921">
      <formula>E53&gt;0</formula>
    </cfRule>
  </conditionalFormatting>
  <conditionalFormatting sqref="C53:C54">
    <cfRule type="expression" dxfId="4267" priority="3920">
      <formula>E53&gt;0</formula>
    </cfRule>
  </conditionalFormatting>
  <conditionalFormatting sqref="C53:C54">
    <cfRule type="expression" dxfId="4266" priority="3919">
      <formula>E53&gt;0</formula>
    </cfRule>
  </conditionalFormatting>
  <conditionalFormatting sqref="C53:C54">
    <cfRule type="expression" dxfId="4265" priority="3918">
      <formula>E53&gt;0</formula>
    </cfRule>
  </conditionalFormatting>
  <conditionalFormatting sqref="C53">
    <cfRule type="expression" dxfId="4264" priority="3917">
      <formula>E53&gt;0</formula>
    </cfRule>
  </conditionalFormatting>
  <conditionalFormatting sqref="C53">
    <cfRule type="expression" dxfId="4263" priority="3916">
      <formula>E53&gt;0</formula>
    </cfRule>
  </conditionalFormatting>
  <conditionalFormatting sqref="C53">
    <cfRule type="expression" dxfId="4262" priority="3915">
      <formula>E53&gt;0</formula>
    </cfRule>
  </conditionalFormatting>
  <conditionalFormatting sqref="C53">
    <cfRule type="expression" dxfId="4261" priority="3914">
      <formula>E53&gt;0</formula>
    </cfRule>
  </conditionalFormatting>
  <conditionalFormatting sqref="C53">
    <cfRule type="expression" dxfId="4260" priority="3913">
      <formula>E53&gt;0</formula>
    </cfRule>
  </conditionalFormatting>
  <conditionalFormatting sqref="C53">
    <cfRule type="expression" dxfId="4259" priority="3912">
      <formula>E53&gt;0</formula>
    </cfRule>
  </conditionalFormatting>
  <conditionalFormatting sqref="C53">
    <cfRule type="expression" dxfId="4258" priority="3911">
      <formula>E53&gt;0</formula>
    </cfRule>
  </conditionalFormatting>
  <conditionalFormatting sqref="C54">
    <cfRule type="expression" dxfId="4257" priority="3910">
      <formula>E54&gt;0</formula>
    </cfRule>
  </conditionalFormatting>
  <conditionalFormatting sqref="C33:C52">
    <cfRule type="expression" dxfId="4256" priority="3909">
      <formula>E33&gt;0</formula>
    </cfRule>
  </conditionalFormatting>
  <conditionalFormatting sqref="C33:C52">
    <cfRule type="expression" dxfId="4255" priority="3908">
      <formula>E33&gt;0</formula>
    </cfRule>
  </conditionalFormatting>
  <conditionalFormatting sqref="C33:C52">
    <cfRule type="expression" dxfId="4254" priority="3907">
      <formula>E33&gt;0</formula>
    </cfRule>
  </conditionalFormatting>
  <conditionalFormatting sqref="C33:C52">
    <cfRule type="expression" dxfId="4253" priority="3906">
      <formula>E33&gt;0</formula>
    </cfRule>
  </conditionalFormatting>
  <conditionalFormatting sqref="C33:C52">
    <cfRule type="expression" dxfId="4252" priority="3905">
      <formula>E33&gt;0</formula>
    </cfRule>
  </conditionalFormatting>
  <conditionalFormatting sqref="C33:C52">
    <cfRule type="expression" dxfId="4251" priority="3904">
      <formula>E33&gt;0</formula>
    </cfRule>
  </conditionalFormatting>
  <conditionalFormatting sqref="C33:C52">
    <cfRule type="expression" dxfId="4250" priority="3903">
      <formula>E33&gt;0</formula>
    </cfRule>
  </conditionalFormatting>
  <conditionalFormatting sqref="C33:C52">
    <cfRule type="expression" dxfId="4249" priority="3902">
      <formula>E33&gt;0</formula>
    </cfRule>
  </conditionalFormatting>
  <conditionalFormatting sqref="C33:C52">
    <cfRule type="expression" dxfId="4248" priority="3901">
      <formula>E33&gt;0</formula>
    </cfRule>
  </conditionalFormatting>
  <conditionalFormatting sqref="C33:C52">
    <cfRule type="expression" dxfId="4247" priority="3900">
      <formula>E33&gt;0</formula>
    </cfRule>
  </conditionalFormatting>
  <conditionalFormatting sqref="C33:C52">
    <cfRule type="expression" dxfId="4246" priority="3899">
      <formula>E33&gt;0</formula>
    </cfRule>
  </conditionalFormatting>
  <conditionalFormatting sqref="C33:C52">
    <cfRule type="expression" dxfId="4245" priority="3898">
      <formula>E33&gt;0</formula>
    </cfRule>
  </conditionalFormatting>
  <conditionalFormatting sqref="C33:C52">
    <cfRule type="expression" dxfId="4244" priority="3897">
      <formula>E33&gt;0</formula>
    </cfRule>
  </conditionalFormatting>
  <conditionalFormatting sqref="C33:C52">
    <cfRule type="expression" dxfId="4243" priority="3896">
      <formula>E33&gt;0</formula>
    </cfRule>
  </conditionalFormatting>
  <conditionalFormatting sqref="C33:C52">
    <cfRule type="expression" dxfId="4242" priority="3895">
      <formula>E33&gt;0</formula>
    </cfRule>
  </conditionalFormatting>
  <conditionalFormatting sqref="C33:C52">
    <cfRule type="expression" dxfId="4241" priority="3894">
      <formula>E33&gt;0</formula>
    </cfRule>
  </conditionalFormatting>
  <conditionalFormatting sqref="C33:C52">
    <cfRule type="expression" dxfId="4240" priority="3893">
      <formula>E33&gt;0</formula>
    </cfRule>
  </conditionalFormatting>
  <conditionalFormatting sqref="C33:C52">
    <cfRule type="expression" dxfId="4239" priority="3892">
      <formula>E33&gt;0</formula>
    </cfRule>
  </conditionalFormatting>
  <conditionalFormatting sqref="C33:C52">
    <cfRule type="expression" dxfId="4238" priority="3891">
      <formula>E33&gt;0</formula>
    </cfRule>
  </conditionalFormatting>
  <conditionalFormatting sqref="C33:C52">
    <cfRule type="expression" dxfId="4237" priority="3890">
      <formula>E33&gt;0</formula>
    </cfRule>
  </conditionalFormatting>
  <conditionalFormatting sqref="C33:C52">
    <cfRule type="expression" dxfId="4236" priority="3889">
      <formula>E33&gt;0</formula>
    </cfRule>
  </conditionalFormatting>
  <conditionalFormatting sqref="C33:C52">
    <cfRule type="expression" dxfId="4235" priority="3888">
      <formula>E33&gt;0</formula>
    </cfRule>
  </conditionalFormatting>
  <conditionalFormatting sqref="C33:C52">
    <cfRule type="expression" dxfId="4234" priority="3887">
      <formula>E33&gt;0</formula>
    </cfRule>
  </conditionalFormatting>
  <conditionalFormatting sqref="C33:C52">
    <cfRule type="expression" dxfId="4233" priority="3886">
      <formula>E33&gt;0</formula>
    </cfRule>
  </conditionalFormatting>
  <conditionalFormatting sqref="C33:C52">
    <cfRule type="expression" dxfId="4232" priority="3885">
      <formula>E33&gt;0</formula>
    </cfRule>
  </conditionalFormatting>
  <conditionalFormatting sqref="C33:C52">
    <cfRule type="expression" dxfId="4231" priority="3884">
      <formula>E33&gt;0</formula>
    </cfRule>
  </conditionalFormatting>
  <conditionalFormatting sqref="C33:C52">
    <cfRule type="expression" dxfId="4230" priority="3883">
      <formula>E33&gt;0</formula>
    </cfRule>
  </conditionalFormatting>
  <conditionalFormatting sqref="C33:C52">
    <cfRule type="expression" dxfId="4229" priority="3882">
      <formula>E33&gt;0</formula>
    </cfRule>
  </conditionalFormatting>
  <conditionalFormatting sqref="C33:C52">
    <cfRule type="expression" dxfId="4228" priority="3881">
      <formula>E33&gt;0</formula>
    </cfRule>
  </conditionalFormatting>
  <conditionalFormatting sqref="C33:C52">
    <cfRule type="expression" dxfId="4227" priority="3880">
      <formula>E33&gt;0</formula>
    </cfRule>
  </conditionalFormatting>
  <conditionalFormatting sqref="C33:C52">
    <cfRule type="expression" dxfId="4226" priority="3879">
      <formula>E33&gt;0</formula>
    </cfRule>
  </conditionalFormatting>
  <conditionalFormatting sqref="C33:C52">
    <cfRule type="expression" dxfId="4225" priority="3878">
      <formula>E33&gt;0</formula>
    </cfRule>
  </conditionalFormatting>
  <conditionalFormatting sqref="C33:C52">
    <cfRule type="expression" dxfId="4224" priority="3877">
      <formula>E33&gt;0</formula>
    </cfRule>
  </conditionalFormatting>
  <conditionalFormatting sqref="C33:C52">
    <cfRule type="expression" dxfId="4223" priority="3876">
      <formula>E33&gt;0</formula>
    </cfRule>
  </conditionalFormatting>
  <conditionalFormatting sqref="C33:C52">
    <cfRule type="expression" dxfId="4222" priority="3875">
      <formula>E33&gt;0</formula>
    </cfRule>
  </conditionalFormatting>
  <conditionalFormatting sqref="C33:C52">
    <cfRule type="expression" dxfId="4221" priority="3874">
      <formula>E33&gt;0</formula>
    </cfRule>
  </conditionalFormatting>
  <conditionalFormatting sqref="C33:C52">
    <cfRule type="expression" dxfId="4220" priority="3873">
      <formula>E33&gt;0</formula>
    </cfRule>
  </conditionalFormatting>
  <conditionalFormatting sqref="C33:C52">
    <cfRule type="expression" dxfId="4219" priority="3872">
      <formula>E33&gt;0</formula>
    </cfRule>
  </conditionalFormatting>
  <conditionalFormatting sqref="C33:C52">
    <cfRule type="expression" dxfId="4218" priority="3871">
      <formula>E33&gt;0</formula>
    </cfRule>
  </conditionalFormatting>
  <conditionalFormatting sqref="C33:C52">
    <cfRule type="expression" dxfId="4217" priority="3870">
      <formula>E33&gt;0</formula>
    </cfRule>
  </conditionalFormatting>
  <conditionalFormatting sqref="C33:C52">
    <cfRule type="expression" dxfId="4216" priority="3869">
      <formula>E33&gt;0</formula>
    </cfRule>
  </conditionalFormatting>
  <conditionalFormatting sqref="C33:C52">
    <cfRule type="expression" dxfId="4215" priority="3868">
      <formula>E33&gt;0</formula>
    </cfRule>
  </conditionalFormatting>
  <conditionalFormatting sqref="C33:C52">
    <cfRule type="expression" dxfId="4214" priority="3867">
      <formula>E33&gt;0</formula>
    </cfRule>
  </conditionalFormatting>
  <conditionalFormatting sqref="C33:C52">
    <cfRule type="expression" dxfId="4213" priority="3866">
      <formula>E33&gt;0</formula>
    </cfRule>
  </conditionalFormatting>
  <conditionalFormatting sqref="C33:C52">
    <cfRule type="expression" dxfId="4212" priority="3865">
      <formula>E33&gt;0</formula>
    </cfRule>
  </conditionalFormatting>
  <conditionalFormatting sqref="C33:C52">
    <cfRule type="expression" dxfId="4211" priority="3864">
      <formula>E33&gt;0</formula>
    </cfRule>
  </conditionalFormatting>
  <conditionalFormatting sqref="C33:C52">
    <cfRule type="expression" dxfId="4210" priority="3863">
      <formula>E33&gt;0</formula>
    </cfRule>
  </conditionalFormatting>
  <conditionalFormatting sqref="C33:C52">
    <cfRule type="expression" dxfId="4209" priority="3862">
      <formula>E33&gt;0</formula>
    </cfRule>
  </conditionalFormatting>
  <conditionalFormatting sqref="C33:C52">
    <cfRule type="expression" dxfId="4208" priority="3861">
      <formula>E33&gt;0</formula>
    </cfRule>
  </conditionalFormatting>
  <conditionalFormatting sqref="C33:C52">
    <cfRule type="expression" dxfId="4207" priority="3860">
      <formula>E33&gt;0</formula>
    </cfRule>
  </conditionalFormatting>
  <conditionalFormatting sqref="C33:C52">
    <cfRule type="expression" dxfId="4206" priority="3859">
      <formula>E33&gt;0</formula>
    </cfRule>
  </conditionalFormatting>
  <conditionalFormatting sqref="C33:C52">
    <cfRule type="expression" dxfId="4205" priority="3858">
      <formula>E33&gt;0</formula>
    </cfRule>
  </conditionalFormatting>
  <conditionalFormatting sqref="C33:C52">
    <cfRule type="expression" dxfId="4204" priority="3857">
      <formula>E33&gt;0</formula>
    </cfRule>
  </conditionalFormatting>
  <conditionalFormatting sqref="C33:C52">
    <cfRule type="expression" dxfId="4203" priority="3856">
      <formula>E33&gt;0</formula>
    </cfRule>
  </conditionalFormatting>
  <conditionalFormatting sqref="C33:C52">
    <cfRule type="expression" dxfId="4202" priority="3855">
      <formula>E33&gt;0</formula>
    </cfRule>
  </conditionalFormatting>
  <conditionalFormatting sqref="C33:C52">
    <cfRule type="expression" dxfId="4201" priority="3854">
      <formula>E33&gt;0</formula>
    </cfRule>
  </conditionalFormatting>
  <conditionalFormatting sqref="C33:C52">
    <cfRule type="expression" dxfId="4200" priority="3853">
      <formula>E33&gt;0</formula>
    </cfRule>
  </conditionalFormatting>
  <conditionalFormatting sqref="C33:C52">
    <cfRule type="expression" dxfId="4199" priority="3852">
      <formula>E33&gt;0</formula>
    </cfRule>
  </conditionalFormatting>
  <conditionalFormatting sqref="C33:C52">
    <cfRule type="expression" dxfId="4198" priority="3851">
      <formula>E33&gt;0</formula>
    </cfRule>
  </conditionalFormatting>
  <conditionalFormatting sqref="C33:C52">
    <cfRule type="expression" dxfId="4197" priority="3850">
      <formula>E33&gt;0</formula>
    </cfRule>
  </conditionalFormatting>
  <conditionalFormatting sqref="C33:C52">
    <cfRule type="expression" dxfId="4196" priority="3849">
      <formula>E33&gt;0</formula>
    </cfRule>
  </conditionalFormatting>
  <conditionalFormatting sqref="C33:C52">
    <cfRule type="expression" dxfId="4195" priority="3848">
      <formula>E33&gt;0</formula>
    </cfRule>
  </conditionalFormatting>
  <conditionalFormatting sqref="C33:C52">
    <cfRule type="expression" dxfId="4194" priority="3847">
      <formula>E33&gt;0</formula>
    </cfRule>
  </conditionalFormatting>
  <conditionalFormatting sqref="C33:C52">
    <cfRule type="expression" dxfId="4193" priority="3846">
      <formula>E33&gt;0</formula>
    </cfRule>
  </conditionalFormatting>
  <conditionalFormatting sqref="C33:C52">
    <cfRule type="expression" dxfId="4192" priority="3845">
      <formula>E33&gt;0</formula>
    </cfRule>
  </conditionalFormatting>
  <conditionalFormatting sqref="C33:C52">
    <cfRule type="expression" dxfId="4191" priority="3844">
      <formula>E33&gt;0</formula>
    </cfRule>
  </conditionalFormatting>
  <conditionalFormatting sqref="C33:C52">
    <cfRule type="expression" dxfId="4190" priority="3843">
      <formula>E33&gt;0</formula>
    </cfRule>
  </conditionalFormatting>
  <conditionalFormatting sqref="C33:C52">
    <cfRule type="expression" dxfId="4189" priority="3842">
      <formula>E33&gt;0</formula>
    </cfRule>
  </conditionalFormatting>
  <conditionalFormatting sqref="C33:C52">
    <cfRule type="expression" dxfId="4188" priority="3841">
      <formula>E33&gt;0</formula>
    </cfRule>
  </conditionalFormatting>
  <conditionalFormatting sqref="C33:C52">
    <cfRule type="expression" dxfId="4187" priority="3840">
      <formula>E33&gt;0</formula>
    </cfRule>
  </conditionalFormatting>
  <conditionalFormatting sqref="C33:C52">
    <cfRule type="expression" dxfId="4186" priority="3839">
      <formula>E33&gt;0</formula>
    </cfRule>
  </conditionalFormatting>
  <conditionalFormatting sqref="C33:C52">
    <cfRule type="expression" dxfId="4185" priority="3838">
      <formula>E33&gt;0</formula>
    </cfRule>
  </conditionalFormatting>
  <conditionalFormatting sqref="C33:C52">
    <cfRule type="expression" dxfId="4184" priority="3837">
      <formula>E33&gt;0</formula>
    </cfRule>
  </conditionalFormatting>
  <conditionalFormatting sqref="C33:C52">
    <cfRule type="expression" dxfId="4183" priority="3836">
      <formula>E33&gt;0</formula>
    </cfRule>
  </conditionalFormatting>
  <conditionalFormatting sqref="C33:C52">
    <cfRule type="expression" dxfId="4182" priority="3835">
      <formula>E33&gt;0</formula>
    </cfRule>
  </conditionalFormatting>
  <conditionalFormatting sqref="C33:C52">
    <cfRule type="expression" dxfId="4181" priority="3834">
      <formula>E33&gt;0</formula>
    </cfRule>
  </conditionalFormatting>
  <conditionalFormatting sqref="C33:C52">
    <cfRule type="expression" dxfId="4180" priority="3833">
      <formula>E33&gt;0</formula>
    </cfRule>
  </conditionalFormatting>
  <conditionalFormatting sqref="C33:C52">
    <cfRule type="expression" dxfId="4179" priority="3832">
      <formula>E33&gt;0</formula>
    </cfRule>
  </conditionalFormatting>
  <conditionalFormatting sqref="C33:C52">
    <cfRule type="expression" dxfId="4178" priority="3831">
      <formula>E33&gt;0</formula>
    </cfRule>
  </conditionalFormatting>
  <conditionalFormatting sqref="C33:C52">
    <cfRule type="expression" dxfId="4177" priority="3830">
      <formula>E33&gt;0</formula>
    </cfRule>
  </conditionalFormatting>
  <conditionalFormatting sqref="C33:C52">
    <cfRule type="expression" dxfId="4176" priority="3829">
      <formula>E33&gt;0</formula>
    </cfRule>
  </conditionalFormatting>
  <conditionalFormatting sqref="C33:C52">
    <cfRule type="expression" dxfId="4175" priority="3828">
      <formula>E33&gt;0</formula>
    </cfRule>
  </conditionalFormatting>
  <conditionalFormatting sqref="C33:C52">
    <cfRule type="expression" dxfId="4174" priority="3827">
      <formula>E33&gt;0</formula>
    </cfRule>
  </conditionalFormatting>
  <conditionalFormatting sqref="C33:C52">
    <cfRule type="expression" dxfId="4173" priority="3826">
      <formula>E33&gt;0</formula>
    </cfRule>
  </conditionalFormatting>
  <conditionalFormatting sqref="C33:C52">
    <cfRule type="expression" dxfId="4172" priority="3825">
      <formula>E33&gt;0</formula>
    </cfRule>
  </conditionalFormatting>
  <conditionalFormatting sqref="C33:C52">
    <cfRule type="expression" dxfId="4171" priority="3824">
      <formula>E33&gt;0</formula>
    </cfRule>
  </conditionalFormatting>
  <conditionalFormatting sqref="C33:C52">
    <cfRule type="expression" dxfId="4170" priority="3823">
      <formula>E33&gt;0</formula>
    </cfRule>
  </conditionalFormatting>
  <conditionalFormatting sqref="C33:C52">
    <cfRule type="expression" dxfId="4169" priority="3822">
      <formula>E33&gt;0</formula>
    </cfRule>
  </conditionalFormatting>
  <conditionalFormatting sqref="C33:C52">
    <cfRule type="expression" dxfId="4168" priority="3821">
      <formula>E33&gt;0</formula>
    </cfRule>
  </conditionalFormatting>
  <conditionalFormatting sqref="C33:C52">
    <cfRule type="expression" dxfId="4167" priority="3820">
      <formula>E33&gt;0</formula>
    </cfRule>
  </conditionalFormatting>
  <conditionalFormatting sqref="C33:C52">
    <cfRule type="expression" dxfId="4166" priority="3819">
      <formula>E33&gt;0</formula>
    </cfRule>
  </conditionalFormatting>
  <conditionalFormatting sqref="C33:C52">
    <cfRule type="expression" dxfId="4165" priority="3818">
      <formula>E33&gt;0</formula>
    </cfRule>
  </conditionalFormatting>
  <conditionalFormatting sqref="C33:C52">
    <cfRule type="expression" dxfId="4164" priority="3817">
      <formula>E33&gt;0</formula>
    </cfRule>
  </conditionalFormatting>
  <conditionalFormatting sqref="C33:C52">
    <cfRule type="expression" dxfId="4163" priority="3816">
      <formula>E33&gt;0</formula>
    </cfRule>
  </conditionalFormatting>
  <conditionalFormatting sqref="C33:C52">
    <cfRule type="expression" dxfId="4162" priority="3815">
      <formula>E33&gt;0</formula>
    </cfRule>
  </conditionalFormatting>
  <conditionalFormatting sqref="C33:C52">
    <cfRule type="expression" dxfId="4161" priority="3814">
      <formula>E33&gt;0</formula>
    </cfRule>
  </conditionalFormatting>
  <conditionalFormatting sqref="C33:C52">
    <cfRule type="expression" dxfId="4160" priority="3813">
      <formula>E33&gt;0</formula>
    </cfRule>
  </conditionalFormatting>
  <conditionalFormatting sqref="C33:C52">
    <cfRule type="expression" dxfId="4159" priority="3812">
      <formula>E33&gt;0</formula>
    </cfRule>
  </conditionalFormatting>
  <conditionalFormatting sqref="C33:C52">
    <cfRule type="expression" dxfId="4158" priority="3811">
      <formula>E33&gt;0</formula>
    </cfRule>
  </conditionalFormatting>
  <conditionalFormatting sqref="C33:C52">
    <cfRule type="expression" dxfId="4157" priority="3810">
      <formula>E33&gt;0</formula>
    </cfRule>
  </conditionalFormatting>
  <conditionalFormatting sqref="C55">
    <cfRule type="expression" dxfId="4156" priority="3809">
      <formula>E55&gt;0</formula>
    </cfRule>
  </conditionalFormatting>
  <conditionalFormatting sqref="C55">
    <cfRule type="expression" dxfId="4155" priority="3808">
      <formula>E55&gt;0</formula>
    </cfRule>
  </conditionalFormatting>
  <conditionalFormatting sqref="C55">
    <cfRule type="expression" dxfId="4154" priority="3807">
      <formula>E55&gt;0</formula>
    </cfRule>
  </conditionalFormatting>
  <conditionalFormatting sqref="C55">
    <cfRule type="expression" dxfId="4153" priority="3806">
      <formula>E55&gt;0</formula>
    </cfRule>
  </conditionalFormatting>
  <conditionalFormatting sqref="C55">
    <cfRule type="expression" dxfId="4152" priority="3805">
      <formula>E55&gt;0</formula>
    </cfRule>
  </conditionalFormatting>
  <conditionalFormatting sqref="C79">
    <cfRule type="expression" dxfId="4151" priority="3804">
      <formula>E79&gt;0</formula>
    </cfRule>
  </conditionalFormatting>
  <conditionalFormatting sqref="C80">
    <cfRule type="expression" dxfId="4150" priority="3803">
      <formula>E80&gt;0</formula>
    </cfRule>
  </conditionalFormatting>
  <conditionalFormatting sqref="C79">
    <cfRule type="expression" dxfId="4149" priority="3802">
      <formula>E79&gt;0</formula>
    </cfRule>
  </conditionalFormatting>
  <conditionalFormatting sqref="C80">
    <cfRule type="expression" dxfId="4148" priority="3801">
      <formula>E80&gt;0</formula>
    </cfRule>
  </conditionalFormatting>
  <conditionalFormatting sqref="C79">
    <cfRule type="expression" dxfId="4147" priority="3800">
      <formula>E79&gt;0</formula>
    </cfRule>
  </conditionalFormatting>
  <conditionalFormatting sqref="C80">
    <cfRule type="expression" dxfId="4146" priority="3799">
      <formula>E80&gt;0</formula>
    </cfRule>
  </conditionalFormatting>
  <conditionalFormatting sqref="C79">
    <cfRule type="expression" dxfId="4145" priority="3798">
      <formula>E79&gt;0</formula>
    </cfRule>
  </conditionalFormatting>
  <conditionalFormatting sqref="C80">
    <cfRule type="expression" dxfId="4144" priority="3797">
      <formula>E80&gt;0</formula>
    </cfRule>
  </conditionalFormatting>
  <conditionalFormatting sqref="C80">
    <cfRule type="expression" dxfId="4143" priority="3796">
      <formula>E80&gt;0</formula>
    </cfRule>
  </conditionalFormatting>
  <conditionalFormatting sqref="C80">
    <cfRule type="expression" dxfId="4142" priority="3795">
      <formula>E80&gt;0</formula>
    </cfRule>
  </conditionalFormatting>
  <conditionalFormatting sqref="C80">
    <cfRule type="expression" dxfId="4141" priority="3794">
      <formula>E80&gt;0</formula>
    </cfRule>
  </conditionalFormatting>
  <conditionalFormatting sqref="C80">
    <cfRule type="expression" dxfId="4140" priority="3793">
      <formula>E80&gt;0</formula>
    </cfRule>
  </conditionalFormatting>
  <conditionalFormatting sqref="C80">
    <cfRule type="expression" dxfId="4139" priority="3792">
      <formula>E80&gt;0</formula>
    </cfRule>
  </conditionalFormatting>
  <conditionalFormatting sqref="C80">
    <cfRule type="expression" dxfId="4138" priority="3791">
      <formula>E80&gt;0</formula>
    </cfRule>
  </conditionalFormatting>
  <conditionalFormatting sqref="C80">
    <cfRule type="expression" dxfId="4137" priority="3790">
      <formula>E80&gt;0</formula>
    </cfRule>
  </conditionalFormatting>
  <conditionalFormatting sqref="C80">
    <cfRule type="expression" dxfId="4136" priority="3789">
      <formula>E80&gt;0</formula>
    </cfRule>
  </conditionalFormatting>
  <conditionalFormatting sqref="C80">
    <cfRule type="expression" dxfId="4135" priority="3788">
      <formula>E80&gt;0</formula>
    </cfRule>
  </conditionalFormatting>
  <conditionalFormatting sqref="C80">
    <cfRule type="expression" dxfId="4134" priority="3787">
      <formula>E80&gt;0</formula>
    </cfRule>
  </conditionalFormatting>
  <conditionalFormatting sqref="C80">
    <cfRule type="expression" dxfId="4133" priority="3786">
      <formula>E80&gt;0</formula>
    </cfRule>
  </conditionalFormatting>
  <conditionalFormatting sqref="C80">
    <cfRule type="expression" dxfId="4132" priority="3785">
      <formula>E80&gt;0</formula>
    </cfRule>
  </conditionalFormatting>
  <conditionalFormatting sqref="C80">
    <cfRule type="expression" dxfId="4131" priority="3784">
      <formula>E80&gt;0</formula>
    </cfRule>
  </conditionalFormatting>
  <conditionalFormatting sqref="C80">
    <cfRule type="expression" dxfId="4130" priority="3783">
      <formula>E80&gt;0</formula>
    </cfRule>
  </conditionalFormatting>
  <conditionalFormatting sqref="C80">
    <cfRule type="expression" dxfId="4129" priority="3782">
      <formula>E80&gt;0</formula>
    </cfRule>
  </conditionalFormatting>
  <conditionalFormatting sqref="C80">
    <cfRule type="expression" dxfId="4128" priority="3781">
      <formula>E80&gt;0</formula>
    </cfRule>
  </conditionalFormatting>
  <conditionalFormatting sqref="C80">
    <cfRule type="expression" dxfId="4127" priority="3780">
      <formula>E80&gt;0</formula>
    </cfRule>
  </conditionalFormatting>
  <conditionalFormatting sqref="C79">
    <cfRule type="expression" dxfId="4126" priority="3779">
      <formula>E79&gt;0</formula>
    </cfRule>
  </conditionalFormatting>
  <conditionalFormatting sqref="C80">
    <cfRule type="expression" dxfId="4125" priority="3778">
      <formula>E80&gt;0</formula>
    </cfRule>
  </conditionalFormatting>
  <conditionalFormatting sqref="C79">
    <cfRule type="expression" dxfId="4124" priority="3777">
      <formula>E79&gt;0</formula>
    </cfRule>
  </conditionalFormatting>
  <conditionalFormatting sqref="C80">
    <cfRule type="expression" dxfId="4123" priority="3776">
      <formula>E80&gt;0</formula>
    </cfRule>
  </conditionalFormatting>
  <conditionalFormatting sqref="C79">
    <cfRule type="expression" dxfId="4122" priority="3775">
      <formula>E79&gt;0</formula>
    </cfRule>
  </conditionalFormatting>
  <conditionalFormatting sqref="C80">
    <cfRule type="expression" dxfId="4121" priority="3774">
      <formula>E80&gt;0</formula>
    </cfRule>
  </conditionalFormatting>
  <conditionalFormatting sqref="C80">
    <cfRule type="expression" dxfId="4120" priority="3773">
      <formula>E80&gt;0</formula>
    </cfRule>
  </conditionalFormatting>
  <conditionalFormatting sqref="C80">
    <cfRule type="expression" dxfId="4119" priority="3772">
      <formula>E80&gt;0</formula>
    </cfRule>
  </conditionalFormatting>
  <conditionalFormatting sqref="C79">
    <cfRule type="expression" dxfId="4118" priority="3771">
      <formula>E79&gt;0</formula>
    </cfRule>
  </conditionalFormatting>
  <conditionalFormatting sqref="C56">
    <cfRule type="expression" dxfId="4117" priority="3770">
      <formula>E56&gt;0</formula>
    </cfRule>
  </conditionalFormatting>
  <conditionalFormatting sqref="C57">
    <cfRule type="expression" dxfId="4116" priority="3769">
      <formula>E57&gt;0</formula>
    </cfRule>
  </conditionalFormatting>
  <conditionalFormatting sqref="C58">
    <cfRule type="expression" dxfId="4115" priority="3768">
      <formula>E58&gt;0</formula>
    </cfRule>
  </conditionalFormatting>
  <conditionalFormatting sqref="C59">
    <cfRule type="expression" dxfId="4114" priority="3767">
      <formula>E59&gt;0</formula>
    </cfRule>
  </conditionalFormatting>
  <conditionalFormatting sqref="C60">
    <cfRule type="expression" dxfId="4113" priority="3766">
      <formula>E60&gt;0</formula>
    </cfRule>
  </conditionalFormatting>
  <conditionalFormatting sqref="C61">
    <cfRule type="expression" dxfId="4112" priority="3765">
      <formula>E61&gt;0</formula>
    </cfRule>
  </conditionalFormatting>
  <conditionalFormatting sqref="C62">
    <cfRule type="expression" dxfId="4111" priority="3764">
      <formula>E62&gt;0</formula>
    </cfRule>
  </conditionalFormatting>
  <conditionalFormatting sqref="C63">
    <cfRule type="expression" dxfId="4110" priority="3763">
      <formula>E63&gt;0</formula>
    </cfRule>
  </conditionalFormatting>
  <conditionalFormatting sqref="C64">
    <cfRule type="expression" dxfId="4109" priority="3762">
      <formula>E64&gt;0</formula>
    </cfRule>
  </conditionalFormatting>
  <conditionalFormatting sqref="C57">
    <cfRule type="expression" dxfId="4108" priority="3761">
      <formula>E57&gt;0</formula>
    </cfRule>
  </conditionalFormatting>
  <conditionalFormatting sqref="C58">
    <cfRule type="expression" dxfId="4107" priority="3760">
      <formula>E58&gt;0</formula>
    </cfRule>
  </conditionalFormatting>
  <conditionalFormatting sqref="C57">
    <cfRule type="expression" dxfId="4106" priority="3759">
      <formula>E57&gt;0</formula>
    </cfRule>
  </conditionalFormatting>
  <conditionalFormatting sqref="C58">
    <cfRule type="expression" dxfId="4105" priority="3758">
      <formula>E58&gt;0</formula>
    </cfRule>
  </conditionalFormatting>
  <conditionalFormatting sqref="C58">
    <cfRule type="expression" dxfId="4104" priority="3757">
      <formula>E58&gt;0</formula>
    </cfRule>
  </conditionalFormatting>
  <conditionalFormatting sqref="C58">
    <cfRule type="expression" dxfId="4103" priority="3756">
      <formula>E58&gt;0</formula>
    </cfRule>
  </conditionalFormatting>
  <conditionalFormatting sqref="C58">
    <cfRule type="expression" dxfId="4102" priority="3755">
      <formula>E58&gt;0</formula>
    </cfRule>
  </conditionalFormatting>
  <conditionalFormatting sqref="C58">
    <cfRule type="expression" dxfId="4101" priority="3754">
      <formula>E58&gt;0</formula>
    </cfRule>
  </conditionalFormatting>
  <conditionalFormatting sqref="C58">
    <cfRule type="expression" dxfId="4100" priority="3753">
      <formula>E58&gt;0</formula>
    </cfRule>
  </conditionalFormatting>
  <conditionalFormatting sqref="C58">
    <cfRule type="expression" dxfId="4099" priority="3752">
      <formula>E58&gt;0</formula>
    </cfRule>
  </conditionalFormatting>
  <conditionalFormatting sqref="C58">
    <cfRule type="expression" dxfId="4098" priority="3751">
      <formula>E58&gt;0</formula>
    </cfRule>
  </conditionalFormatting>
  <conditionalFormatting sqref="C58">
    <cfRule type="expression" dxfId="4097" priority="3750">
      <formula>E58&gt;0</formula>
    </cfRule>
  </conditionalFormatting>
  <conditionalFormatting sqref="C58">
    <cfRule type="expression" dxfId="4096" priority="3749">
      <formula>E58&gt;0</formula>
    </cfRule>
  </conditionalFormatting>
  <conditionalFormatting sqref="C58">
    <cfRule type="expression" dxfId="4095" priority="3748">
      <formula>E58&gt;0</formula>
    </cfRule>
  </conditionalFormatting>
  <conditionalFormatting sqref="C58">
    <cfRule type="expression" dxfId="4094" priority="3747">
      <formula>E58&gt;0</formula>
    </cfRule>
  </conditionalFormatting>
  <conditionalFormatting sqref="C58">
    <cfRule type="expression" dxfId="4093" priority="3746">
      <formula>E58&gt;0</formula>
    </cfRule>
  </conditionalFormatting>
  <conditionalFormatting sqref="C58">
    <cfRule type="expression" dxfId="4092" priority="3745">
      <formula>E58&gt;0</formula>
    </cfRule>
  </conditionalFormatting>
  <conditionalFormatting sqref="C58">
    <cfRule type="expression" dxfId="4091" priority="3744">
      <formula>E58&gt;0</formula>
    </cfRule>
  </conditionalFormatting>
  <conditionalFormatting sqref="C58">
    <cfRule type="expression" dxfId="4090" priority="3743">
      <formula>E58&gt;0</formula>
    </cfRule>
  </conditionalFormatting>
  <conditionalFormatting sqref="C58">
    <cfRule type="expression" dxfId="4089" priority="3742">
      <formula>E58&gt;0</formula>
    </cfRule>
  </conditionalFormatting>
  <conditionalFormatting sqref="C58">
    <cfRule type="expression" dxfId="4088" priority="3741">
      <formula>E58&gt;0</formula>
    </cfRule>
  </conditionalFormatting>
  <conditionalFormatting sqref="C57">
    <cfRule type="expression" dxfId="4087" priority="3740">
      <formula>E57&gt;0</formula>
    </cfRule>
  </conditionalFormatting>
  <conditionalFormatting sqref="C58">
    <cfRule type="expression" dxfId="4086" priority="3739">
      <formula>E58&gt;0</formula>
    </cfRule>
  </conditionalFormatting>
  <conditionalFormatting sqref="C57">
    <cfRule type="expression" dxfId="4085" priority="3738">
      <formula>E57&gt;0</formula>
    </cfRule>
  </conditionalFormatting>
  <conditionalFormatting sqref="C58">
    <cfRule type="expression" dxfId="4084" priority="3737">
      <formula>E58&gt;0</formula>
    </cfRule>
  </conditionalFormatting>
  <conditionalFormatting sqref="C57">
    <cfRule type="expression" dxfId="4083" priority="3736">
      <formula>E57&gt;0</formula>
    </cfRule>
  </conditionalFormatting>
  <conditionalFormatting sqref="C58">
    <cfRule type="expression" dxfId="4082" priority="3735">
      <formula>E58&gt;0</formula>
    </cfRule>
  </conditionalFormatting>
  <conditionalFormatting sqref="C58">
    <cfRule type="expression" dxfId="4081" priority="3734">
      <formula>E58&gt;0</formula>
    </cfRule>
  </conditionalFormatting>
  <conditionalFormatting sqref="C58">
    <cfRule type="expression" dxfId="4080" priority="3733">
      <formula>E58&gt;0</formula>
    </cfRule>
  </conditionalFormatting>
  <conditionalFormatting sqref="C57">
    <cfRule type="expression" dxfId="4079" priority="3732">
      <formula>E57&gt;0</formula>
    </cfRule>
  </conditionalFormatting>
  <conditionalFormatting sqref="C56:C64">
    <cfRule type="expression" dxfId="4078" priority="3731">
      <formula>E56&gt;0</formula>
    </cfRule>
  </conditionalFormatting>
  <conditionalFormatting sqref="C56:C64">
    <cfRule type="expression" dxfId="4077" priority="3730">
      <formula>E56&gt;0</formula>
    </cfRule>
  </conditionalFormatting>
  <conditionalFormatting sqref="C57">
    <cfRule type="expression" dxfId="4076" priority="3729">
      <formula>E57&gt;0</formula>
    </cfRule>
  </conditionalFormatting>
  <conditionalFormatting sqref="C58:C60">
    <cfRule type="expression" dxfId="4075" priority="3728">
      <formula>E58&gt;0</formula>
    </cfRule>
  </conditionalFormatting>
  <conditionalFormatting sqref="C59">
    <cfRule type="expression" dxfId="4074" priority="3727">
      <formula>E59&gt;0</formula>
    </cfRule>
  </conditionalFormatting>
  <conditionalFormatting sqref="C60:C62">
    <cfRule type="expression" dxfId="4073" priority="3726">
      <formula>E60&gt;0</formula>
    </cfRule>
  </conditionalFormatting>
  <conditionalFormatting sqref="C61">
    <cfRule type="expression" dxfId="4072" priority="3725">
      <formula>E61&gt;0</formula>
    </cfRule>
  </conditionalFormatting>
  <conditionalFormatting sqref="C62:C64">
    <cfRule type="expression" dxfId="4071" priority="3724">
      <formula>E62&gt;0</formula>
    </cfRule>
  </conditionalFormatting>
  <conditionalFormatting sqref="C63">
    <cfRule type="expression" dxfId="4070" priority="3723">
      <formula>E63&gt;0</formula>
    </cfRule>
  </conditionalFormatting>
  <conditionalFormatting sqref="C64">
    <cfRule type="expression" dxfId="4069" priority="3722">
      <formula>E64&gt;0</formula>
    </cfRule>
  </conditionalFormatting>
  <conditionalFormatting sqref="C56:C64">
    <cfRule type="expression" dxfId="4068" priority="3721">
      <formula>E56&gt;0</formula>
    </cfRule>
  </conditionalFormatting>
  <conditionalFormatting sqref="C56:C64">
    <cfRule type="expression" dxfId="4067" priority="3720">
      <formula>E56&gt;0</formula>
    </cfRule>
  </conditionalFormatting>
  <conditionalFormatting sqref="C57">
    <cfRule type="expression" dxfId="4066" priority="3719">
      <formula>E57&gt;0</formula>
    </cfRule>
  </conditionalFormatting>
  <conditionalFormatting sqref="C58:C60">
    <cfRule type="expression" dxfId="4065" priority="3718">
      <formula>E58&gt;0</formula>
    </cfRule>
  </conditionalFormatting>
  <conditionalFormatting sqref="C59">
    <cfRule type="expression" dxfId="4064" priority="3717">
      <formula>E59&gt;0</formula>
    </cfRule>
  </conditionalFormatting>
  <conditionalFormatting sqref="C60:C62">
    <cfRule type="expression" dxfId="4063" priority="3716">
      <formula>E60&gt;0</formula>
    </cfRule>
  </conditionalFormatting>
  <conditionalFormatting sqref="C61">
    <cfRule type="expression" dxfId="4062" priority="3715">
      <formula>E61&gt;0</formula>
    </cfRule>
  </conditionalFormatting>
  <conditionalFormatting sqref="C62:C64">
    <cfRule type="expression" dxfId="4061" priority="3714">
      <formula>E62&gt;0</formula>
    </cfRule>
  </conditionalFormatting>
  <conditionalFormatting sqref="C63">
    <cfRule type="expression" dxfId="4060" priority="3713">
      <formula>E63&gt;0</formula>
    </cfRule>
  </conditionalFormatting>
  <conditionalFormatting sqref="C64">
    <cfRule type="expression" dxfId="4059" priority="3712">
      <formula>E64&gt;0</formula>
    </cfRule>
  </conditionalFormatting>
  <conditionalFormatting sqref="C56:C64">
    <cfRule type="expression" dxfId="4058" priority="3711">
      <formula>E56&gt;0</formula>
    </cfRule>
  </conditionalFormatting>
  <conditionalFormatting sqref="C56:C64">
    <cfRule type="expression" dxfId="4057" priority="3710">
      <formula>E56&gt;0</formula>
    </cfRule>
  </conditionalFormatting>
  <conditionalFormatting sqref="C57">
    <cfRule type="expression" dxfId="4056" priority="3709">
      <formula>E57&gt;0</formula>
    </cfRule>
  </conditionalFormatting>
  <conditionalFormatting sqref="C58:C60">
    <cfRule type="expression" dxfId="4055" priority="3708">
      <formula>E58&gt;0</formula>
    </cfRule>
  </conditionalFormatting>
  <conditionalFormatting sqref="C59">
    <cfRule type="expression" dxfId="4054" priority="3707">
      <formula>E59&gt;0</formula>
    </cfRule>
  </conditionalFormatting>
  <conditionalFormatting sqref="C60:C62">
    <cfRule type="expression" dxfId="4053" priority="3706">
      <formula>E60&gt;0</formula>
    </cfRule>
  </conditionalFormatting>
  <conditionalFormatting sqref="C61">
    <cfRule type="expression" dxfId="4052" priority="3705">
      <formula>E61&gt;0</formula>
    </cfRule>
  </conditionalFormatting>
  <conditionalFormatting sqref="C62:C64">
    <cfRule type="expression" dxfId="4051" priority="3704">
      <formula>E62&gt;0</formula>
    </cfRule>
  </conditionalFormatting>
  <conditionalFormatting sqref="C63">
    <cfRule type="expression" dxfId="4050" priority="3703">
      <formula>E63&gt;0</formula>
    </cfRule>
  </conditionalFormatting>
  <conditionalFormatting sqref="C64">
    <cfRule type="expression" dxfId="4049" priority="3702">
      <formula>E64&gt;0</formula>
    </cfRule>
  </conditionalFormatting>
  <conditionalFormatting sqref="C56:C64">
    <cfRule type="expression" dxfId="4048" priority="3701">
      <formula>E56&gt;0</formula>
    </cfRule>
  </conditionalFormatting>
  <conditionalFormatting sqref="C56:C64">
    <cfRule type="expression" dxfId="4047" priority="3700">
      <formula>E56&gt;0</formula>
    </cfRule>
  </conditionalFormatting>
  <conditionalFormatting sqref="C57">
    <cfRule type="expression" dxfId="4046" priority="3699">
      <formula>E57&gt;0</formula>
    </cfRule>
  </conditionalFormatting>
  <conditionalFormatting sqref="C58:C60">
    <cfRule type="expression" dxfId="4045" priority="3698">
      <formula>E58&gt;0</formula>
    </cfRule>
  </conditionalFormatting>
  <conditionalFormatting sqref="C59">
    <cfRule type="expression" dxfId="4044" priority="3697">
      <formula>E59&gt;0</formula>
    </cfRule>
  </conditionalFormatting>
  <conditionalFormatting sqref="C60:C62">
    <cfRule type="expression" dxfId="4043" priority="3696">
      <formula>E60&gt;0</formula>
    </cfRule>
  </conditionalFormatting>
  <conditionalFormatting sqref="C61">
    <cfRule type="expression" dxfId="4042" priority="3695">
      <formula>E61&gt;0</formula>
    </cfRule>
  </conditionalFormatting>
  <conditionalFormatting sqref="C62:C64">
    <cfRule type="expression" dxfId="4041" priority="3694">
      <formula>E62&gt;0</formula>
    </cfRule>
  </conditionalFormatting>
  <conditionalFormatting sqref="C63">
    <cfRule type="expression" dxfId="4040" priority="3693">
      <formula>E63&gt;0</formula>
    </cfRule>
  </conditionalFormatting>
  <conditionalFormatting sqref="C64">
    <cfRule type="expression" dxfId="4039" priority="3692">
      <formula>E64&gt;0</formula>
    </cfRule>
  </conditionalFormatting>
  <conditionalFormatting sqref="C58">
    <cfRule type="expression" dxfId="4038" priority="3691">
      <formula>E58&gt;0</formula>
    </cfRule>
  </conditionalFormatting>
  <conditionalFormatting sqref="C60">
    <cfRule type="expression" dxfId="4037" priority="3690">
      <formula>E60&gt;0</formula>
    </cfRule>
  </conditionalFormatting>
  <conditionalFormatting sqref="C62">
    <cfRule type="expression" dxfId="4036" priority="3689">
      <formula>E62&gt;0</formula>
    </cfRule>
  </conditionalFormatting>
  <conditionalFormatting sqref="C64">
    <cfRule type="expression" dxfId="4035" priority="3688">
      <formula>E64&gt;0</formula>
    </cfRule>
  </conditionalFormatting>
  <conditionalFormatting sqref="C58">
    <cfRule type="expression" dxfId="4034" priority="3687">
      <formula>E58&gt;0</formula>
    </cfRule>
  </conditionalFormatting>
  <conditionalFormatting sqref="C60">
    <cfRule type="expression" dxfId="4033" priority="3686">
      <formula>E60&gt;0</formula>
    </cfRule>
  </conditionalFormatting>
  <conditionalFormatting sqref="C62">
    <cfRule type="expression" dxfId="4032" priority="3685">
      <formula>E62&gt;0</formula>
    </cfRule>
  </conditionalFormatting>
  <conditionalFormatting sqref="C64">
    <cfRule type="expression" dxfId="4031" priority="3684">
      <formula>E64&gt;0</formula>
    </cfRule>
  </conditionalFormatting>
  <conditionalFormatting sqref="C58">
    <cfRule type="expression" dxfId="4030" priority="3683">
      <formula>E58&gt;0</formula>
    </cfRule>
  </conditionalFormatting>
  <conditionalFormatting sqref="C60">
    <cfRule type="expression" dxfId="4029" priority="3682">
      <formula>E60&gt;0</formula>
    </cfRule>
  </conditionalFormatting>
  <conditionalFormatting sqref="C62">
    <cfRule type="expression" dxfId="4028" priority="3681">
      <formula>E62&gt;0</formula>
    </cfRule>
  </conditionalFormatting>
  <conditionalFormatting sqref="C64">
    <cfRule type="expression" dxfId="4027" priority="3680">
      <formula>E64&gt;0</formula>
    </cfRule>
  </conditionalFormatting>
  <conditionalFormatting sqref="C58">
    <cfRule type="expression" dxfId="4026" priority="3679">
      <formula>E58&gt;0</formula>
    </cfRule>
  </conditionalFormatting>
  <conditionalFormatting sqref="C60">
    <cfRule type="expression" dxfId="4025" priority="3678">
      <formula>E60&gt;0</formula>
    </cfRule>
  </conditionalFormatting>
  <conditionalFormatting sqref="C62">
    <cfRule type="expression" dxfId="4024" priority="3677">
      <formula>E62&gt;0</formula>
    </cfRule>
  </conditionalFormatting>
  <conditionalFormatting sqref="C64">
    <cfRule type="expression" dxfId="4023" priority="3676">
      <formula>E64&gt;0</formula>
    </cfRule>
  </conditionalFormatting>
  <conditionalFormatting sqref="C65">
    <cfRule type="expression" dxfId="4022" priority="3675">
      <formula>E65&gt;0</formula>
    </cfRule>
  </conditionalFormatting>
  <conditionalFormatting sqref="C66">
    <cfRule type="expression" dxfId="4021" priority="3674">
      <formula>E66&gt;0</formula>
    </cfRule>
  </conditionalFormatting>
  <conditionalFormatting sqref="C67">
    <cfRule type="expression" dxfId="4020" priority="3673">
      <formula>E67&gt;0</formula>
    </cfRule>
  </conditionalFormatting>
  <conditionalFormatting sqref="C68">
    <cfRule type="expression" dxfId="4019" priority="3672">
      <formula>E68&gt;0</formula>
    </cfRule>
  </conditionalFormatting>
  <conditionalFormatting sqref="C69">
    <cfRule type="expression" dxfId="4018" priority="3671">
      <formula>E69&gt;0</formula>
    </cfRule>
  </conditionalFormatting>
  <conditionalFormatting sqref="C65">
    <cfRule type="expression" dxfId="4017" priority="3670">
      <formula>E65&gt;0</formula>
    </cfRule>
  </conditionalFormatting>
  <conditionalFormatting sqref="C66">
    <cfRule type="expression" dxfId="4016" priority="3669">
      <formula>E66&gt;0</formula>
    </cfRule>
  </conditionalFormatting>
  <conditionalFormatting sqref="C67">
    <cfRule type="expression" dxfId="4015" priority="3668">
      <formula>E67&gt;0</formula>
    </cfRule>
  </conditionalFormatting>
  <conditionalFormatting sqref="C68">
    <cfRule type="expression" dxfId="4014" priority="3667">
      <formula>E68&gt;0</formula>
    </cfRule>
  </conditionalFormatting>
  <conditionalFormatting sqref="C69">
    <cfRule type="expression" dxfId="4013" priority="3666">
      <formula>E69&gt;0</formula>
    </cfRule>
  </conditionalFormatting>
  <conditionalFormatting sqref="C65">
    <cfRule type="expression" dxfId="4012" priority="3665">
      <formula>E65&gt;0</formula>
    </cfRule>
  </conditionalFormatting>
  <conditionalFormatting sqref="C66">
    <cfRule type="expression" dxfId="4011" priority="3664">
      <formula>E66&gt;0</formula>
    </cfRule>
  </conditionalFormatting>
  <conditionalFormatting sqref="C69">
    <cfRule type="expression" dxfId="4010" priority="3663">
      <formula>E69&gt;0</formula>
    </cfRule>
  </conditionalFormatting>
  <conditionalFormatting sqref="C67">
    <cfRule type="expression" dxfId="4009" priority="3662">
      <formula>E67&gt;0</formula>
    </cfRule>
  </conditionalFormatting>
  <conditionalFormatting sqref="C67">
    <cfRule type="expression" dxfId="4008" priority="3661">
      <formula>E67&gt;0</formula>
    </cfRule>
  </conditionalFormatting>
  <conditionalFormatting sqref="C67">
    <cfRule type="expression" dxfId="4007" priority="3660">
      <formula>E67&gt;0</formula>
    </cfRule>
  </conditionalFormatting>
  <conditionalFormatting sqref="C67">
    <cfRule type="expression" dxfId="4006" priority="3659">
      <formula>E67&gt;0</formula>
    </cfRule>
  </conditionalFormatting>
  <conditionalFormatting sqref="C67">
    <cfRule type="expression" dxfId="4005" priority="3658">
      <formula>E67&gt;0</formula>
    </cfRule>
  </conditionalFormatting>
  <conditionalFormatting sqref="C67">
    <cfRule type="expression" dxfId="4004" priority="3657">
      <formula>E67&gt;0</formula>
    </cfRule>
  </conditionalFormatting>
  <conditionalFormatting sqref="C67">
    <cfRule type="expression" dxfId="4003" priority="3656">
      <formula>E67&gt;0</formula>
    </cfRule>
  </conditionalFormatting>
  <conditionalFormatting sqref="C67">
    <cfRule type="expression" dxfId="4002" priority="3655">
      <formula>E67&gt;0</formula>
    </cfRule>
  </conditionalFormatting>
  <conditionalFormatting sqref="C67">
    <cfRule type="expression" dxfId="4001" priority="3654">
      <formula>E67&gt;0</formula>
    </cfRule>
  </conditionalFormatting>
  <conditionalFormatting sqref="C67">
    <cfRule type="expression" dxfId="4000" priority="3653">
      <formula>E67&gt;0</formula>
    </cfRule>
  </conditionalFormatting>
  <conditionalFormatting sqref="C67">
    <cfRule type="expression" dxfId="3999" priority="3652">
      <formula>E67&gt;0</formula>
    </cfRule>
  </conditionalFormatting>
  <conditionalFormatting sqref="C67">
    <cfRule type="expression" dxfId="3998" priority="3651">
      <formula>E67&gt;0</formula>
    </cfRule>
  </conditionalFormatting>
  <conditionalFormatting sqref="C67">
    <cfRule type="expression" dxfId="3997" priority="3650">
      <formula>E67&gt;0</formula>
    </cfRule>
  </conditionalFormatting>
  <conditionalFormatting sqref="C67">
    <cfRule type="expression" dxfId="3996" priority="3649">
      <formula>E67&gt;0</formula>
    </cfRule>
  </conditionalFormatting>
  <conditionalFormatting sqref="C67">
    <cfRule type="expression" dxfId="3995" priority="3648">
      <formula>E67&gt;0</formula>
    </cfRule>
  </conditionalFormatting>
  <conditionalFormatting sqref="C67">
    <cfRule type="expression" dxfId="3994" priority="3647">
      <formula>E67&gt;0</formula>
    </cfRule>
  </conditionalFormatting>
  <conditionalFormatting sqref="C67">
    <cfRule type="expression" dxfId="3993" priority="3646">
      <formula>E67&gt;0</formula>
    </cfRule>
  </conditionalFormatting>
  <conditionalFormatting sqref="C67">
    <cfRule type="expression" dxfId="3992" priority="3645">
      <formula>E67&gt;0</formula>
    </cfRule>
  </conditionalFormatting>
  <conditionalFormatting sqref="C66">
    <cfRule type="expression" dxfId="3991" priority="3644">
      <formula>E66&gt;0</formula>
    </cfRule>
  </conditionalFormatting>
  <conditionalFormatting sqref="C67">
    <cfRule type="expression" dxfId="3990" priority="3643">
      <formula>E67&gt;0</formula>
    </cfRule>
  </conditionalFormatting>
  <conditionalFormatting sqref="C68">
    <cfRule type="expression" dxfId="3989" priority="3642">
      <formula>E68&gt;0</formula>
    </cfRule>
  </conditionalFormatting>
  <conditionalFormatting sqref="C66">
    <cfRule type="expression" dxfId="3988" priority="3641">
      <formula>E66&gt;0</formula>
    </cfRule>
  </conditionalFormatting>
  <conditionalFormatting sqref="C67">
    <cfRule type="expression" dxfId="3987" priority="3640">
      <formula>E67&gt;0</formula>
    </cfRule>
  </conditionalFormatting>
  <conditionalFormatting sqref="C68">
    <cfRule type="expression" dxfId="3986" priority="3639">
      <formula>E68&gt;0</formula>
    </cfRule>
  </conditionalFormatting>
  <conditionalFormatting sqref="C68">
    <cfRule type="expression" dxfId="3985" priority="3638">
      <formula>E68&gt;0</formula>
    </cfRule>
  </conditionalFormatting>
  <conditionalFormatting sqref="C68">
    <cfRule type="expression" dxfId="3984" priority="3637">
      <formula>E68&gt;0</formula>
    </cfRule>
  </conditionalFormatting>
  <conditionalFormatting sqref="C68">
    <cfRule type="expression" dxfId="3983" priority="3636">
      <formula>E68&gt;0</formula>
    </cfRule>
  </conditionalFormatting>
  <conditionalFormatting sqref="C68">
    <cfRule type="expression" dxfId="3982" priority="3635">
      <formula>E68&gt;0</formula>
    </cfRule>
  </conditionalFormatting>
  <conditionalFormatting sqref="C68">
    <cfRule type="expression" dxfId="3981" priority="3634">
      <formula>E68&gt;0</formula>
    </cfRule>
  </conditionalFormatting>
  <conditionalFormatting sqref="C68">
    <cfRule type="expression" dxfId="3980" priority="3633">
      <formula>E68&gt;0</formula>
    </cfRule>
  </conditionalFormatting>
  <conditionalFormatting sqref="C68">
    <cfRule type="expression" dxfId="3979" priority="3632">
      <formula>E68&gt;0</formula>
    </cfRule>
  </conditionalFormatting>
  <conditionalFormatting sqref="C68">
    <cfRule type="expression" dxfId="3978" priority="3631">
      <formula>E68&gt;0</formula>
    </cfRule>
  </conditionalFormatting>
  <conditionalFormatting sqref="C68">
    <cfRule type="expression" dxfId="3977" priority="3630">
      <formula>E68&gt;0</formula>
    </cfRule>
  </conditionalFormatting>
  <conditionalFormatting sqref="C68">
    <cfRule type="expression" dxfId="3976" priority="3629">
      <formula>E68&gt;0</formula>
    </cfRule>
  </conditionalFormatting>
  <conditionalFormatting sqref="C68">
    <cfRule type="expression" dxfId="3975" priority="3628">
      <formula>E68&gt;0</formula>
    </cfRule>
  </conditionalFormatting>
  <conditionalFormatting sqref="C68">
    <cfRule type="expression" dxfId="3974" priority="3627">
      <formula>E68&gt;0</formula>
    </cfRule>
  </conditionalFormatting>
  <conditionalFormatting sqref="C68">
    <cfRule type="expression" dxfId="3973" priority="3626">
      <formula>E68&gt;0</formula>
    </cfRule>
  </conditionalFormatting>
  <conditionalFormatting sqref="C68">
    <cfRule type="expression" dxfId="3972" priority="3625">
      <formula>E68&gt;0</formula>
    </cfRule>
  </conditionalFormatting>
  <conditionalFormatting sqref="C68">
    <cfRule type="expression" dxfId="3971" priority="3624">
      <formula>E68&gt;0</formula>
    </cfRule>
  </conditionalFormatting>
  <conditionalFormatting sqref="C68">
    <cfRule type="expression" dxfId="3970" priority="3623">
      <formula>E68&gt;0</formula>
    </cfRule>
  </conditionalFormatting>
  <conditionalFormatting sqref="C68">
    <cfRule type="expression" dxfId="3969" priority="3622">
      <formula>E68&gt;0</formula>
    </cfRule>
  </conditionalFormatting>
  <conditionalFormatting sqref="C65">
    <cfRule type="expression" dxfId="3968" priority="3621">
      <formula>E65&gt;0</formula>
    </cfRule>
  </conditionalFormatting>
  <conditionalFormatting sqref="C65">
    <cfRule type="expression" dxfId="3967" priority="3620">
      <formula>E65&gt;0</formula>
    </cfRule>
  </conditionalFormatting>
  <conditionalFormatting sqref="C65">
    <cfRule type="expression" dxfId="3966" priority="3619">
      <formula>E65&gt;0</formula>
    </cfRule>
  </conditionalFormatting>
  <conditionalFormatting sqref="C65">
    <cfRule type="expression" dxfId="3965" priority="3618">
      <formula>E65&gt;0</formula>
    </cfRule>
  </conditionalFormatting>
  <conditionalFormatting sqref="C65">
    <cfRule type="expression" dxfId="3964" priority="3617">
      <formula>E65&gt;0</formula>
    </cfRule>
  </conditionalFormatting>
  <conditionalFormatting sqref="C65">
    <cfRule type="expression" dxfId="3963" priority="3616">
      <formula>E65&gt;0</formula>
    </cfRule>
  </conditionalFormatting>
  <conditionalFormatting sqref="C65">
    <cfRule type="expression" dxfId="3962" priority="3615">
      <formula>E65&gt;0</formula>
    </cfRule>
  </conditionalFormatting>
  <conditionalFormatting sqref="C65">
    <cfRule type="expression" dxfId="3961" priority="3614">
      <formula>E65&gt;0</formula>
    </cfRule>
  </conditionalFormatting>
  <conditionalFormatting sqref="C65">
    <cfRule type="expression" dxfId="3960" priority="3613">
      <formula>E65&gt;0</formula>
    </cfRule>
  </conditionalFormatting>
  <conditionalFormatting sqref="C65">
    <cfRule type="expression" dxfId="3959" priority="3612">
      <formula>E65&gt;0</formula>
    </cfRule>
  </conditionalFormatting>
  <conditionalFormatting sqref="C65">
    <cfRule type="expression" dxfId="3958" priority="3611">
      <formula>E65&gt;0</formula>
    </cfRule>
  </conditionalFormatting>
  <conditionalFormatting sqref="C65">
    <cfRule type="expression" dxfId="3957" priority="3610">
      <formula>E65&gt;0</formula>
    </cfRule>
  </conditionalFormatting>
  <conditionalFormatting sqref="C65">
    <cfRule type="expression" dxfId="3956" priority="3609">
      <formula>E65&gt;0</formula>
    </cfRule>
  </conditionalFormatting>
  <conditionalFormatting sqref="C65">
    <cfRule type="expression" dxfId="3955" priority="3608">
      <formula>E65&gt;0</formula>
    </cfRule>
  </conditionalFormatting>
  <conditionalFormatting sqref="C65">
    <cfRule type="expression" dxfId="3954" priority="3607">
      <formula>E65&gt;0</formula>
    </cfRule>
  </conditionalFormatting>
  <conditionalFormatting sqref="C65">
    <cfRule type="expression" dxfId="3953" priority="3606">
      <formula>E65&gt;0</formula>
    </cfRule>
  </conditionalFormatting>
  <conditionalFormatting sqref="C65">
    <cfRule type="expression" dxfId="3952" priority="3605">
      <formula>E65&gt;0</formula>
    </cfRule>
  </conditionalFormatting>
  <conditionalFormatting sqref="C65">
    <cfRule type="expression" dxfId="3951" priority="3604">
      <formula>E65&gt;0</formula>
    </cfRule>
  </conditionalFormatting>
  <conditionalFormatting sqref="C65">
    <cfRule type="expression" dxfId="3950" priority="3603">
      <formula>E65&gt;0</formula>
    </cfRule>
  </conditionalFormatting>
  <conditionalFormatting sqref="C65">
    <cfRule type="expression" dxfId="3949" priority="3602">
      <formula>E65&gt;0</formula>
    </cfRule>
  </conditionalFormatting>
  <conditionalFormatting sqref="C65">
    <cfRule type="expression" dxfId="3948" priority="3601">
      <formula>E65&gt;0</formula>
    </cfRule>
  </conditionalFormatting>
  <conditionalFormatting sqref="C65">
    <cfRule type="expression" dxfId="3947" priority="3600">
      <formula>E65&gt;0</formula>
    </cfRule>
  </conditionalFormatting>
  <conditionalFormatting sqref="C65">
    <cfRule type="expression" dxfId="3946" priority="3599">
      <formula>E65&gt;0</formula>
    </cfRule>
  </conditionalFormatting>
  <conditionalFormatting sqref="C65">
    <cfRule type="expression" dxfId="3945" priority="3598">
      <formula>E65&gt;0</formula>
    </cfRule>
  </conditionalFormatting>
  <conditionalFormatting sqref="C66">
    <cfRule type="expression" dxfId="3944" priority="3597">
      <formula>E66&gt;0</formula>
    </cfRule>
  </conditionalFormatting>
  <conditionalFormatting sqref="C67">
    <cfRule type="expression" dxfId="3943" priority="3596">
      <formula>E67&gt;0</formula>
    </cfRule>
  </conditionalFormatting>
  <conditionalFormatting sqref="C67">
    <cfRule type="expression" dxfId="3942" priority="3595">
      <formula>E67&gt;0</formula>
    </cfRule>
  </conditionalFormatting>
  <conditionalFormatting sqref="C67">
    <cfRule type="expression" dxfId="3941" priority="3594">
      <formula>E67&gt;0</formula>
    </cfRule>
  </conditionalFormatting>
  <conditionalFormatting sqref="C66">
    <cfRule type="expression" dxfId="3940" priority="3593">
      <formula>E66&gt;0</formula>
    </cfRule>
  </conditionalFormatting>
  <conditionalFormatting sqref="C65">
    <cfRule type="expression" dxfId="3939" priority="3592">
      <formula>E65&gt;0</formula>
    </cfRule>
  </conditionalFormatting>
  <conditionalFormatting sqref="C66">
    <cfRule type="expression" dxfId="3938" priority="3591">
      <formula>E66&gt;0</formula>
    </cfRule>
  </conditionalFormatting>
  <conditionalFormatting sqref="C65:C66">
    <cfRule type="expression" dxfId="3937" priority="3590">
      <formula>E65&gt;0</formula>
    </cfRule>
  </conditionalFormatting>
  <conditionalFormatting sqref="C65:C66">
    <cfRule type="expression" dxfId="3936" priority="3589">
      <formula>E65&gt;0</formula>
    </cfRule>
  </conditionalFormatting>
  <conditionalFormatting sqref="C65:C66">
    <cfRule type="expression" dxfId="3935" priority="3588">
      <formula>E65&gt;0</formula>
    </cfRule>
  </conditionalFormatting>
  <conditionalFormatting sqref="C65:C66">
    <cfRule type="expression" dxfId="3934" priority="3587">
      <formula>E65&gt;0</formula>
    </cfRule>
  </conditionalFormatting>
  <conditionalFormatting sqref="C65:C66">
    <cfRule type="expression" dxfId="3933" priority="3586">
      <formula>E65&gt;0</formula>
    </cfRule>
  </conditionalFormatting>
  <conditionalFormatting sqref="C66">
    <cfRule type="expression" dxfId="3932" priority="3585">
      <formula>E66&gt;0</formula>
    </cfRule>
  </conditionalFormatting>
  <conditionalFormatting sqref="C65:C66">
    <cfRule type="expression" dxfId="3931" priority="3584">
      <formula>E65&gt;0</formula>
    </cfRule>
  </conditionalFormatting>
  <conditionalFormatting sqref="C66">
    <cfRule type="expression" dxfId="3930" priority="3583">
      <formula>E66&gt;0</formula>
    </cfRule>
  </conditionalFormatting>
  <conditionalFormatting sqref="C66">
    <cfRule type="expression" dxfId="3929" priority="3582">
      <formula>E66&gt;0</formula>
    </cfRule>
  </conditionalFormatting>
  <conditionalFormatting sqref="C66">
    <cfRule type="expression" dxfId="3928" priority="3581">
      <formula>E66&gt;0</formula>
    </cfRule>
  </conditionalFormatting>
  <conditionalFormatting sqref="C65">
    <cfRule type="expression" dxfId="3927" priority="3580">
      <formula>E65&gt;0</formula>
    </cfRule>
  </conditionalFormatting>
  <conditionalFormatting sqref="C66">
    <cfRule type="expression" dxfId="3926" priority="3579">
      <formula>E66&gt;0</formula>
    </cfRule>
  </conditionalFormatting>
  <conditionalFormatting sqref="C65">
    <cfRule type="expression" dxfId="3925" priority="3578">
      <formula>E65&gt;0</formula>
    </cfRule>
  </conditionalFormatting>
  <conditionalFormatting sqref="C65">
    <cfRule type="expression" dxfId="3924" priority="3577">
      <formula>E65&gt;0</formula>
    </cfRule>
  </conditionalFormatting>
  <conditionalFormatting sqref="C65">
    <cfRule type="expression" dxfId="3923" priority="3576">
      <formula>E65&gt;0</formula>
    </cfRule>
  </conditionalFormatting>
  <conditionalFormatting sqref="C65">
    <cfRule type="expression" dxfId="3922" priority="3575">
      <formula>E65&gt;0</formula>
    </cfRule>
  </conditionalFormatting>
  <conditionalFormatting sqref="C65">
    <cfRule type="expression" dxfId="3921" priority="3574">
      <formula>E65&gt;0</formula>
    </cfRule>
  </conditionalFormatting>
  <conditionalFormatting sqref="C65">
    <cfRule type="expression" dxfId="3920" priority="3573">
      <formula>E65&gt;0</formula>
    </cfRule>
  </conditionalFormatting>
  <conditionalFormatting sqref="C67">
    <cfRule type="expression" dxfId="3919" priority="3572">
      <formula>E67&gt;0</formula>
    </cfRule>
  </conditionalFormatting>
  <conditionalFormatting sqref="C67">
    <cfRule type="expression" dxfId="3918" priority="3571">
      <formula>E67&gt;0</formula>
    </cfRule>
  </conditionalFormatting>
  <conditionalFormatting sqref="C67">
    <cfRule type="expression" dxfId="3917" priority="3570">
      <formula>E67&gt;0</formula>
    </cfRule>
  </conditionalFormatting>
  <conditionalFormatting sqref="C67">
    <cfRule type="expression" dxfId="3916" priority="3569">
      <formula>E67&gt;0</formula>
    </cfRule>
  </conditionalFormatting>
  <conditionalFormatting sqref="C67">
    <cfRule type="expression" dxfId="3915" priority="3568">
      <formula>E67&gt;0</formula>
    </cfRule>
  </conditionalFormatting>
  <conditionalFormatting sqref="C67">
    <cfRule type="expression" dxfId="3914" priority="3567">
      <formula>E67&gt;0</formula>
    </cfRule>
  </conditionalFormatting>
  <conditionalFormatting sqref="C67">
    <cfRule type="expression" dxfId="3913" priority="3566">
      <formula>E67&gt;0</formula>
    </cfRule>
  </conditionalFormatting>
  <conditionalFormatting sqref="C67">
    <cfRule type="expression" dxfId="3912" priority="3565">
      <formula>E67&gt;0</formula>
    </cfRule>
  </conditionalFormatting>
  <conditionalFormatting sqref="C67">
    <cfRule type="expression" dxfId="3911" priority="3564">
      <formula>E67&gt;0</formula>
    </cfRule>
  </conditionalFormatting>
  <conditionalFormatting sqref="C67">
    <cfRule type="expression" dxfId="3910" priority="3563">
      <formula>E67&gt;0</formula>
    </cfRule>
  </conditionalFormatting>
  <conditionalFormatting sqref="C67">
    <cfRule type="expression" dxfId="3909" priority="3562">
      <formula>E67&gt;0</formula>
    </cfRule>
  </conditionalFormatting>
  <conditionalFormatting sqref="C67">
    <cfRule type="expression" dxfId="3908" priority="3561">
      <formula>E67&gt;0</formula>
    </cfRule>
  </conditionalFormatting>
  <conditionalFormatting sqref="C67">
    <cfRule type="expression" dxfId="3907" priority="3560">
      <formula>E67&gt;0</formula>
    </cfRule>
  </conditionalFormatting>
  <conditionalFormatting sqref="C67">
    <cfRule type="expression" dxfId="3906" priority="3559">
      <formula>E67&gt;0</formula>
    </cfRule>
  </conditionalFormatting>
  <conditionalFormatting sqref="C67">
    <cfRule type="expression" dxfId="3905" priority="3558">
      <formula>E67&gt;0</formula>
    </cfRule>
  </conditionalFormatting>
  <conditionalFormatting sqref="C67">
    <cfRule type="expression" dxfId="3904" priority="3557">
      <formula>E67&gt;0</formula>
    </cfRule>
  </conditionalFormatting>
  <conditionalFormatting sqref="C67">
    <cfRule type="expression" dxfId="3903" priority="3556">
      <formula>E67&gt;0</formula>
    </cfRule>
  </conditionalFormatting>
  <conditionalFormatting sqref="C67">
    <cfRule type="expression" dxfId="3902" priority="3555">
      <formula>E67&gt;0</formula>
    </cfRule>
  </conditionalFormatting>
  <conditionalFormatting sqref="C67">
    <cfRule type="expression" dxfId="3901" priority="3554">
      <formula>E67&gt;0</formula>
    </cfRule>
  </conditionalFormatting>
  <conditionalFormatting sqref="C67">
    <cfRule type="expression" dxfId="3900" priority="3553">
      <formula>E67&gt;0</formula>
    </cfRule>
  </conditionalFormatting>
  <conditionalFormatting sqref="C68">
    <cfRule type="expression" dxfId="3899" priority="3552">
      <formula>E68&gt;0</formula>
    </cfRule>
  </conditionalFormatting>
  <conditionalFormatting sqref="C69">
    <cfRule type="expression" dxfId="3898" priority="3551">
      <formula>E69&gt;0</formula>
    </cfRule>
  </conditionalFormatting>
  <conditionalFormatting sqref="C68:C69">
    <cfRule type="expression" dxfId="3897" priority="3550">
      <formula>E68&gt;0</formula>
    </cfRule>
  </conditionalFormatting>
  <conditionalFormatting sqref="C68:C69">
    <cfRule type="expression" dxfId="3896" priority="3549">
      <formula>E68&gt;0</formula>
    </cfRule>
  </conditionalFormatting>
  <conditionalFormatting sqref="C68:C69">
    <cfRule type="expression" dxfId="3895" priority="3548">
      <formula>E68&gt;0</formula>
    </cfRule>
  </conditionalFormatting>
  <conditionalFormatting sqref="C68:C69">
    <cfRule type="expression" dxfId="3894" priority="3547">
      <formula>E68&gt;0</formula>
    </cfRule>
  </conditionalFormatting>
  <conditionalFormatting sqref="C68">
    <cfRule type="expression" dxfId="3893" priority="3546">
      <formula>E68&gt;0</formula>
    </cfRule>
  </conditionalFormatting>
  <conditionalFormatting sqref="C69">
    <cfRule type="expression" dxfId="3892" priority="3545">
      <formula>E69&gt;0</formula>
    </cfRule>
  </conditionalFormatting>
  <conditionalFormatting sqref="C68">
    <cfRule type="expression" dxfId="3891" priority="3544">
      <formula>E68&gt;0</formula>
    </cfRule>
  </conditionalFormatting>
  <conditionalFormatting sqref="C68">
    <cfRule type="expression" dxfId="3890" priority="3543">
      <formula>E68&gt;0</formula>
    </cfRule>
  </conditionalFormatting>
  <conditionalFormatting sqref="C68">
    <cfRule type="expression" dxfId="3889" priority="3542">
      <formula>E68&gt;0</formula>
    </cfRule>
  </conditionalFormatting>
  <conditionalFormatting sqref="C68">
    <cfRule type="expression" dxfId="3888" priority="3541">
      <formula>E68&gt;0</formula>
    </cfRule>
  </conditionalFormatting>
  <conditionalFormatting sqref="C68">
    <cfRule type="expression" dxfId="3887" priority="3540">
      <formula>E68&gt;0</formula>
    </cfRule>
  </conditionalFormatting>
  <conditionalFormatting sqref="C69">
    <cfRule type="expression" dxfId="3886" priority="3539">
      <formula>E69&gt;0</formula>
    </cfRule>
  </conditionalFormatting>
  <conditionalFormatting sqref="C69">
    <cfRule type="expression" dxfId="3885" priority="3538">
      <formula>E69&gt;0</formula>
    </cfRule>
  </conditionalFormatting>
  <conditionalFormatting sqref="C68">
    <cfRule type="expression" dxfId="3884" priority="3537">
      <formula>E68&gt;0</formula>
    </cfRule>
  </conditionalFormatting>
  <conditionalFormatting sqref="C69">
    <cfRule type="expression" dxfId="3883" priority="3536">
      <formula>E69&gt;0</formula>
    </cfRule>
  </conditionalFormatting>
  <conditionalFormatting sqref="C68">
    <cfRule type="expression" dxfId="3882" priority="3535">
      <formula>E68&gt;0</formula>
    </cfRule>
  </conditionalFormatting>
  <conditionalFormatting sqref="C69">
    <cfRule type="expression" dxfId="3881" priority="3534">
      <formula>E69&gt;0</formula>
    </cfRule>
  </conditionalFormatting>
  <conditionalFormatting sqref="C68">
    <cfRule type="expression" dxfId="3880" priority="3533">
      <formula>E68&gt;0</formula>
    </cfRule>
  </conditionalFormatting>
  <conditionalFormatting sqref="C68">
    <cfRule type="expression" dxfId="3879" priority="3532">
      <formula>E68&gt;0</formula>
    </cfRule>
  </conditionalFormatting>
  <conditionalFormatting sqref="C68">
    <cfRule type="expression" dxfId="3878" priority="3531">
      <formula>E68&gt;0</formula>
    </cfRule>
  </conditionalFormatting>
  <conditionalFormatting sqref="C68">
    <cfRule type="expression" dxfId="3877" priority="3530">
      <formula>E68&gt;0</formula>
    </cfRule>
  </conditionalFormatting>
  <conditionalFormatting sqref="C68">
    <cfRule type="expression" dxfId="3876" priority="3529">
      <formula>E68&gt;0</formula>
    </cfRule>
  </conditionalFormatting>
  <conditionalFormatting sqref="C69">
    <cfRule type="expression" dxfId="3875" priority="3528">
      <formula>E69&gt;0</formula>
    </cfRule>
  </conditionalFormatting>
  <conditionalFormatting sqref="C68">
    <cfRule type="expression" dxfId="3874" priority="3527">
      <formula>E68&gt;0</formula>
    </cfRule>
  </conditionalFormatting>
  <conditionalFormatting sqref="C68">
    <cfRule type="expression" dxfId="3873" priority="3526">
      <formula>E68&gt;0</formula>
    </cfRule>
  </conditionalFormatting>
  <conditionalFormatting sqref="C68">
    <cfRule type="expression" dxfId="3872" priority="3525">
      <formula>E68&gt;0</formula>
    </cfRule>
  </conditionalFormatting>
  <conditionalFormatting sqref="C68">
    <cfRule type="expression" dxfId="3871" priority="3524">
      <formula>E68&gt;0</formula>
    </cfRule>
  </conditionalFormatting>
  <conditionalFormatting sqref="C69">
    <cfRule type="expression" dxfId="3870" priority="3523">
      <formula>E69&gt;0</formula>
    </cfRule>
  </conditionalFormatting>
  <conditionalFormatting sqref="C69">
    <cfRule type="expression" dxfId="3869" priority="3522">
      <formula>E69&gt;0</formula>
    </cfRule>
  </conditionalFormatting>
  <conditionalFormatting sqref="C68">
    <cfRule type="expression" dxfId="3868" priority="3521">
      <formula>E68&gt;0</formula>
    </cfRule>
  </conditionalFormatting>
  <conditionalFormatting sqref="C69">
    <cfRule type="expression" dxfId="3867" priority="3520">
      <formula>E69&gt;0</formula>
    </cfRule>
  </conditionalFormatting>
  <conditionalFormatting sqref="C68">
    <cfRule type="expression" dxfId="3866" priority="3519">
      <formula>E68&gt;0</formula>
    </cfRule>
  </conditionalFormatting>
  <conditionalFormatting sqref="C69">
    <cfRule type="expression" dxfId="3865" priority="3518">
      <formula>E69&gt;0</formula>
    </cfRule>
  </conditionalFormatting>
  <conditionalFormatting sqref="C66:C69">
    <cfRule type="expression" dxfId="3864" priority="3517">
      <formula>E66&gt;0</formula>
    </cfRule>
  </conditionalFormatting>
  <conditionalFormatting sqref="C66:C69">
    <cfRule type="expression" dxfId="3863" priority="3516">
      <formula>E66&gt;0</formula>
    </cfRule>
  </conditionalFormatting>
  <conditionalFormatting sqref="C66:C69">
    <cfRule type="expression" dxfId="3862" priority="3515">
      <formula>E66&gt;0</formula>
    </cfRule>
  </conditionalFormatting>
  <conditionalFormatting sqref="C66:C69">
    <cfRule type="expression" dxfId="3861" priority="3514">
      <formula>E66&gt;0</formula>
    </cfRule>
  </conditionalFormatting>
  <conditionalFormatting sqref="C66">
    <cfRule type="expression" dxfId="3860" priority="3513">
      <formula>E66&gt;0</formula>
    </cfRule>
  </conditionalFormatting>
  <conditionalFormatting sqref="C67">
    <cfRule type="expression" dxfId="3859" priority="3512">
      <formula>E67&gt;0</formula>
    </cfRule>
  </conditionalFormatting>
  <conditionalFormatting sqref="C67">
    <cfRule type="expression" dxfId="3858" priority="3511">
      <formula>E67&gt;0</formula>
    </cfRule>
  </conditionalFormatting>
  <conditionalFormatting sqref="C68">
    <cfRule type="expression" dxfId="3857" priority="3510">
      <formula>E68&gt;0</formula>
    </cfRule>
  </conditionalFormatting>
  <conditionalFormatting sqref="C69">
    <cfRule type="expression" dxfId="3856" priority="3509">
      <formula>E69&gt;0</formula>
    </cfRule>
  </conditionalFormatting>
  <conditionalFormatting sqref="C67">
    <cfRule type="expression" dxfId="3855" priority="3508">
      <formula>E67&gt;0</formula>
    </cfRule>
  </conditionalFormatting>
  <conditionalFormatting sqref="C68">
    <cfRule type="expression" dxfId="3854" priority="3507">
      <formula>E68&gt;0</formula>
    </cfRule>
  </conditionalFormatting>
  <conditionalFormatting sqref="C69">
    <cfRule type="expression" dxfId="3853" priority="3506">
      <formula>E69&gt;0</formula>
    </cfRule>
  </conditionalFormatting>
  <conditionalFormatting sqref="C70">
    <cfRule type="expression" dxfId="3852" priority="3505">
      <formula>E70&gt;0</formula>
    </cfRule>
  </conditionalFormatting>
  <conditionalFormatting sqref="C70">
    <cfRule type="expression" dxfId="3851" priority="3504">
      <formula>E70&gt;0</formula>
    </cfRule>
  </conditionalFormatting>
  <conditionalFormatting sqref="C70">
    <cfRule type="expression" dxfId="3850" priority="3503">
      <formula>E70&gt;0</formula>
    </cfRule>
  </conditionalFormatting>
  <conditionalFormatting sqref="C70">
    <cfRule type="expression" dxfId="3849" priority="3502">
      <formula>E70&gt;0</formula>
    </cfRule>
  </conditionalFormatting>
  <conditionalFormatting sqref="C65">
    <cfRule type="expression" dxfId="3848" priority="3501">
      <formula>E65&gt;0</formula>
    </cfRule>
  </conditionalFormatting>
  <conditionalFormatting sqref="C65">
    <cfRule type="expression" dxfId="3847" priority="3500">
      <formula>E65&gt;0</formula>
    </cfRule>
  </conditionalFormatting>
  <conditionalFormatting sqref="C65">
    <cfRule type="expression" dxfId="3846" priority="3499">
      <formula>E65&gt;0</formula>
    </cfRule>
  </conditionalFormatting>
  <conditionalFormatting sqref="C65">
    <cfRule type="expression" dxfId="3845" priority="3498">
      <formula>E65&gt;0</formula>
    </cfRule>
  </conditionalFormatting>
  <conditionalFormatting sqref="C65">
    <cfRule type="expression" dxfId="3844" priority="3497">
      <formula>E65&gt;0</formula>
    </cfRule>
  </conditionalFormatting>
  <conditionalFormatting sqref="C65">
    <cfRule type="expression" dxfId="3843" priority="3496">
      <formula>E65&gt;0</formula>
    </cfRule>
  </conditionalFormatting>
  <conditionalFormatting sqref="C65">
    <cfRule type="expression" dxfId="3842" priority="3495">
      <formula>E65&gt;0</formula>
    </cfRule>
  </conditionalFormatting>
  <conditionalFormatting sqref="C65">
    <cfRule type="expression" dxfId="3841" priority="3494">
      <formula>E65&gt;0</formula>
    </cfRule>
  </conditionalFormatting>
  <conditionalFormatting sqref="C65">
    <cfRule type="expression" dxfId="3840" priority="3493">
      <formula>E65&gt;0</formula>
    </cfRule>
  </conditionalFormatting>
  <conditionalFormatting sqref="C65">
    <cfRule type="expression" dxfId="3839" priority="3492">
      <formula>E65&gt;0</formula>
    </cfRule>
  </conditionalFormatting>
  <conditionalFormatting sqref="C65">
    <cfRule type="expression" dxfId="3838" priority="3491">
      <formula>E65&gt;0</formula>
    </cfRule>
  </conditionalFormatting>
  <conditionalFormatting sqref="C65">
    <cfRule type="expression" dxfId="3837" priority="3490">
      <formula>E65&gt;0</formula>
    </cfRule>
  </conditionalFormatting>
  <conditionalFormatting sqref="C65">
    <cfRule type="expression" dxfId="3836" priority="3489">
      <formula>E65&gt;0</formula>
    </cfRule>
  </conditionalFormatting>
  <conditionalFormatting sqref="C65">
    <cfRule type="expression" dxfId="3835" priority="3488">
      <formula>E65&gt;0</formula>
    </cfRule>
  </conditionalFormatting>
  <conditionalFormatting sqref="C65">
    <cfRule type="expression" dxfId="3834" priority="3487">
      <formula>E65&gt;0</formula>
    </cfRule>
  </conditionalFormatting>
  <conditionalFormatting sqref="C65">
    <cfRule type="expression" dxfId="3833" priority="3486">
      <formula>E65&gt;0</formula>
    </cfRule>
  </conditionalFormatting>
  <conditionalFormatting sqref="C65">
    <cfRule type="expression" dxfId="3832" priority="3485">
      <formula>E65&gt;0</formula>
    </cfRule>
  </conditionalFormatting>
  <conditionalFormatting sqref="C65">
    <cfRule type="expression" dxfId="3831" priority="3484">
      <formula>E65&gt;0</formula>
    </cfRule>
  </conditionalFormatting>
  <conditionalFormatting sqref="C65">
    <cfRule type="expression" dxfId="3830" priority="3483">
      <formula>E65&gt;0</formula>
    </cfRule>
  </conditionalFormatting>
  <conditionalFormatting sqref="C65">
    <cfRule type="expression" dxfId="3829" priority="3482">
      <formula>E65&gt;0</formula>
    </cfRule>
  </conditionalFormatting>
  <conditionalFormatting sqref="C65">
    <cfRule type="expression" dxfId="3828" priority="3481">
      <formula>E65&gt;0</formula>
    </cfRule>
  </conditionalFormatting>
  <conditionalFormatting sqref="C65">
    <cfRule type="expression" dxfId="3827" priority="3480">
      <formula>E65&gt;0</formula>
    </cfRule>
  </conditionalFormatting>
  <conditionalFormatting sqref="C65">
    <cfRule type="expression" dxfId="3826" priority="3479">
      <formula>E65&gt;0</formula>
    </cfRule>
  </conditionalFormatting>
  <conditionalFormatting sqref="C65">
    <cfRule type="expression" dxfId="3825" priority="3478">
      <formula>E65&gt;0</formula>
    </cfRule>
  </conditionalFormatting>
  <conditionalFormatting sqref="C65">
    <cfRule type="expression" dxfId="3824" priority="3477">
      <formula>E65&gt;0</formula>
    </cfRule>
  </conditionalFormatting>
  <conditionalFormatting sqref="C65">
    <cfRule type="expression" dxfId="3823" priority="3476">
      <formula>E65&gt;0</formula>
    </cfRule>
  </conditionalFormatting>
  <conditionalFormatting sqref="C65">
    <cfRule type="expression" dxfId="3822" priority="3475">
      <formula>E65&gt;0</formula>
    </cfRule>
  </conditionalFormatting>
  <conditionalFormatting sqref="C65">
    <cfRule type="expression" dxfId="3821" priority="3474">
      <formula>E65&gt;0</formula>
    </cfRule>
  </conditionalFormatting>
  <conditionalFormatting sqref="C65">
    <cfRule type="expression" dxfId="3820" priority="3473">
      <formula>E65&gt;0</formula>
    </cfRule>
  </conditionalFormatting>
  <conditionalFormatting sqref="C65">
    <cfRule type="expression" dxfId="3819" priority="3472">
      <formula>E65&gt;0</formula>
    </cfRule>
  </conditionalFormatting>
  <conditionalFormatting sqref="C65">
    <cfRule type="expression" dxfId="3818" priority="3471">
      <formula>E65&gt;0</formula>
    </cfRule>
  </conditionalFormatting>
  <conditionalFormatting sqref="C65">
    <cfRule type="expression" dxfId="3817" priority="3470">
      <formula>E65&gt;0</formula>
    </cfRule>
  </conditionalFormatting>
  <conditionalFormatting sqref="C65">
    <cfRule type="expression" dxfId="3816" priority="3469">
      <formula>E65&gt;0</formula>
    </cfRule>
  </conditionalFormatting>
  <conditionalFormatting sqref="C65">
    <cfRule type="expression" dxfId="3815" priority="3468">
      <formula>E65&gt;0</formula>
    </cfRule>
  </conditionalFormatting>
  <conditionalFormatting sqref="C65">
    <cfRule type="expression" dxfId="3814" priority="3467">
      <formula>E65&gt;0</formula>
    </cfRule>
  </conditionalFormatting>
  <conditionalFormatting sqref="C65">
    <cfRule type="expression" dxfId="3813" priority="3466">
      <formula>E65&gt;0</formula>
    </cfRule>
  </conditionalFormatting>
  <conditionalFormatting sqref="C65">
    <cfRule type="expression" dxfId="3812" priority="3465">
      <formula>E65&gt;0</formula>
    </cfRule>
  </conditionalFormatting>
  <conditionalFormatting sqref="C65">
    <cfRule type="expression" dxfId="3811" priority="3464">
      <formula>E65&gt;0</formula>
    </cfRule>
  </conditionalFormatting>
  <conditionalFormatting sqref="C65">
    <cfRule type="expression" dxfId="3810" priority="3463">
      <formula>E65&gt;0</formula>
    </cfRule>
  </conditionalFormatting>
  <conditionalFormatting sqref="C65">
    <cfRule type="expression" dxfId="3809" priority="3462">
      <formula>E65&gt;0</formula>
    </cfRule>
  </conditionalFormatting>
  <conditionalFormatting sqref="C65">
    <cfRule type="expression" dxfId="3808" priority="3461">
      <formula>E65&gt;0</formula>
    </cfRule>
  </conditionalFormatting>
  <conditionalFormatting sqref="C65">
    <cfRule type="expression" dxfId="3807" priority="3460">
      <formula>E65&gt;0</formula>
    </cfRule>
  </conditionalFormatting>
  <conditionalFormatting sqref="C65">
    <cfRule type="expression" dxfId="3806" priority="3459">
      <formula>E65&gt;0</formula>
    </cfRule>
  </conditionalFormatting>
  <conditionalFormatting sqref="C65">
    <cfRule type="expression" dxfId="3805" priority="3458">
      <formula>E65&gt;0</formula>
    </cfRule>
  </conditionalFormatting>
  <conditionalFormatting sqref="C65">
    <cfRule type="expression" dxfId="3804" priority="3457">
      <formula>E65&gt;0</formula>
    </cfRule>
  </conditionalFormatting>
  <conditionalFormatting sqref="C65">
    <cfRule type="expression" dxfId="3803" priority="3456">
      <formula>E65&gt;0</formula>
    </cfRule>
  </conditionalFormatting>
  <conditionalFormatting sqref="C65">
    <cfRule type="expression" dxfId="3802" priority="3455">
      <formula>E65&gt;0</formula>
    </cfRule>
  </conditionalFormatting>
  <conditionalFormatting sqref="C65">
    <cfRule type="expression" dxfId="3801" priority="3454">
      <formula>E65&gt;0</formula>
    </cfRule>
  </conditionalFormatting>
  <conditionalFormatting sqref="C65">
    <cfRule type="expression" dxfId="3800" priority="3453">
      <formula>E65&gt;0</formula>
    </cfRule>
  </conditionalFormatting>
  <conditionalFormatting sqref="C65">
    <cfRule type="expression" dxfId="3799" priority="3452">
      <formula>E65&gt;0</formula>
    </cfRule>
  </conditionalFormatting>
  <conditionalFormatting sqref="C65">
    <cfRule type="expression" dxfId="3798" priority="3451">
      <formula>E65&gt;0</formula>
    </cfRule>
  </conditionalFormatting>
  <conditionalFormatting sqref="C65">
    <cfRule type="expression" dxfId="3797" priority="3450">
      <formula>E65&gt;0</formula>
    </cfRule>
  </conditionalFormatting>
  <conditionalFormatting sqref="C65">
    <cfRule type="expression" dxfId="3796" priority="3449">
      <formula>E65&gt;0</formula>
    </cfRule>
  </conditionalFormatting>
  <conditionalFormatting sqref="C65">
    <cfRule type="expression" dxfId="3795" priority="3448">
      <formula>E65&gt;0</formula>
    </cfRule>
  </conditionalFormatting>
  <conditionalFormatting sqref="C65">
    <cfRule type="expression" dxfId="3794" priority="3447">
      <formula>E65&gt;0</formula>
    </cfRule>
  </conditionalFormatting>
  <conditionalFormatting sqref="C65">
    <cfRule type="expression" dxfId="3793" priority="3446">
      <formula>E65&gt;0</formula>
    </cfRule>
  </conditionalFormatting>
  <conditionalFormatting sqref="C65">
    <cfRule type="expression" dxfId="3792" priority="3445">
      <formula>E65&gt;0</formula>
    </cfRule>
  </conditionalFormatting>
  <conditionalFormatting sqref="C65">
    <cfRule type="expression" dxfId="3791" priority="3444">
      <formula>E65&gt;0</formula>
    </cfRule>
  </conditionalFormatting>
  <conditionalFormatting sqref="C65">
    <cfRule type="expression" dxfId="3790" priority="3443">
      <formula>E65&gt;0</formula>
    </cfRule>
  </conditionalFormatting>
  <conditionalFormatting sqref="C65">
    <cfRule type="expression" dxfId="3789" priority="3442">
      <formula>E65&gt;0</formula>
    </cfRule>
  </conditionalFormatting>
  <conditionalFormatting sqref="C65">
    <cfRule type="expression" dxfId="3788" priority="3441">
      <formula>E65&gt;0</formula>
    </cfRule>
  </conditionalFormatting>
  <conditionalFormatting sqref="C65">
    <cfRule type="expression" dxfId="3787" priority="3440">
      <formula>E65&gt;0</formula>
    </cfRule>
  </conditionalFormatting>
  <conditionalFormatting sqref="C65">
    <cfRule type="expression" dxfId="3786" priority="3439">
      <formula>E65&gt;0</formula>
    </cfRule>
  </conditionalFormatting>
  <conditionalFormatting sqref="C65">
    <cfRule type="expression" dxfId="3785" priority="3438">
      <formula>E65&gt;0</formula>
    </cfRule>
  </conditionalFormatting>
  <conditionalFormatting sqref="C65">
    <cfRule type="expression" dxfId="3784" priority="3437">
      <formula>E65&gt;0</formula>
    </cfRule>
  </conditionalFormatting>
  <conditionalFormatting sqref="C71">
    <cfRule type="expression" dxfId="3783" priority="3436">
      <formula>E71&gt;0</formula>
    </cfRule>
  </conditionalFormatting>
  <conditionalFormatting sqref="C71">
    <cfRule type="expression" dxfId="3782" priority="3435">
      <formula>E71&gt;0</formula>
    </cfRule>
  </conditionalFormatting>
  <conditionalFormatting sqref="C71">
    <cfRule type="expression" dxfId="3781" priority="3434">
      <formula>E71&gt;0</formula>
    </cfRule>
  </conditionalFormatting>
  <conditionalFormatting sqref="C71">
    <cfRule type="expression" dxfId="3780" priority="3433">
      <formula>E71&gt;0</formula>
    </cfRule>
  </conditionalFormatting>
  <conditionalFormatting sqref="C71">
    <cfRule type="expression" dxfId="3779" priority="3432">
      <formula>E71&gt;0</formula>
    </cfRule>
  </conditionalFormatting>
  <conditionalFormatting sqref="C71">
    <cfRule type="expression" dxfId="3778" priority="3431">
      <formula>E71&gt;0</formula>
    </cfRule>
  </conditionalFormatting>
  <conditionalFormatting sqref="C71">
    <cfRule type="expression" dxfId="3777" priority="3430">
      <formula>E71&gt;0</formula>
    </cfRule>
  </conditionalFormatting>
  <conditionalFormatting sqref="C71">
    <cfRule type="expression" dxfId="3776" priority="3429">
      <formula>E71&gt;0</formula>
    </cfRule>
  </conditionalFormatting>
  <conditionalFormatting sqref="C71">
    <cfRule type="expression" dxfId="3775" priority="3428">
      <formula>E71&gt;0</formula>
    </cfRule>
  </conditionalFormatting>
  <conditionalFormatting sqref="C71">
    <cfRule type="expression" dxfId="3774" priority="3427">
      <formula>E71&gt;0</formula>
    </cfRule>
  </conditionalFormatting>
  <conditionalFormatting sqref="C71">
    <cfRule type="expression" dxfId="3773" priority="3426">
      <formula>E71&gt;0</formula>
    </cfRule>
  </conditionalFormatting>
  <conditionalFormatting sqref="C71">
    <cfRule type="expression" dxfId="3772" priority="3425">
      <formula>E71&gt;0</formula>
    </cfRule>
  </conditionalFormatting>
  <conditionalFormatting sqref="C71">
    <cfRule type="expression" dxfId="3771" priority="3424">
      <formula>E71&gt;0</formula>
    </cfRule>
  </conditionalFormatting>
  <conditionalFormatting sqref="C71">
    <cfRule type="expression" dxfId="3770" priority="3423">
      <formula>E71&gt;0</formula>
    </cfRule>
  </conditionalFormatting>
  <conditionalFormatting sqref="C71">
    <cfRule type="expression" dxfId="3769" priority="3422">
      <formula>E71&gt;0</formula>
    </cfRule>
  </conditionalFormatting>
  <conditionalFormatting sqref="C71">
    <cfRule type="expression" dxfId="3768" priority="3421">
      <formula>E71&gt;0</formula>
    </cfRule>
  </conditionalFormatting>
  <conditionalFormatting sqref="C71">
    <cfRule type="expression" dxfId="3767" priority="3420">
      <formula>E71&gt;0</formula>
    </cfRule>
  </conditionalFormatting>
  <conditionalFormatting sqref="C71">
    <cfRule type="expression" dxfId="3766" priority="3419">
      <formula>E71&gt;0</formula>
    </cfRule>
  </conditionalFormatting>
  <conditionalFormatting sqref="C71">
    <cfRule type="expression" dxfId="3765" priority="3418">
      <formula>E71&gt;0</formula>
    </cfRule>
  </conditionalFormatting>
  <conditionalFormatting sqref="C71">
    <cfRule type="expression" dxfId="3764" priority="3417">
      <formula>E71&gt;0</formula>
    </cfRule>
  </conditionalFormatting>
  <conditionalFormatting sqref="C71">
    <cfRule type="expression" dxfId="3763" priority="3416">
      <formula>E71&gt;0</formula>
    </cfRule>
  </conditionalFormatting>
  <conditionalFormatting sqref="C71">
    <cfRule type="expression" dxfId="3762" priority="3415">
      <formula>E71&gt;0</formula>
    </cfRule>
  </conditionalFormatting>
  <conditionalFormatting sqref="C71">
    <cfRule type="expression" dxfId="3761" priority="3414">
      <formula>E71&gt;0</formula>
    </cfRule>
  </conditionalFormatting>
  <conditionalFormatting sqref="C71">
    <cfRule type="expression" dxfId="3760" priority="3413">
      <formula>E71&gt;0</formula>
    </cfRule>
  </conditionalFormatting>
  <conditionalFormatting sqref="C71">
    <cfRule type="expression" dxfId="3759" priority="3412">
      <formula>E71&gt;0</formula>
    </cfRule>
  </conditionalFormatting>
  <conditionalFormatting sqref="C71">
    <cfRule type="expression" dxfId="3758" priority="3411">
      <formula>E71&gt;0</formula>
    </cfRule>
  </conditionalFormatting>
  <conditionalFormatting sqref="C71">
    <cfRule type="expression" dxfId="3757" priority="3410">
      <formula>E71&gt;0</formula>
    </cfRule>
  </conditionalFormatting>
  <conditionalFormatting sqref="C71">
    <cfRule type="expression" dxfId="3756" priority="3409">
      <formula>E71&gt;0</formula>
    </cfRule>
  </conditionalFormatting>
  <conditionalFormatting sqref="C71">
    <cfRule type="expression" dxfId="3755" priority="3408">
      <formula>E71&gt;0</formula>
    </cfRule>
  </conditionalFormatting>
  <conditionalFormatting sqref="C71">
    <cfRule type="expression" dxfId="3754" priority="3407">
      <formula>E71&gt;0</formula>
    </cfRule>
  </conditionalFormatting>
  <conditionalFormatting sqref="C71">
    <cfRule type="expression" dxfId="3753" priority="3406">
      <formula>E71&gt;0</formula>
    </cfRule>
  </conditionalFormatting>
  <conditionalFormatting sqref="C71">
    <cfRule type="expression" dxfId="3752" priority="3405">
      <formula>E71&gt;0</formula>
    </cfRule>
  </conditionalFormatting>
  <conditionalFormatting sqref="C71">
    <cfRule type="expression" dxfId="3751" priority="3404">
      <formula>E71&gt;0</formula>
    </cfRule>
  </conditionalFormatting>
  <conditionalFormatting sqref="C71">
    <cfRule type="expression" dxfId="3750" priority="3403">
      <formula>E71&gt;0</formula>
    </cfRule>
  </conditionalFormatting>
  <conditionalFormatting sqref="C71">
    <cfRule type="expression" dxfId="3749" priority="3402">
      <formula>E71&gt;0</formula>
    </cfRule>
  </conditionalFormatting>
  <conditionalFormatting sqref="C71">
    <cfRule type="expression" dxfId="3748" priority="3401">
      <formula>E71&gt;0</formula>
    </cfRule>
  </conditionalFormatting>
  <conditionalFormatting sqref="C71">
    <cfRule type="expression" dxfId="3747" priority="3400">
      <formula>E71&gt;0</formula>
    </cfRule>
  </conditionalFormatting>
  <conditionalFormatting sqref="C71">
    <cfRule type="expression" dxfId="3746" priority="3399">
      <formula>E71&gt;0</formula>
    </cfRule>
  </conditionalFormatting>
  <conditionalFormatting sqref="C71">
    <cfRule type="expression" dxfId="3745" priority="3398">
      <formula>E71&gt;0</formula>
    </cfRule>
  </conditionalFormatting>
  <conditionalFormatting sqref="C71">
    <cfRule type="expression" dxfId="3744" priority="3397">
      <formula>E71&gt;0</formula>
    </cfRule>
  </conditionalFormatting>
  <conditionalFormatting sqref="C71">
    <cfRule type="expression" dxfId="3743" priority="3396">
      <formula>E71&gt;0</formula>
    </cfRule>
  </conditionalFormatting>
  <conditionalFormatting sqref="C71">
    <cfRule type="expression" dxfId="3742" priority="3395">
      <formula>E71&gt;0</formula>
    </cfRule>
  </conditionalFormatting>
  <conditionalFormatting sqref="C71">
    <cfRule type="expression" dxfId="3741" priority="3394">
      <formula>E71&gt;0</formula>
    </cfRule>
  </conditionalFormatting>
  <conditionalFormatting sqref="C71">
    <cfRule type="expression" dxfId="3740" priority="3393">
      <formula>E71&gt;0</formula>
    </cfRule>
  </conditionalFormatting>
  <conditionalFormatting sqref="C71">
    <cfRule type="expression" dxfId="3739" priority="3392">
      <formula>E71&gt;0</formula>
    </cfRule>
  </conditionalFormatting>
  <conditionalFormatting sqref="C71">
    <cfRule type="expression" dxfId="3738" priority="3391">
      <formula>E71&gt;0</formula>
    </cfRule>
  </conditionalFormatting>
  <conditionalFormatting sqref="C71">
    <cfRule type="expression" dxfId="3737" priority="3390">
      <formula>E71&gt;0</formula>
    </cfRule>
  </conditionalFormatting>
  <conditionalFormatting sqref="C71">
    <cfRule type="expression" dxfId="3736" priority="3389">
      <formula>E71&gt;0</formula>
    </cfRule>
  </conditionalFormatting>
  <conditionalFormatting sqref="C71">
    <cfRule type="expression" dxfId="3735" priority="3388">
      <formula>E71&gt;0</formula>
    </cfRule>
  </conditionalFormatting>
  <conditionalFormatting sqref="C71">
    <cfRule type="expression" dxfId="3734" priority="3387">
      <formula>E71&gt;0</formula>
    </cfRule>
  </conditionalFormatting>
  <conditionalFormatting sqref="C71">
    <cfRule type="expression" dxfId="3733" priority="3386">
      <formula>E71&gt;0</formula>
    </cfRule>
  </conditionalFormatting>
  <conditionalFormatting sqref="C71">
    <cfRule type="expression" dxfId="3732" priority="3385">
      <formula>E71&gt;0</formula>
    </cfRule>
  </conditionalFormatting>
  <conditionalFormatting sqref="C71">
    <cfRule type="expression" dxfId="3731" priority="3384">
      <formula>E71&gt;0</formula>
    </cfRule>
  </conditionalFormatting>
  <conditionalFormatting sqref="C71">
    <cfRule type="expression" dxfId="3730" priority="3383">
      <formula>E71&gt;0</formula>
    </cfRule>
  </conditionalFormatting>
  <conditionalFormatting sqref="C71">
    <cfRule type="expression" dxfId="3729" priority="3382">
      <formula>E71&gt;0</formula>
    </cfRule>
  </conditionalFormatting>
  <conditionalFormatting sqref="C71">
    <cfRule type="expression" dxfId="3728" priority="3381">
      <formula>E71&gt;0</formula>
    </cfRule>
  </conditionalFormatting>
  <conditionalFormatting sqref="C71">
    <cfRule type="expression" dxfId="3727" priority="3380">
      <formula>E71&gt;0</formula>
    </cfRule>
  </conditionalFormatting>
  <conditionalFormatting sqref="C72">
    <cfRule type="expression" dxfId="3726" priority="3379">
      <formula>E72&gt;0</formula>
    </cfRule>
  </conditionalFormatting>
  <conditionalFormatting sqref="C72">
    <cfRule type="expression" dxfId="3725" priority="3378">
      <formula>E72&gt;0</formula>
    </cfRule>
  </conditionalFormatting>
  <conditionalFormatting sqref="C72">
    <cfRule type="expression" dxfId="3724" priority="3377">
      <formula>E72&gt;0</formula>
    </cfRule>
  </conditionalFormatting>
  <conditionalFormatting sqref="C72">
    <cfRule type="expression" dxfId="3723" priority="3376">
      <formula>E72&gt;0</formula>
    </cfRule>
  </conditionalFormatting>
  <conditionalFormatting sqref="C72">
    <cfRule type="expression" dxfId="3722" priority="3375">
      <formula>E72&gt;0</formula>
    </cfRule>
  </conditionalFormatting>
  <conditionalFormatting sqref="C72">
    <cfRule type="expression" dxfId="3721" priority="3374">
      <formula>E72&gt;0</formula>
    </cfRule>
  </conditionalFormatting>
  <conditionalFormatting sqref="C72">
    <cfRule type="expression" dxfId="3720" priority="3373">
      <formula>E72&gt;0</formula>
    </cfRule>
  </conditionalFormatting>
  <conditionalFormatting sqref="C72">
    <cfRule type="expression" dxfId="3719" priority="3372">
      <formula>E72&gt;0</formula>
    </cfRule>
  </conditionalFormatting>
  <conditionalFormatting sqref="C72">
    <cfRule type="expression" dxfId="3718" priority="3371">
      <formula>E72&gt;0</formula>
    </cfRule>
  </conditionalFormatting>
  <conditionalFormatting sqref="C72">
    <cfRule type="expression" dxfId="3717" priority="3370">
      <formula>E72&gt;0</formula>
    </cfRule>
  </conditionalFormatting>
  <conditionalFormatting sqref="C72">
    <cfRule type="expression" dxfId="3716" priority="3369">
      <formula>E72&gt;0</formula>
    </cfRule>
  </conditionalFormatting>
  <conditionalFormatting sqref="C72">
    <cfRule type="expression" dxfId="3715" priority="3368">
      <formula>E72&gt;0</formula>
    </cfRule>
  </conditionalFormatting>
  <conditionalFormatting sqref="C72">
    <cfRule type="expression" dxfId="3714" priority="3367">
      <formula>E72&gt;0</formula>
    </cfRule>
  </conditionalFormatting>
  <conditionalFormatting sqref="C72">
    <cfRule type="expression" dxfId="3713" priority="3366">
      <formula>E72&gt;0</formula>
    </cfRule>
  </conditionalFormatting>
  <conditionalFormatting sqref="C72">
    <cfRule type="expression" dxfId="3712" priority="3365">
      <formula>E72&gt;0</formula>
    </cfRule>
  </conditionalFormatting>
  <conditionalFormatting sqref="C72">
    <cfRule type="expression" dxfId="3711" priority="3364">
      <formula>E72&gt;0</formula>
    </cfRule>
  </conditionalFormatting>
  <conditionalFormatting sqref="C72">
    <cfRule type="expression" dxfId="3710" priority="3363">
      <formula>E72&gt;0</formula>
    </cfRule>
  </conditionalFormatting>
  <conditionalFormatting sqref="C72">
    <cfRule type="expression" dxfId="3709" priority="3362">
      <formula>E72&gt;0</formula>
    </cfRule>
  </conditionalFormatting>
  <conditionalFormatting sqref="C72">
    <cfRule type="expression" dxfId="3708" priority="3361">
      <formula>E72&gt;0</formula>
    </cfRule>
  </conditionalFormatting>
  <conditionalFormatting sqref="C72">
    <cfRule type="expression" dxfId="3707" priority="3360">
      <formula>E72&gt;0</formula>
    </cfRule>
  </conditionalFormatting>
  <conditionalFormatting sqref="C72">
    <cfRule type="expression" dxfId="3706" priority="3359">
      <formula>E72&gt;0</formula>
    </cfRule>
  </conditionalFormatting>
  <conditionalFormatting sqref="C72">
    <cfRule type="expression" dxfId="3705" priority="3358">
      <formula>E72&gt;0</formula>
    </cfRule>
  </conditionalFormatting>
  <conditionalFormatting sqref="C72">
    <cfRule type="expression" dxfId="3704" priority="3357">
      <formula>E72&gt;0</formula>
    </cfRule>
  </conditionalFormatting>
  <conditionalFormatting sqref="C72">
    <cfRule type="expression" dxfId="3703" priority="3356">
      <formula>E72&gt;0</formula>
    </cfRule>
  </conditionalFormatting>
  <conditionalFormatting sqref="C72">
    <cfRule type="expression" dxfId="3702" priority="3355">
      <formula>E72&gt;0</formula>
    </cfRule>
  </conditionalFormatting>
  <conditionalFormatting sqref="C72">
    <cfRule type="expression" dxfId="3701" priority="3354">
      <formula>E72&gt;0</formula>
    </cfRule>
  </conditionalFormatting>
  <conditionalFormatting sqref="C72">
    <cfRule type="expression" dxfId="3700" priority="3353">
      <formula>E72&gt;0</formula>
    </cfRule>
  </conditionalFormatting>
  <conditionalFormatting sqref="C72">
    <cfRule type="expression" dxfId="3699" priority="3352">
      <formula>E72&gt;0</formula>
    </cfRule>
  </conditionalFormatting>
  <conditionalFormatting sqref="C72">
    <cfRule type="expression" dxfId="3698" priority="3351">
      <formula>E72&gt;0</formula>
    </cfRule>
  </conditionalFormatting>
  <conditionalFormatting sqref="C72">
    <cfRule type="expression" dxfId="3697" priority="3350">
      <formula>E72&gt;0</formula>
    </cfRule>
  </conditionalFormatting>
  <conditionalFormatting sqref="C72">
    <cfRule type="expression" dxfId="3696" priority="3349">
      <formula>E72&gt;0</formula>
    </cfRule>
  </conditionalFormatting>
  <conditionalFormatting sqref="C72">
    <cfRule type="expression" dxfId="3695" priority="3348">
      <formula>E72&gt;0</formula>
    </cfRule>
  </conditionalFormatting>
  <conditionalFormatting sqref="C72">
    <cfRule type="expression" dxfId="3694" priority="3347">
      <formula>E72&gt;0</formula>
    </cfRule>
  </conditionalFormatting>
  <conditionalFormatting sqref="C72">
    <cfRule type="expression" dxfId="3693" priority="3346">
      <formula>E72&gt;0</formula>
    </cfRule>
  </conditionalFormatting>
  <conditionalFormatting sqref="C72">
    <cfRule type="expression" dxfId="3692" priority="3345">
      <formula>E72&gt;0</formula>
    </cfRule>
  </conditionalFormatting>
  <conditionalFormatting sqref="C72">
    <cfRule type="expression" dxfId="3691" priority="3344">
      <formula>E72&gt;0</formula>
    </cfRule>
  </conditionalFormatting>
  <conditionalFormatting sqref="C72">
    <cfRule type="expression" dxfId="3690" priority="3343">
      <formula>E72&gt;0</formula>
    </cfRule>
  </conditionalFormatting>
  <conditionalFormatting sqref="C72">
    <cfRule type="expression" dxfId="3689" priority="3342">
      <formula>E72&gt;0</formula>
    </cfRule>
  </conditionalFormatting>
  <conditionalFormatting sqref="C72">
    <cfRule type="expression" dxfId="3688" priority="3341">
      <formula>E72&gt;0</formula>
    </cfRule>
  </conditionalFormatting>
  <conditionalFormatting sqref="C72">
    <cfRule type="expression" dxfId="3687" priority="3340">
      <formula>E72&gt;0</formula>
    </cfRule>
  </conditionalFormatting>
  <conditionalFormatting sqref="C72">
    <cfRule type="expression" dxfId="3686" priority="3339">
      <formula>E72&gt;0</formula>
    </cfRule>
  </conditionalFormatting>
  <conditionalFormatting sqref="C72">
    <cfRule type="expression" dxfId="3685" priority="3338">
      <formula>E72&gt;0</formula>
    </cfRule>
  </conditionalFormatting>
  <conditionalFormatting sqref="C72">
    <cfRule type="expression" dxfId="3684" priority="3337">
      <formula>E72&gt;0</formula>
    </cfRule>
  </conditionalFormatting>
  <conditionalFormatting sqref="C72">
    <cfRule type="expression" dxfId="3683" priority="3336">
      <formula>E72&gt;0</formula>
    </cfRule>
  </conditionalFormatting>
  <conditionalFormatting sqref="C72">
    <cfRule type="expression" dxfId="3682" priority="3335">
      <formula>E72&gt;0</formula>
    </cfRule>
  </conditionalFormatting>
  <conditionalFormatting sqref="C72">
    <cfRule type="expression" dxfId="3681" priority="3334">
      <formula>E72&gt;0</formula>
    </cfRule>
  </conditionalFormatting>
  <conditionalFormatting sqref="C72">
    <cfRule type="expression" dxfId="3680" priority="3333">
      <formula>E72&gt;0</formula>
    </cfRule>
  </conditionalFormatting>
  <conditionalFormatting sqref="C72">
    <cfRule type="expression" dxfId="3679" priority="3332">
      <formula>E72&gt;0</formula>
    </cfRule>
  </conditionalFormatting>
  <conditionalFormatting sqref="C72">
    <cfRule type="expression" dxfId="3678" priority="3331">
      <formula>E72&gt;0</formula>
    </cfRule>
  </conditionalFormatting>
  <conditionalFormatting sqref="C72">
    <cfRule type="expression" dxfId="3677" priority="3330">
      <formula>E72&gt;0</formula>
    </cfRule>
  </conditionalFormatting>
  <conditionalFormatting sqref="C72">
    <cfRule type="expression" dxfId="3676" priority="3329">
      <formula>E72&gt;0</formula>
    </cfRule>
  </conditionalFormatting>
  <conditionalFormatting sqref="C72">
    <cfRule type="expression" dxfId="3675" priority="3328">
      <formula>E72&gt;0</formula>
    </cfRule>
  </conditionalFormatting>
  <conditionalFormatting sqref="C72">
    <cfRule type="expression" dxfId="3674" priority="3327">
      <formula>E72&gt;0</formula>
    </cfRule>
  </conditionalFormatting>
  <conditionalFormatting sqref="C72">
    <cfRule type="expression" dxfId="3673" priority="3326">
      <formula>E72&gt;0</formula>
    </cfRule>
  </conditionalFormatting>
  <conditionalFormatting sqref="C72">
    <cfRule type="expression" dxfId="3672" priority="3325">
      <formula>E72&gt;0</formula>
    </cfRule>
  </conditionalFormatting>
  <conditionalFormatting sqref="C72">
    <cfRule type="expression" dxfId="3671" priority="3324">
      <formula>E72&gt;0</formula>
    </cfRule>
  </conditionalFormatting>
  <conditionalFormatting sqref="C72">
    <cfRule type="expression" dxfId="3670" priority="3323">
      <formula>E72&gt;0</formula>
    </cfRule>
  </conditionalFormatting>
  <conditionalFormatting sqref="C72">
    <cfRule type="expression" dxfId="3669" priority="3322">
      <formula>E72&gt;0</formula>
    </cfRule>
  </conditionalFormatting>
  <conditionalFormatting sqref="C65">
    <cfRule type="expression" dxfId="3668" priority="3321">
      <formula>E65&gt;0</formula>
    </cfRule>
  </conditionalFormatting>
  <conditionalFormatting sqref="C65">
    <cfRule type="expression" dxfId="3667" priority="3320">
      <formula>E65&gt;0</formula>
    </cfRule>
  </conditionalFormatting>
  <conditionalFormatting sqref="C65">
    <cfRule type="expression" dxfId="3666" priority="3319">
      <formula>E65&gt;0</formula>
    </cfRule>
  </conditionalFormatting>
  <conditionalFormatting sqref="C65">
    <cfRule type="expression" dxfId="3665" priority="3318">
      <formula>E65&gt;0</formula>
    </cfRule>
  </conditionalFormatting>
  <conditionalFormatting sqref="C65">
    <cfRule type="expression" dxfId="3664" priority="3317">
      <formula>E65&gt;0</formula>
    </cfRule>
  </conditionalFormatting>
  <conditionalFormatting sqref="C65">
    <cfRule type="expression" dxfId="3663" priority="3316">
      <formula>E65&gt;0</formula>
    </cfRule>
  </conditionalFormatting>
  <conditionalFormatting sqref="C65">
    <cfRule type="expression" dxfId="3662" priority="3315">
      <formula>E65&gt;0</formula>
    </cfRule>
  </conditionalFormatting>
  <conditionalFormatting sqref="C65">
    <cfRule type="expression" dxfId="3661" priority="3314">
      <formula>E65&gt;0</formula>
    </cfRule>
  </conditionalFormatting>
  <conditionalFormatting sqref="C65">
    <cfRule type="expression" dxfId="3660" priority="3313">
      <formula>E65&gt;0</formula>
    </cfRule>
  </conditionalFormatting>
  <conditionalFormatting sqref="C65">
    <cfRule type="expression" dxfId="3659" priority="3312">
      <formula>E65&gt;0</formula>
    </cfRule>
  </conditionalFormatting>
  <conditionalFormatting sqref="C65">
    <cfRule type="expression" dxfId="3658" priority="3311">
      <formula>E65&gt;0</formula>
    </cfRule>
  </conditionalFormatting>
  <conditionalFormatting sqref="C65">
    <cfRule type="expression" dxfId="3657" priority="3310">
      <formula>E65&gt;0</formula>
    </cfRule>
  </conditionalFormatting>
  <conditionalFormatting sqref="C65">
    <cfRule type="expression" dxfId="3656" priority="3309">
      <formula>E65&gt;0</formula>
    </cfRule>
  </conditionalFormatting>
  <conditionalFormatting sqref="C65">
    <cfRule type="expression" dxfId="3655" priority="3308">
      <formula>E65&gt;0</formula>
    </cfRule>
  </conditionalFormatting>
  <conditionalFormatting sqref="C65">
    <cfRule type="expression" dxfId="3654" priority="3307">
      <formula>E65&gt;0</formula>
    </cfRule>
  </conditionalFormatting>
  <conditionalFormatting sqref="C65">
    <cfRule type="expression" dxfId="3653" priority="3306">
      <formula>E65&gt;0</formula>
    </cfRule>
  </conditionalFormatting>
  <conditionalFormatting sqref="C65">
    <cfRule type="expression" dxfId="3652" priority="3305">
      <formula>E65&gt;0</formula>
    </cfRule>
  </conditionalFormatting>
  <conditionalFormatting sqref="C65">
    <cfRule type="expression" dxfId="3651" priority="3304">
      <formula>E65&gt;0</formula>
    </cfRule>
  </conditionalFormatting>
  <conditionalFormatting sqref="C65">
    <cfRule type="expression" dxfId="3650" priority="3303">
      <formula>E65&gt;0</formula>
    </cfRule>
  </conditionalFormatting>
  <conditionalFormatting sqref="C65">
    <cfRule type="expression" dxfId="3649" priority="3302">
      <formula>E65&gt;0</formula>
    </cfRule>
  </conditionalFormatting>
  <conditionalFormatting sqref="C65">
    <cfRule type="expression" dxfId="3648" priority="3301">
      <formula>E65&gt;0</formula>
    </cfRule>
  </conditionalFormatting>
  <conditionalFormatting sqref="C65">
    <cfRule type="expression" dxfId="3647" priority="3300">
      <formula>E65&gt;0</formula>
    </cfRule>
  </conditionalFormatting>
  <conditionalFormatting sqref="C65">
    <cfRule type="expression" dxfId="3646" priority="3299">
      <formula>E65&gt;0</formula>
    </cfRule>
  </conditionalFormatting>
  <conditionalFormatting sqref="C65">
    <cfRule type="expression" dxfId="3645" priority="3298">
      <formula>E65&gt;0</formula>
    </cfRule>
  </conditionalFormatting>
  <conditionalFormatting sqref="C65">
    <cfRule type="expression" dxfId="3644" priority="3297">
      <formula>E65&gt;0</formula>
    </cfRule>
  </conditionalFormatting>
  <conditionalFormatting sqref="C65">
    <cfRule type="expression" dxfId="3643" priority="3296">
      <formula>E65&gt;0</formula>
    </cfRule>
  </conditionalFormatting>
  <conditionalFormatting sqref="C65">
    <cfRule type="expression" dxfId="3642" priority="3295">
      <formula>E65&gt;0</formula>
    </cfRule>
  </conditionalFormatting>
  <conditionalFormatting sqref="C65">
    <cfRule type="expression" dxfId="3641" priority="3294">
      <formula>E65&gt;0</formula>
    </cfRule>
  </conditionalFormatting>
  <conditionalFormatting sqref="C65">
    <cfRule type="expression" dxfId="3640" priority="3293">
      <formula>E65&gt;0</formula>
    </cfRule>
  </conditionalFormatting>
  <conditionalFormatting sqref="C65">
    <cfRule type="expression" dxfId="3639" priority="3292">
      <formula>E65&gt;0</formula>
    </cfRule>
  </conditionalFormatting>
  <conditionalFormatting sqref="C65">
    <cfRule type="expression" dxfId="3638" priority="3291">
      <formula>E65&gt;0</formula>
    </cfRule>
  </conditionalFormatting>
  <conditionalFormatting sqref="C65">
    <cfRule type="expression" dxfId="3637" priority="3290">
      <formula>E65&gt;0</formula>
    </cfRule>
  </conditionalFormatting>
  <conditionalFormatting sqref="C65">
    <cfRule type="expression" dxfId="3636" priority="3289">
      <formula>E65&gt;0</formula>
    </cfRule>
  </conditionalFormatting>
  <conditionalFormatting sqref="C65">
    <cfRule type="expression" dxfId="3635" priority="3288">
      <formula>E65&gt;0</formula>
    </cfRule>
  </conditionalFormatting>
  <conditionalFormatting sqref="C65">
    <cfRule type="expression" dxfId="3634" priority="3287">
      <formula>E65&gt;0</formula>
    </cfRule>
  </conditionalFormatting>
  <conditionalFormatting sqref="C65">
    <cfRule type="expression" dxfId="3633" priority="3286">
      <formula>E65&gt;0</formula>
    </cfRule>
  </conditionalFormatting>
  <conditionalFormatting sqref="C65">
    <cfRule type="expression" dxfId="3632" priority="3285">
      <formula>E65&gt;0</formula>
    </cfRule>
  </conditionalFormatting>
  <conditionalFormatting sqref="C65">
    <cfRule type="expression" dxfId="3631" priority="3284">
      <formula>E65&gt;0</formula>
    </cfRule>
  </conditionalFormatting>
  <conditionalFormatting sqref="C65">
    <cfRule type="expression" dxfId="3630" priority="3283">
      <formula>E65&gt;0</formula>
    </cfRule>
  </conditionalFormatting>
  <conditionalFormatting sqref="C65">
    <cfRule type="expression" dxfId="3629" priority="3282">
      <formula>E65&gt;0</formula>
    </cfRule>
  </conditionalFormatting>
  <conditionalFormatting sqref="C65">
    <cfRule type="expression" dxfId="3628" priority="3281">
      <formula>E65&gt;0</formula>
    </cfRule>
  </conditionalFormatting>
  <conditionalFormatting sqref="C65">
    <cfRule type="expression" dxfId="3627" priority="3280">
      <formula>E65&gt;0</formula>
    </cfRule>
  </conditionalFormatting>
  <conditionalFormatting sqref="C65">
    <cfRule type="expression" dxfId="3626" priority="3279">
      <formula>E65&gt;0</formula>
    </cfRule>
  </conditionalFormatting>
  <conditionalFormatting sqref="C65">
    <cfRule type="expression" dxfId="3625" priority="3278">
      <formula>E65&gt;0</formula>
    </cfRule>
  </conditionalFormatting>
  <conditionalFormatting sqref="C65">
    <cfRule type="expression" dxfId="3624" priority="3277">
      <formula>E65&gt;0</formula>
    </cfRule>
  </conditionalFormatting>
  <conditionalFormatting sqref="C65">
    <cfRule type="expression" dxfId="3623" priority="3276">
      <formula>E65&gt;0</formula>
    </cfRule>
  </conditionalFormatting>
  <conditionalFormatting sqref="C65">
    <cfRule type="expression" dxfId="3622" priority="3275">
      <formula>E65&gt;0</formula>
    </cfRule>
  </conditionalFormatting>
  <conditionalFormatting sqref="C65">
    <cfRule type="expression" dxfId="3621" priority="3274">
      <formula>E65&gt;0</formula>
    </cfRule>
  </conditionalFormatting>
  <conditionalFormatting sqref="C65">
    <cfRule type="expression" dxfId="3620" priority="3273">
      <formula>E65&gt;0</formula>
    </cfRule>
  </conditionalFormatting>
  <conditionalFormatting sqref="C65">
    <cfRule type="expression" dxfId="3619" priority="3272">
      <formula>E65&gt;0</formula>
    </cfRule>
  </conditionalFormatting>
  <conditionalFormatting sqref="C65">
    <cfRule type="expression" dxfId="3618" priority="3271">
      <formula>E65&gt;0</formula>
    </cfRule>
  </conditionalFormatting>
  <conditionalFormatting sqref="C65">
    <cfRule type="expression" dxfId="3617" priority="3270">
      <formula>E65&gt;0</formula>
    </cfRule>
  </conditionalFormatting>
  <conditionalFormatting sqref="C65">
    <cfRule type="expression" dxfId="3616" priority="3269">
      <formula>E65&gt;0</formula>
    </cfRule>
  </conditionalFormatting>
  <conditionalFormatting sqref="C65">
    <cfRule type="expression" dxfId="3615" priority="3268">
      <formula>E65&gt;0</formula>
    </cfRule>
  </conditionalFormatting>
  <conditionalFormatting sqref="C65">
    <cfRule type="expression" dxfId="3614" priority="3267">
      <formula>E65&gt;0</formula>
    </cfRule>
  </conditionalFormatting>
  <conditionalFormatting sqref="C65">
    <cfRule type="expression" dxfId="3613" priority="3266">
      <formula>E65&gt;0</formula>
    </cfRule>
  </conditionalFormatting>
  <conditionalFormatting sqref="C65">
    <cfRule type="expression" dxfId="3612" priority="3265">
      <formula>E65&gt;0</formula>
    </cfRule>
  </conditionalFormatting>
  <conditionalFormatting sqref="C65">
    <cfRule type="expression" dxfId="3611" priority="3264">
      <formula>E65&gt;0</formula>
    </cfRule>
  </conditionalFormatting>
  <conditionalFormatting sqref="C65">
    <cfRule type="expression" dxfId="3610" priority="3263">
      <formula>E65&gt;0</formula>
    </cfRule>
  </conditionalFormatting>
  <conditionalFormatting sqref="C65">
    <cfRule type="expression" dxfId="3609" priority="3262">
      <formula>E65&gt;0</formula>
    </cfRule>
  </conditionalFormatting>
  <conditionalFormatting sqref="C65">
    <cfRule type="expression" dxfId="3608" priority="3261">
      <formula>E65&gt;0</formula>
    </cfRule>
  </conditionalFormatting>
  <conditionalFormatting sqref="C65">
    <cfRule type="expression" dxfId="3607" priority="3260">
      <formula>E65&gt;0</formula>
    </cfRule>
  </conditionalFormatting>
  <conditionalFormatting sqref="C65">
    <cfRule type="expression" dxfId="3606" priority="3259">
      <formula>E65&gt;0</formula>
    </cfRule>
  </conditionalFormatting>
  <conditionalFormatting sqref="C65">
    <cfRule type="expression" dxfId="3605" priority="3258">
      <formula>E65&gt;0</formula>
    </cfRule>
  </conditionalFormatting>
  <conditionalFormatting sqref="C65">
    <cfRule type="expression" dxfId="3604" priority="3257">
      <formula>E65&gt;0</formula>
    </cfRule>
  </conditionalFormatting>
  <conditionalFormatting sqref="C9">
    <cfRule type="expression" dxfId="3603" priority="3256">
      <formula>E9&gt;0</formula>
    </cfRule>
  </conditionalFormatting>
  <conditionalFormatting sqref="C10">
    <cfRule type="expression" dxfId="3602" priority="3255">
      <formula>E10&gt;0</formula>
    </cfRule>
  </conditionalFormatting>
  <conditionalFormatting sqref="C9">
    <cfRule type="expression" dxfId="3601" priority="3254">
      <formula>E9&gt;0</formula>
    </cfRule>
  </conditionalFormatting>
  <conditionalFormatting sqref="C10">
    <cfRule type="expression" dxfId="3600" priority="3253">
      <formula>E10&gt;0</formula>
    </cfRule>
  </conditionalFormatting>
  <conditionalFormatting sqref="C9">
    <cfRule type="expression" dxfId="3599" priority="3252">
      <formula>E9&gt;0</formula>
    </cfRule>
  </conditionalFormatting>
  <conditionalFormatting sqref="C10">
    <cfRule type="expression" dxfId="3598" priority="3251">
      <formula>E10&gt;0</formula>
    </cfRule>
  </conditionalFormatting>
  <conditionalFormatting sqref="C9">
    <cfRule type="expression" dxfId="3597" priority="3250">
      <formula>E9&gt;0</formula>
    </cfRule>
  </conditionalFormatting>
  <conditionalFormatting sqref="C10">
    <cfRule type="expression" dxfId="3596" priority="3249">
      <formula>E10&gt;0</formula>
    </cfRule>
  </conditionalFormatting>
  <conditionalFormatting sqref="C9">
    <cfRule type="expression" dxfId="3595" priority="3248">
      <formula>E9&gt;0</formula>
    </cfRule>
  </conditionalFormatting>
  <conditionalFormatting sqref="C10">
    <cfRule type="expression" dxfId="3594" priority="3247">
      <formula>E10&gt;0</formula>
    </cfRule>
  </conditionalFormatting>
  <conditionalFormatting sqref="C10">
    <cfRule type="expression" dxfId="3593" priority="3246">
      <formula>E10&gt;0</formula>
    </cfRule>
  </conditionalFormatting>
  <conditionalFormatting sqref="C10">
    <cfRule type="expression" dxfId="3592" priority="3245">
      <formula>E10&gt;0</formula>
    </cfRule>
  </conditionalFormatting>
  <conditionalFormatting sqref="C10">
    <cfRule type="expression" dxfId="3591" priority="3244">
      <formula>E10&gt;0</formula>
    </cfRule>
  </conditionalFormatting>
  <conditionalFormatting sqref="C10">
    <cfRule type="expression" dxfId="3590" priority="3243">
      <formula>E10&gt;0</formula>
    </cfRule>
  </conditionalFormatting>
  <conditionalFormatting sqref="C10">
    <cfRule type="expression" dxfId="3589" priority="3242">
      <formula>E10&gt;0</formula>
    </cfRule>
  </conditionalFormatting>
  <conditionalFormatting sqref="C10">
    <cfRule type="expression" dxfId="3588" priority="3241">
      <formula>E10&gt;0</formula>
    </cfRule>
  </conditionalFormatting>
  <conditionalFormatting sqref="C10">
    <cfRule type="expression" dxfId="3587" priority="3240">
      <formula>E10&gt;0</formula>
    </cfRule>
  </conditionalFormatting>
  <conditionalFormatting sqref="C10">
    <cfRule type="expression" dxfId="3586" priority="3239">
      <formula>E10&gt;0</formula>
    </cfRule>
  </conditionalFormatting>
  <conditionalFormatting sqref="C10">
    <cfRule type="expression" dxfId="3585" priority="3238">
      <formula>E10&gt;0</formula>
    </cfRule>
  </conditionalFormatting>
  <conditionalFormatting sqref="C10">
    <cfRule type="expression" dxfId="3584" priority="3237">
      <formula>E10&gt;0</formula>
    </cfRule>
  </conditionalFormatting>
  <conditionalFormatting sqref="C10">
    <cfRule type="expression" dxfId="3583" priority="3236">
      <formula>E10&gt;0</formula>
    </cfRule>
  </conditionalFormatting>
  <conditionalFormatting sqref="C10">
    <cfRule type="expression" dxfId="3582" priority="3235">
      <formula>E10&gt;0</formula>
    </cfRule>
  </conditionalFormatting>
  <conditionalFormatting sqref="C10">
    <cfRule type="expression" dxfId="3581" priority="3234">
      <formula>E10&gt;0</formula>
    </cfRule>
  </conditionalFormatting>
  <conditionalFormatting sqref="C10">
    <cfRule type="expression" dxfId="3580" priority="3233">
      <formula>E10&gt;0</formula>
    </cfRule>
  </conditionalFormatting>
  <conditionalFormatting sqref="C10">
    <cfRule type="expression" dxfId="3579" priority="3232">
      <formula>E10&gt;0</formula>
    </cfRule>
  </conditionalFormatting>
  <conditionalFormatting sqref="C10">
    <cfRule type="expression" dxfId="3578" priority="3231">
      <formula>E10&gt;0</formula>
    </cfRule>
  </conditionalFormatting>
  <conditionalFormatting sqref="C10">
    <cfRule type="expression" dxfId="3577" priority="3230">
      <formula>E10&gt;0</formula>
    </cfRule>
  </conditionalFormatting>
  <conditionalFormatting sqref="C9">
    <cfRule type="expression" dxfId="3576" priority="3229">
      <formula>E9&gt;0</formula>
    </cfRule>
  </conditionalFormatting>
  <conditionalFormatting sqref="C10">
    <cfRule type="expression" dxfId="3575" priority="3228">
      <formula>E10&gt;0</formula>
    </cfRule>
  </conditionalFormatting>
  <conditionalFormatting sqref="C9">
    <cfRule type="expression" dxfId="3574" priority="3227">
      <formula>E9&gt;0</formula>
    </cfRule>
  </conditionalFormatting>
  <conditionalFormatting sqref="C10">
    <cfRule type="expression" dxfId="3573" priority="3226">
      <formula>E10&gt;0</formula>
    </cfRule>
  </conditionalFormatting>
  <conditionalFormatting sqref="C9">
    <cfRule type="expression" dxfId="3572" priority="3225">
      <formula>E9&gt;0</formula>
    </cfRule>
  </conditionalFormatting>
  <conditionalFormatting sqref="C10">
    <cfRule type="expression" dxfId="3571" priority="3224">
      <formula>E10&gt;0</formula>
    </cfRule>
  </conditionalFormatting>
  <conditionalFormatting sqref="C10">
    <cfRule type="expression" dxfId="3570" priority="3223">
      <formula>E10&gt;0</formula>
    </cfRule>
  </conditionalFormatting>
  <conditionalFormatting sqref="C10">
    <cfRule type="expression" dxfId="3569" priority="3222">
      <formula>E10&gt;0</formula>
    </cfRule>
  </conditionalFormatting>
  <conditionalFormatting sqref="C9">
    <cfRule type="expression" dxfId="3568" priority="3221">
      <formula>E9&gt;0</formula>
    </cfRule>
  </conditionalFormatting>
  <conditionalFormatting sqref="C11">
    <cfRule type="expression" dxfId="3567" priority="3220">
      <formula>E11&gt;0</formula>
    </cfRule>
  </conditionalFormatting>
  <conditionalFormatting sqref="C11">
    <cfRule type="expression" dxfId="3566" priority="3219">
      <formula>E11&gt;0</formula>
    </cfRule>
  </conditionalFormatting>
  <conditionalFormatting sqref="C12">
    <cfRule type="expression" dxfId="3565" priority="3218">
      <formula>E12&gt;0</formula>
    </cfRule>
  </conditionalFormatting>
  <conditionalFormatting sqref="C13">
    <cfRule type="expression" dxfId="3564" priority="3217">
      <formula>E13&gt;0</formula>
    </cfRule>
  </conditionalFormatting>
  <conditionalFormatting sqref="C11">
    <cfRule type="expression" dxfId="3563" priority="3216">
      <formula>E11&gt;0</formula>
    </cfRule>
  </conditionalFormatting>
  <conditionalFormatting sqref="C11">
    <cfRule type="expression" dxfId="3562" priority="3215">
      <formula>E11&gt;0</formula>
    </cfRule>
  </conditionalFormatting>
  <conditionalFormatting sqref="C11">
    <cfRule type="expression" dxfId="3561" priority="3214">
      <formula>E11&gt;0</formula>
    </cfRule>
  </conditionalFormatting>
  <conditionalFormatting sqref="C11">
    <cfRule type="expression" dxfId="3560" priority="3213">
      <formula>E11&gt;0</formula>
    </cfRule>
  </conditionalFormatting>
  <conditionalFormatting sqref="C11">
    <cfRule type="expression" dxfId="3559" priority="3212">
      <formula>E11&gt;0</formula>
    </cfRule>
  </conditionalFormatting>
  <conditionalFormatting sqref="C11">
    <cfRule type="expression" dxfId="3558" priority="3211">
      <formula>E11&gt;0</formula>
    </cfRule>
  </conditionalFormatting>
  <conditionalFormatting sqref="C11">
    <cfRule type="expression" dxfId="3557" priority="3210">
      <formula>E11&gt;0</formula>
    </cfRule>
  </conditionalFormatting>
  <conditionalFormatting sqref="C12">
    <cfRule type="expression" dxfId="3556" priority="3209">
      <formula>E12&gt;0</formula>
    </cfRule>
  </conditionalFormatting>
  <conditionalFormatting sqref="C12">
    <cfRule type="expression" dxfId="3555" priority="3208">
      <formula>E12&gt;0</formula>
    </cfRule>
  </conditionalFormatting>
  <conditionalFormatting sqref="C11">
    <cfRule type="expression" dxfId="3554" priority="3207">
      <formula>E11&gt;0</formula>
    </cfRule>
  </conditionalFormatting>
  <conditionalFormatting sqref="C11">
    <cfRule type="expression" dxfId="3553" priority="3206">
      <formula>E11&gt;0</formula>
    </cfRule>
  </conditionalFormatting>
  <conditionalFormatting sqref="C11">
    <cfRule type="expression" dxfId="3552" priority="3205">
      <formula>E11&gt;0</formula>
    </cfRule>
  </conditionalFormatting>
  <conditionalFormatting sqref="C12">
    <cfRule type="expression" dxfId="3551" priority="3204">
      <formula>E12&gt;0</formula>
    </cfRule>
  </conditionalFormatting>
  <conditionalFormatting sqref="C11">
    <cfRule type="expression" dxfId="3550" priority="3203">
      <formula>E11&gt;0</formula>
    </cfRule>
  </conditionalFormatting>
  <conditionalFormatting sqref="C11">
    <cfRule type="expression" dxfId="3549" priority="3202">
      <formula>E11&gt;0</formula>
    </cfRule>
  </conditionalFormatting>
  <conditionalFormatting sqref="C12">
    <cfRule type="expression" dxfId="3548" priority="3201">
      <formula>E12&gt;0</formula>
    </cfRule>
  </conditionalFormatting>
  <conditionalFormatting sqref="C12">
    <cfRule type="expression" dxfId="3547" priority="3200">
      <formula>E12&gt;0</formula>
    </cfRule>
  </conditionalFormatting>
  <conditionalFormatting sqref="C13">
    <cfRule type="expression" dxfId="3546" priority="3199">
      <formula>E13&gt;0</formula>
    </cfRule>
  </conditionalFormatting>
  <conditionalFormatting sqref="C12">
    <cfRule type="expression" dxfId="3545" priority="3198">
      <formula>E12&gt;0</formula>
    </cfRule>
  </conditionalFormatting>
  <conditionalFormatting sqref="C12">
    <cfRule type="expression" dxfId="3544" priority="3197">
      <formula>E12&gt;0</formula>
    </cfRule>
  </conditionalFormatting>
  <conditionalFormatting sqref="C12">
    <cfRule type="expression" dxfId="3543" priority="3196">
      <formula>E12&gt;0</formula>
    </cfRule>
  </conditionalFormatting>
  <conditionalFormatting sqref="C12">
    <cfRule type="expression" dxfId="3542" priority="3195">
      <formula>E12&gt;0</formula>
    </cfRule>
  </conditionalFormatting>
  <conditionalFormatting sqref="C13">
    <cfRule type="expression" dxfId="3541" priority="3194">
      <formula>E13&gt;0</formula>
    </cfRule>
  </conditionalFormatting>
  <conditionalFormatting sqref="C13">
    <cfRule type="expression" dxfId="3540" priority="3193">
      <formula>E13&gt;0</formula>
    </cfRule>
  </conditionalFormatting>
  <conditionalFormatting sqref="C12">
    <cfRule type="expression" dxfId="3539" priority="3192">
      <formula>E12&gt;0</formula>
    </cfRule>
  </conditionalFormatting>
  <conditionalFormatting sqref="C13">
    <cfRule type="expression" dxfId="3538" priority="3191">
      <formula>E13&gt;0</formula>
    </cfRule>
  </conditionalFormatting>
  <conditionalFormatting sqref="C12">
    <cfRule type="expression" dxfId="3537" priority="3190">
      <formula>E12&gt;0</formula>
    </cfRule>
  </conditionalFormatting>
  <conditionalFormatting sqref="C13">
    <cfRule type="expression" dxfId="3536" priority="3189">
      <formula>E13&gt;0</formula>
    </cfRule>
  </conditionalFormatting>
  <conditionalFormatting sqref="C13">
    <cfRule type="expression" dxfId="3535" priority="3188">
      <formula>E13&gt;0</formula>
    </cfRule>
  </conditionalFormatting>
  <conditionalFormatting sqref="C12">
    <cfRule type="expression" dxfId="3534" priority="3187">
      <formula>E12&gt;0</formula>
    </cfRule>
  </conditionalFormatting>
  <conditionalFormatting sqref="C11">
    <cfRule type="expression" dxfId="3533" priority="3186">
      <formula>E11&gt;0</formula>
    </cfRule>
  </conditionalFormatting>
  <conditionalFormatting sqref="C11">
    <cfRule type="expression" dxfId="3532" priority="3185">
      <formula>E11&gt;0</formula>
    </cfRule>
  </conditionalFormatting>
  <conditionalFormatting sqref="C11">
    <cfRule type="expression" dxfId="3531" priority="3184">
      <formula>E11&gt;0</formula>
    </cfRule>
  </conditionalFormatting>
  <conditionalFormatting sqref="C11">
    <cfRule type="expression" dxfId="3530" priority="3183">
      <formula>E11&gt;0</formula>
    </cfRule>
  </conditionalFormatting>
  <conditionalFormatting sqref="C13">
    <cfRule type="expression" dxfId="3529" priority="3182">
      <formula>E13&gt;0</formula>
    </cfRule>
  </conditionalFormatting>
  <conditionalFormatting sqref="C13">
    <cfRule type="expression" dxfId="3528" priority="3181">
      <formula>E13&gt;0</formula>
    </cfRule>
  </conditionalFormatting>
  <conditionalFormatting sqref="C13">
    <cfRule type="expression" dxfId="3527" priority="3180">
      <formula>E13&gt;0</formula>
    </cfRule>
  </conditionalFormatting>
  <conditionalFormatting sqref="C13">
    <cfRule type="expression" dxfId="3526" priority="3179">
      <formula>E13&gt;0</formula>
    </cfRule>
  </conditionalFormatting>
  <conditionalFormatting sqref="C13">
    <cfRule type="expression" dxfId="3525" priority="3178">
      <formula>E13&gt;0</formula>
    </cfRule>
  </conditionalFormatting>
  <conditionalFormatting sqref="C13">
    <cfRule type="expression" dxfId="3524" priority="3177">
      <formula>E13&gt;0</formula>
    </cfRule>
  </conditionalFormatting>
  <conditionalFormatting sqref="C13">
    <cfRule type="expression" dxfId="3523" priority="3176">
      <formula>E13&gt;0</formula>
    </cfRule>
  </conditionalFormatting>
  <conditionalFormatting sqref="C13">
    <cfRule type="expression" dxfId="3522" priority="3175">
      <formula>E13&gt;0</formula>
    </cfRule>
  </conditionalFormatting>
  <conditionalFormatting sqref="C13">
    <cfRule type="expression" dxfId="3521" priority="3174">
      <formula>E13&gt;0</formula>
    </cfRule>
  </conditionalFormatting>
  <conditionalFormatting sqref="C13">
    <cfRule type="expression" dxfId="3520" priority="3173">
      <formula>E13&gt;0</formula>
    </cfRule>
  </conditionalFormatting>
  <conditionalFormatting sqref="C13">
    <cfRule type="expression" dxfId="3519" priority="3172">
      <formula>E13&gt;0</formula>
    </cfRule>
  </conditionalFormatting>
  <conditionalFormatting sqref="C13">
    <cfRule type="expression" dxfId="3518" priority="3171">
      <formula>E13&gt;0</formula>
    </cfRule>
  </conditionalFormatting>
  <conditionalFormatting sqref="C13">
    <cfRule type="expression" dxfId="3517" priority="3170">
      <formula>E13&gt;0</formula>
    </cfRule>
  </conditionalFormatting>
  <conditionalFormatting sqref="C12">
    <cfRule type="expression" dxfId="3516" priority="3169">
      <formula>E12&gt;0</formula>
    </cfRule>
  </conditionalFormatting>
  <conditionalFormatting sqref="C12">
    <cfRule type="expression" dxfId="3515" priority="3168">
      <formula>E12&gt;0</formula>
    </cfRule>
  </conditionalFormatting>
  <conditionalFormatting sqref="C12">
    <cfRule type="expression" dxfId="3514" priority="3167">
      <formula>E12&gt;0</formula>
    </cfRule>
  </conditionalFormatting>
  <conditionalFormatting sqref="C12">
    <cfRule type="expression" dxfId="3513" priority="3166">
      <formula>E12&gt;0</formula>
    </cfRule>
  </conditionalFormatting>
  <conditionalFormatting sqref="C12">
    <cfRule type="expression" dxfId="3512" priority="3165">
      <formula>E12&gt;0</formula>
    </cfRule>
  </conditionalFormatting>
  <conditionalFormatting sqref="C12">
    <cfRule type="expression" dxfId="3511" priority="3164">
      <formula>E12&gt;0</formula>
    </cfRule>
  </conditionalFormatting>
  <conditionalFormatting sqref="C12">
    <cfRule type="expression" dxfId="3510" priority="3163">
      <formula>E12&gt;0</formula>
    </cfRule>
  </conditionalFormatting>
  <conditionalFormatting sqref="C12">
    <cfRule type="expression" dxfId="3509" priority="3162">
      <formula>E12&gt;0</formula>
    </cfRule>
  </conditionalFormatting>
  <conditionalFormatting sqref="C12">
    <cfRule type="expression" dxfId="3508" priority="3161">
      <formula>E12&gt;0</formula>
    </cfRule>
  </conditionalFormatting>
  <conditionalFormatting sqref="C12">
    <cfRule type="expression" dxfId="3507" priority="3160">
      <formula>E12&gt;0</formula>
    </cfRule>
  </conditionalFormatting>
  <conditionalFormatting sqref="C12">
    <cfRule type="expression" dxfId="3506" priority="3159">
      <formula>E12&gt;0</formula>
    </cfRule>
  </conditionalFormatting>
  <conditionalFormatting sqref="C12">
    <cfRule type="expression" dxfId="3505" priority="3158">
      <formula>E12&gt;0</formula>
    </cfRule>
  </conditionalFormatting>
  <conditionalFormatting sqref="C12">
    <cfRule type="expression" dxfId="3504" priority="3157">
      <formula>E12&gt;0</formula>
    </cfRule>
  </conditionalFormatting>
  <conditionalFormatting sqref="C12">
    <cfRule type="expression" dxfId="3503" priority="3156">
      <formula>E12&gt;0</formula>
    </cfRule>
  </conditionalFormatting>
  <conditionalFormatting sqref="C12">
    <cfRule type="expression" dxfId="3502" priority="3155">
      <formula>E12&gt;0</formula>
    </cfRule>
  </conditionalFormatting>
  <conditionalFormatting sqref="C12">
    <cfRule type="expression" dxfId="3501" priority="3154">
      <formula>E12&gt;0</formula>
    </cfRule>
  </conditionalFormatting>
  <conditionalFormatting sqref="C12">
    <cfRule type="expression" dxfId="3500" priority="3153">
      <formula>E12&gt;0</formula>
    </cfRule>
  </conditionalFormatting>
  <conditionalFormatting sqref="C12">
    <cfRule type="expression" dxfId="3499" priority="3152">
      <formula>E12&gt;0</formula>
    </cfRule>
  </conditionalFormatting>
  <conditionalFormatting sqref="C12">
    <cfRule type="expression" dxfId="3498" priority="3151">
      <formula>E12&gt;0</formula>
    </cfRule>
  </conditionalFormatting>
  <conditionalFormatting sqref="C12">
    <cfRule type="expression" dxfId="3497" priority="3150">
      <formula>E12&gt;0</formula>
    </cfRule>
  </conditionalFormatting>
  <conditionalFormatting sqref="C12">
    <cfRule type="expression" dxfId="3496" priority="3149">
      <formula>E12&gt;0</formula>
    </cfRule>
  </conditionalFormatting>
  <conditionalFormatting sqref="C12">
    <cfRule type="expression" dxfId="3495" priority="3148">
      <formula>E12&gt;0</formula>
    </cfRule>
  </conditionalFormatting>
  <conditionalFormatting sqref="C13">
    <cfRule type="expression" dxfId="3494" priority="3147">
      <formula>E13&gt;0</formula>
    </cfRule>
  </conditionalFormatting>
  <conditionalFormatting sqref="C12">
    <cfRule type="expression" dxfId="3493" priority="3146">
      <formula>E12&gt;0</formula>
    </cfRule>
  </conditionalFormatting>
  <conditionalFormatting sqref="C12">
    <cfRule type="expression" dxfId="3492" priority="3145">
      <formula>E12&gt;0</formula>
    </cfRule>
  </conditionalFormatting>
  <conditionalFormatting sqref="C12">
    <cfRule type="expression" dxfId="3491" priority="3144">
      <formula>E12&gt;0</formula>
    </cfRule>
  </conditionalFormatting>
  <conditionalFormatting sqref="C12">
    <cfRule type="expression" dxfId="3490" priority="3143">
      <formula>E12&gt;0</formula>
    </cfRule>
  </conditionalFormatting>
  <conditionalFormatting sqref="C12">
    <cfRule type="expression" dxfId="3489" priority="3142">
      <formula>E12&gt;0</formula>
    </cfRule>
  </conditionalFormatting>
  <conditionalFormatting sqref="C12">
    <cfRule type="expression" dxfId="3488" priority="3141">
      <formula>E12&gt;0</formula>
    </cfRule>
  </conditionalFormatting>
  <conditionalFormatting sqref="C12">
    <cfRule type="expression" dxfId="3487" priority="3140">
      <formula>E12&gt;0</formula>
    </cfRule>
  </conditionalFormatting>
  <conditionalFormatting sqref="C13">
    <cfRule type="expression" dxfId="3486" priority="3139">
      <formula>E13&gt;0</formula>
    </cfRule>
  </conditionalFormatting>
  <conditionalFormatting sqref="C13">
    <cfRule type="expression" dxfId="3485" priority="3138">
      <formula>E13&gt;0</formula>
    </cfRule>
  </conditionalFormatting>
  <conditionalFormatting sqref="C12">
    <cfRule type="expression" dxfId="3484" priority="3137">
      <formula>E12&gt;0</formula>
    </cfRule>
  </conditionalFormatting>
  <conditionalFormatting sqref="C12">
    <cfRule type="expression" dxfId="3483" priority="3136">
      <formula>E12&gt;0</formula>
    </cfRule>
  </conditionalFormatting>
  <conditionalFormatting sqref="C12">
    <cfRule type="expression" dxfId="3482" priority="3135">
      <formula>E12&gt;0</formula>
    </cfRule>
  </conditionalFormatting>
  <conditionalFormatting sqref="C13">
    <cfRule type="expression" dxfId="3481" priority="3134">
      <formula>E13&gt;0</formula>
    </cfRule>
  </conditionalFormatting>
  <conditionalFormatting sqref="C12">
    <cfRule type="expression" dxfId="3480" priority="3133">
      <formula>E12&gt;0</formula>
    </cfRule>
  </conditionalFormatting>
  <conditionalFormatting sqref="C12">
    <cfRule type="expression" dxfId="3479" priority="3132">
      <formula>E12&gt;0</formula>
    </cfRule>
  </conditionalFormatting>
  <conditionalFormatting sqref="C13">
    <cfRule type="expression" dxfId="3478" priority="3131">
      <formula>E13&gt;0</formula>
    </cfRule>
  </conditionalFormatting>
  <conditionalFormatting sqref="C13">
    <cfRule type="expression" dxfId="3477" priority="3130">
      <formula>E13&gt;0</formula>
    </cfRule>
  </conditionalFormatting>
  <conditionalFormatting sqref="C13">
    <cfRule type="expression" dxfId="3476" priority="3129">
      <formula>E13&gt;0</formula>
    </cfRule>
  </conditionalFormatting>
  <conditionalFormatting sqref="C13">
    <cfRule type="expression" dxfId="3475" priority="3128">
      <formula>E13&gt;0</formula>
    </cfRule>
  </conditionalFormatting>
  <conditionalFormatting sqref="C13">
    <cfRule type="expression" dxfId="3474" priority="3127">
      <formula>E13&gt;0</formula>
    </cfRule>
  </conditionalFormatting>
  <conditionalFormatting sqref="C13">
    <cfRule type="expression" dxfId="3473" priority="3126">
      <formula>E13&gt;0</formula>
    </cfRule>
  </conditionalFormatting>
  <conditionalFormatting sqref="C13">
    <cfRule type="expression" dxfId="3472" priority="3125">
      <formula>E13&gt;0</formula>
    </cfRule>
  </conditionalFormatting>
  <conditionalFormatting sqref="C13">
    <cfRule type="expression" dxfId="3471" priority="3124">
      <formula>E13&gt;0</formula>
    </cfRule>
  </conditionalFormatting>
  <conditionalFormatting sqref="C13">
    <cfRule type="expression" dxfId="3470" priority="3123">
      <formula>E13&gt;0</formula>
    </cfRule>
  </conditionalFormatting>
  <conditionalFormatting sqref="C12">
    <cfRule type="expression" dxfId="3469" priority="3122">
      <formula>E12&gt;0</formula>
    </cfRule>
  </conditionalFormatting>
  <conditionalFormatting sqref="C12">
    <cfRule type="expression" dxfId="3468" priority="3121">
      <formula>E12&gt;0</formula>
    </cfRule>
  </conditionalFormatting>
  <conditionalFormatting sqref="C12">
    <cfRule type="expression" dxfId="3467" priority="3120">
      <formula>E12&gt;0</formula>
    </cfRule>
  </conditionalFormatting>
  <conditionalFormatting sqref="C12">
    <cfRule type="expression" dxfId="3466" priority="3119">
      <formula>E12&gt;0</formula>
    </cfRule>
  </conditionalFormatting>
  <conditionalFormatting sqref="C13">
    <cfRule type="expression" dxfId="3465" priority="3118">
      <formula>E13&gt;0</formula>
    </cfRule>
  </conditionalFormatting>
  <conditionalFormatting sqref="C13">
    <cfRule type="expression" dxfId="3464" priority="3117">
      <formula>E13&gt;0</formula>
    </cfRule>
  </conditionalFormatting>
  <conditionalFormatting sqref="C13">
    <cfRule type="expression" dxfId="3463" priority="3116">
      <formula>E13&gt;0</formula>
    </cfRule>
  </conditionalFormatting>
  <conditionalFormatting sqref="C13">
    <cfRule type="expression" dxfId="3462" priority="3115">
      <formula>E13&gt;0</formula>
    </cfRule>
  </conditionalFormatting>
  <conditionalFormatting sqref="C13">
    <cfRule type="expression" dxfId="3461" priority="3114">
      <formula>E13&gt;0</formula>
    </cfRule>
  </conditionalFormatting>
  <conditionalFormatting sqref="C13">
    <cfRule type="expression" dxfId="3460" priority="3113">
      <formula>E13&gt;0</formula>
    </cfRule>
  </conditionalFormatting>
  <conditionalFormatting sqref="C13">
    <cfRule type="expression" dxfId="3459" priority="3112">
      <formula>E13&gt;0</formula>
    </cfRule>
  </conditionalFormatting>
  <conditionalFormatting sqref="C13">
    <cfRule type="expression" dxfId="3458" priority="3111">
      <formula>E13&gt;0</formula>
    </cfRule>
  </conditionalFormatting>
  <conditionalFormatting sqref="C13">
    <cfRule type="expression" dxfId="3457" priority="3110">
      <formula>E13&gt;0</formula>
    </cfRule>
  </conditionalFormatting>
  <conditionalFormatting sqref="C13">
    <cfRule type="expression" dxfId="3456" priority="3109">
      <formula>E13&gt;0</formula>
    </cfRule>
  </conditionalFormatting>
  <conditionalFormatting sqref="C13">
    <cfRule type="expression" dxfId="3455" priority="3108">
      <formula>E13&gt;0</formula>
    </cfRule>
  </conditionalFormatting>
  <conditionalFormatting sqref="C13">
    <cfRule type="expression" dxfId="3454" priority="3107">
      <formula>E13&gt;0</formula>
    </cfRule>
  </conditionalFormatting>
  <conditionalFormatting sqref="C13">
    <cfRule type="expression" dxfId="3453" priority="3106">
      <formula>E13&gt;0</formula>
    </cfRule>
  </conditionalFormatting>
  <conditionalFormatting sqref="C13">
    <cfRule type="expression" dxfId="3452" priority="3105">
      <formula>E13&gt;0</formula>
    </cfRule>
  </conditionalFormatting>
  <conditionalFormatting sqref="C13">
    <cfRule type="expression" dxfId="3451" priority="3104">
      <formula>E13&gt;0</formula>
    </cfRule>
  </conditionalFormatting>
  <conditionalFormatting sqref="C13">
    <cfRule type="expression" dxfId="3450" priority="3103">
      <formula>E13&gt;0</formula>
    </cfRule>
  </conditionalFormatting>
  <conditionalFormatting sqref="C13">
    <cfRule type="expression" dxfId="3449" priority="3102">
      <formula>E13&gt;0</formula>
    </cfRule>
  </conditionalFormatting>
  <conditionalFormatting sqref="C13">
    <cfRule type="expression" dxfId="3448" priority="3101">
      <formula>E13&gt;0</formula>
    </cfRule>
  </conditionalFormatting>
  <conditionalFormatting sqref="C13">
    <cfRule type="expression" dxfId="3447" priority="3100">
      <formula>E13&gt;0</formula>
    </cfRule>
  </conditionalFormatting>
  <conditionalFormatting sqref="C13">
    <cfRule type="expression" dxfId="3446" priority="3099">
      <formula>E13&gt;0</formula>
    </cfRule>
  </conditionalFormatting>
  <conditionalFormatting sqref="C11">
    <cfRule type="expression" dxfId="3445" priority="3098">
      <formula>E11&gt;0</formula>
    </cfRule>
  </conditionalFormatting>
  <conditionalFormatting sqref="C11">
    <cfRule type="expression" dxfId="3444" priority="3097">
      <formula>E11&gt;0</formula>
    </cfRule>
  </conditionalFormatting>
  <conditionalFormatting sqref="C11">
    <cfRule type="expression" dxfId="3443" priority="3096">
      <formula>E11&gt;0</formula>
    </cfRule>
  </conditionalFormatting>
  <conditionalFormatting sqref="C11">
    <cfRule type="expression" dxfId="3442" priority="3095">
      <formula>E11&gt;0</formula>
    </cfRule>
  </conditionalFormatting>
  <conditionalFormatting sqref="C11">
    <cfRule type="expression" dxfId="3441" priority="3094">
      <formula>E11&gt;0</formula>
    </cfRule>
  </conditionalFormatting>
  <conditionalFormatting sqref="C11">
    <cfRule type="expression" dxfId="3440" priority="3093">
      <formula>E11&gt;0</formula>
    </cfRule>
  </conditionalFormatting>
  <conditionalFormatting sqref="C11">
    <cfRule type="expression" dxfId="3439" priority="3092">
      <formula>E11&gt;0</formula>
    </cfRule>
  </conditionalFormatting>
  <conditionalFormatting sqref="C11">
    <cfRule type="expression" dxfId="3438" priority="3091">
      <formula>E11&gt;0</formula>
    </cfRule>
  </conditionalFormatting>
  <conditionalFormatting sqref="C11">
    <cfRule type="expression" dxfId="3437" priority="3090">
      <formula>E11&gt;0</formula>
    </cfRule>
  </conditionalFormatting>
  <conditionalFormatting sqref="C11">
    <cfRule type="expression" dxfId="3436" priority="3089">
      <formula>E11&gt;0</formula>
    </cfRule>
  </conditionalFormatting>
  <conditionalFormatting sqref="C11">
    <cfRule type="expression" dxfId="3435" priority="3088">
      <formula>E11&gt;0</formula>
    </cfRule>
  </conditionalFormatting>
  <conditionalFormatting sqref="C11">
    <cfRule type="expression" dxfId="3434" priority="3087">
      <formula>E11&gt;0</formula>
    </cfRule>
  </conditionalFormatting>
  <conditionalFormatting sqref="C11">
    <cfRule type="expression" dxfId="3433" priority="3086">
      <formula>E11&gt;0</formula>
    </cfRule>
  </conditionalFormatting>
  <conditionalFormatting sqref="C11">
    <cfRule type="expression" dxfId="3432" priority="3085">
      <formula>E11&gt;0</formula>
    </cfRule>
  </conditionalFormatting>
  <conditionalFormatting sqref="C11">
    <cfRule type="expression" dxfId="3431" priority="3084">
      <formula>E11&gt;0</formula>
    </cfRule>
  </conditionalFormatting>
  <conditionalFormatting sqref="C11">
    <cfRule type="expression" dxfId="3430" priority="3083">
      <formula>E11&gt;0</formula>
    </cfRule>
  </conditionalFormatting>
  <conditionalFormatting sqref="C11">
    <cfRule type="expression" dxfId="3429" priority="3082">
      <formula>E11&gt;0</formula>
    </cfRule>
  </conditionalFormatting>
  <conditionalFormatting sqref="C11">
    <cfRule type="expression" dxfId="3428" priority="3081">
      <formula>E11&gt;0</formula>
    </cfRule>
  </conditionalFormatting>
  <conditionalFormatting sqref="C11">
    <cfRule type="expression" dxfId="3427" priority="3080">
      <formula>E11&gt;0</formula>
    </cfRule>
  </conditionalFormatting>
  <conditionalFormatting sqref="C11">
    <cfRule type="expression" dxfId="3426" priority="3079">
      <formula>E11&gt;0</formula>
    </cfRule>
  </conditionalFormatting>
  <conditionalFormatting sqref="C11">
    <cfRule type="expression" dxfId="3425" priority="3078">
      <formula>E11&gt;0</formula>
    </cfRule>
  </conditionalFormatting>
  <conditionalFormatting sqref="C11">
    <cfRule type="expression" dxfId="3424" priority="3077">
      <formula>E11&gt;0</formula>
    </cfRule>
  </conditionalFormatting>
  <conditionalFormatting sqref="C11">
    <cfRule type="expression" dxfId="3423" priority="3076">
      <formula>E11&gt;0</formula>
    </cfRule>
  </conditionalFormatting>
  <conditionalFormatting sqref="C11">
    <cfRule type="expression" dxfId="3422" priority="3075">
      <formula>E11&gt;0</formula>
    </cfRule>
  </conditionalFormatting>
  <conditionalFormatting sqref="C11">
    <cfRule type="expression" dxfId="3421" priority="3074">
      <formula>E11&gt;0</formula>
    </cfRule>
  </conditionalFormatting>
  <conditionalFormatting sqref="C11">
    <cfRule type="expression" dxfId="3420" priority="3073">
      <formula>E11&gt;0</formula>
    </cfRule>
  </conditionalFormatting>
  <conditionalFormatting sqref="C13">
    <cfRule type="expression" dxfId="3419" priority="3072">
      <formula>E13&gt;0</formula>
    </cfRule>
  </conditionalFormatting>
  <conditionalFormatting sqref="C14">
    <cfRule type="expression" dxfId="3418" priority="3071">
      <formula>E14&gt;0</formula>
    </cfRule>
  </conditionalFormatting>
  <conditionalFormatting sqref="C13">
    <cfRule type="expression" dxfId="3417" priority="3070">
      <formula>E13&gt;0</formula>
    </cfRule>
  </conditionalFormatting>
  <conditionalFormatting sqref="C13">
    <cfRule type="expression" dxfId="3416" priority="3069">
      <formula>E13&gt;0</formula>
    </cfRule>
  </conditionalFormatting>
  <conditionalFormatting sqref="C13">
    <cfRule type="expression" dxfId="3415" priority="3068">
      <formula>E13&gt;0</formula>
    </cfRule>
  </conditionalFormatting>
  <conditionalFormatting sqref="C13">
    <cfRule type="expression" dxfId="3414" priority="3067">
      <formula>E13&gt;0</formula>
    </cfRule>
  </conditionalFormatting>
  <conditionalFormatting sqref="C13">
    <cfRule type="expression" dxfId="3413" priority="3066">
      <formula>E13&gt;0</formula>
    </cfRule>
  </conditionalFormatting>
  <conditionalFormatting sqref="C14">
    <cfRule type="expression" dxfId="3412" priority="3065">
      <formula>E14&gt;0</formula>
    </cfRule>
  </conditionalFormatting>
  <conditionalFormatting sqref="C14">
    <cfRule type="expression" dxfId="3411" priority="3064">
      <formula>E14&gt;0</formula>
    </cfRule>
  </conditionalFormatting>
  <conditionalFormatting sqref="C14">
    <cfRule type="expression" dxfId="3410" priority="3063">
      <formula>E14&gt;0</formula>
    </cfRule>
  </conditionalFormatting>
  <conditionalFormatting sqref="C14">
    <cfRule type="expression" dxfId="3409" priority="3062">
      <formula>E14&gt;0</formula>
    </cfRule>
  </conditionalFormatting>
  <conditionalFormatting sqref="C14">
    <cfRule type="expression" dxfId="3408" priority="3061">
      <formula>E14&gt;0</formula>
    </cfRule>
  </conditionalFormatting>
  <conditionalFormatting sqref="C15">
    <cfRule type="expression" dxfId="3407" priority="3060">
      <formula>E15&gt;0</formula>
    </cfRule>
  </conditionalFormatting>
  <conditionalFormatting sqref="C15">
    <cfRule type="expression" dxfId="3406" priority="3059">
      <formula>E15&gt;0</formula>
    </cfRule>
  </conditionalFormatting>
  <conditionalFormatting sqref="C15">
    <cfRule type="expression" dxfId="3405" priority="3058">
      <formula>E15&gt;0</formula>
    </cfRule>
  </conditionalFormatting>
  <conditionalFormatting sqref="C15">
    <cfRule type="expression" dxfId="3404" priority="3057">
      <formula>E15&gt;0</formula>
    </cfRule>
  </conditionalFormatting>
  <conditionalFormatting sqref="C15">
    <cfRule type="expression" dxfId="3403" priority="3056">
      <formula>E15&gt;0</formula>
    </cfRule>
  </conditionalFormatting>
  <conditionalFormatting sqref="C15">
    <cfRule type="expression" dxfId="3402" priority="3055">
      <formula>E15&gt;0</formula>
    </cfRule>
  </conditionalFormatting>
  <conditionalFormatting sqref="C15">
    <cfRule type="expression" dxfId="3401" priority="3054">
      <formula>E15&gt;0</formula>
    </cfRule>
  </conditionalFormatting>
  <conditionalFormatting sqref="C15">
    <cfRule type="expression" dxfId="3400" priority="3053">
      <formula>E15&gt;0</formula>
    </cfRule>
  </conditionalFormatting>
  <conditionalFormatting sqref="C15">
    <cfRule type="expression" dxfId="3399" priority="3052">
      <formula>E15&gt;0</formula>
    </cfRule>
  </conditionalFormatting>
  <conditionalFormatting sqref="C15">
    <cfRule type="expression" dxfId="3398" priority="3051">
      <formula>E15&gt;0</formula>
    </cfRule>
  </conditionalFormatting>
  <conditionalFormatting sqref="C15">
    <cfRule type="expression" dxfId="3397" priority="3050">
      <formula>E15&gt;0</formula>
    </cfRule>
  </conditionalFormatting>
  <conditionalFormatting sqref="C15">
    <cfRule type="expression" dxfId="3396" priority="3049">
      <formula>E15&gt;0</formula>
    </cfRule>
  </conditionalFormatting>
  <conditionalFormatting sqref="C15">
    <cfRule type="expression" dxfId="3395" priority="3048">
      <formula>E15&gt;0</formula>
    </cfRule>
  </conditionalFormatting>
  <conditionalFormatting sqref="C15">
    <cfRule type="expression" dxfId="3394" priority="3047">
      <formula>E15&gt;0</formula>
    </cfRule>
  </conditionalFormatting>
  <conditionalFormatting sqref="C15">
    <cfRule type="expression" dxfId="3393" priority="3046">
      <formula>E15&gt;0</formula>
    </cfRule>
  </conditionalFormatting>
  <conditionalFormatting sqref="C15">
    <cfRule type="expression" dxfId="3392" priority="3045">
      <formula>E15&gt;0</formula>
    </cfRule>
  </conditionalFormatting>
  <conditionalFormatting sqref="C15">
    <cfRule type="expression" dxfId="3391" priority="3044">
      <formula>E15&gt;0</formula>
    </cfRule>
  </conditionalFormatting>
  <conditionalFormatting sqref="C15">
    <cfRule type="expression" dxfId="3390" priority="3043">
      <formula>E15&gt;0</formula>
    </cfRule>
  </conditionalFormatting>
  <conditionalFormatting sqref="C15">
    <cfRule type="expression" dxfId="3389" priority="3042">
      <formula>E15&gt;0</formula>
    </cfRule>
  </conditionalFormatting>
  <conditionalFormatting sqref="C15">
    <cfRule type="expression" dxfId="3388" priority="3041">
      <formula>E15&gt;0</formula>
    </cfRule>
  </conditionalFormatting>
  <conditionalFormatting sqref="C15">
    <cfRule type="expression" dxfId="3387" priority="3040">
      <formula>E15&gt;0</formula>
    </cfRule>
  </conditionalFormatting>
  <conditionalFormatting sqref="C15">
    <cfRule type="expression" dxfId="3386" priority="3039">
      <formula>E15&gt;0</formula>
    </cfRule>
  </conditionalFormatting>
  <conditionalFormatting sqref="C15">
    <cfRule type="expression" dxfId="3385" priority="3038">
      <formula>E15&gt;0</formula>
    </cfRule>
  </conditionalFormatting>
  <conditionalFormatting sqref="C15">
    <cfRule type="expression" dxfId="3384" priority="3037">
      <formula>E15&gt;0</formula>
    </cfRule>
  </conditionalFormatting>
  <conditionalFormatting sqref="C15">
    <cfRule type="expression" dxfId="3383" priority="3036">
      <formula>E15&gt;0</formula>
    </cfRule>
  </conditionalFormatting>
  <conditionalFormatting sqref="C15">
    <cfRule type="expression" dxfId="3382" priority="3035">
      <formula>E15&gt;0</formula>
    </cfRule>
  </conditionalFormatting>
  <conditionalFormatting sqref="C15">
    <cfRule type="expression" dxfId="3381" priority="3034">
      <formula>E15&gt;0</formula>
    </cfRule>
  </conditionalFormatting>
  <conditionalFormatting sqref="C15">
    <cfRule type="expression" dxfId="3380" priority="3033">
      <formula>E15&gt;0</formula>
    </cfRule>
  </conditionalFormatting>
  <conditionalFormatting sqref="C15">
    <cfRule type="expression" dxfId="3379" priority="3032">
      <formula>E15&gt;0</formula>
    </cfRule>
  </conditionalFormatting>
  <conditionalFormatting sqref="C15">
    <cfRule type="expression" dxfId="3378" priority="3031">
      <formula>E15&gt;0</formula>
    </cfRule>
  </conditionalFormatting>
  <conditionalFormatting sqref="C15">
    <cfRule type="expression" dxfId="3377" priority="3030">
      <formula>E15&gt;0</formula>
    </cfRule>
  </conditionalFormatting>
  <conditionalFormatting sqref="C15">
    <cfRule type="expression" dxfId="3376" priority="3029">
      <formula>E15&gt;0</formula>
    </cfRule>
  </conditionalFormatting>
  <conditionalFormatting sqref="C15">
    <cfRule type="expression" dxfId="3375" priority="3028">
      <formula>E15&gt;0</formula>
    </cfRule>
  </conditionalFormatting>
  <conditionalFormatting sqref="C15">
    <cfRule type="expression" dxfId="3374" priority="3027">
      <formula>E15&gt;0</formula>
    </cfRule>
  </conditionalFormatting>
  <conditionalFormatting sqref="C15">
    <cfRule type="expression" dxfId="3373" priority="3026">
      <formula>E15&gt;0</formula>
    </cfRule>
  </conditionalFormatting>
  <conditionalFormatting sqref="C15">
    <cfRule type="expression" dxfId="3372" priority="3025">
      <formula>E15&gt;0</formula>
    </cfRule>
  </conditionalFormatting>
  <conditionalFormatting sqref="C15">
    <cfRule type="expression" dxfId="3371" priority="3024">
      <formula>E15&gt;0</formula>
    </cfRule>
  </conditionalFormatting>
  <conditionalFormatting sqref="C15">
    <cfRule type="expression" dxfId="3370" priority="3023">
      <formula>E15&gt;0</formula>
    </cfRule>
  </conditionalFormatting>
  <conditionalFormatting sqref="C15">
    <cfRule type="expression" dxfId="3369" priority="3022">
      <formula>E15&gt;0</formula>
    </cfRule>
  </conditionalFormatting>
  <conditionalFormatting sqref="C15">
    <cfRule type="expression" dxfId="3368" priority="3021">
      <formula>E15&gt;0</formula>
    </cfRule>
  </conditionalFormatting>
  <conditionalFormatting sqref="C15">
    <cfRule type="expression" dxfId="3367" priority="3020">
      <formula>E15&gt;0</formula>
    </cfRule>
  </conditionalFormatting>
  <conditionalFormatting sqref="C15">
    <cfRule type="expression" dxfId="3366" priority="3019">
      <formula>E15&gt;0</formula>
    </cfRule>
  </conditionalFormatting>
  <conditionalFormatting sqref="C15">
    <cfRule type="expression" dxfId="3365" priority="3018">
      <formula>E15&gt;0</formula>
    </cfRule>
  </conditionalFormatting>
  <conditionalFormatting sqref="C15">
    <cfRule type="expression" dxfId="3364" priority="3017">
      <formula>E15&gt;0</formula>
    </cfRule>
  </conditionalFormatting>
  <conditionalFormatting sqref="C15">
    <cfRule type="expression" dxfId="3363" priority="3016">
      <formula>E15&gt;0</formula>
    </cfRule>
  </conditionalFormatting>
  <conditionalFormatting sqref="C15">
    <cfRule type="expression" dxfId="3362" priority="3015">
      <formula>E15&gt;0</formula>
    </cfRule>
  </conditionalFormatting>
  <conditionalFormatting sqref="C15">
    <cfRule type="expression" dxfId="3361" priority="3014">
      <formula>E15&gt;0</formula>
    </cfRule>
  </conditionalFormatting>
  <conditionalFormatting sqref="C15">
    <cfRule type="expression" dxfId="3360" priority="3013">
      <formula>E15&gt;0</formula>
    </cfRule>
  </conditionalFormatting>
  <conditionalFormatting sqref="C15">
    <cfRule type="expression" dxfId="3359" priority="3012">
      <formula>E15&gt;0</formula>
    </cfRule>
  </conditionalFormatting>
  <conditionalFormatting sqref="C15">
    <cfRule type="expression" dxfId="3358" priority="3011">
      <formula>E15&gt;0</formula>
    </cfRule>
  </conditionalFormatting>
  <conditionalFormatting sqref="C15">
    <cfRule type="expression" dxfId="3357" priority="3010">
      <formula>E15&gt;0</formula>
    </cfRule>
  </conditionalFormatting>
  <conditionalFormatting sqref="C15">
    <cfRule type="expression" dxfId="3356" priority="3009">
      <formula>E15&gt;0</formula>
    </cfRule>
  </conditionalFormatting>
  <conditionalFormatting sqref="C15">
    <cfRule type="expression" dxfId="3355" priority="3008">
      <formula>E15&gt;0</formula>
    </cfRule>
  </conditionalFormatting>
  <conditionalFormatting sqref="C15">
    <cfRule type="expression" dxfId="3354" priority="3007">
      <formula>E15&gt;0</formula>
    </cfRule>
  </conditionalFormatting>
  <conditionalFormatting sqref="C15">
    <cfRule type="expression" dxfId="3353" priority="3006">
      <formula>E15&gt;0</formula>
    </cfRule>
  </conditionalFormatting>
  <conditionalFormatting sqref="C15">
    <cfRule type="expression" dxfId="3352" priority="3005">
      <formula>E15&gt;0</formula>
    </cfRule>
  </conditionalFormatting>
  <conditionalFormatting sqref="C15">
    <cfRule type="expression" dxfId="3351" priority="3004">
      <formula>E15&gt;0</formula>
    </cfRule>
  </conditionalFormatting>
  <conditionalFormatting sqref="C15">
    <cfRule type="expression" dxfId="3350" priority="3003">
      <formula>E15&gt;0</formula>
    </cfRule>
  </conditionalFormatting>
  <conditionalFormatting sqref="C15">
    <cfRule type="expression" dxfId="3349" priority="3002">
      <formula>E15&gt;0</formula>
    </cfRule>
  </conditionalFormatting>
  <conditionalFormatting sqref="C15">
    <cfRule type="expression" dxfId="3348" priority="3001">
      <formula>E15&gt;0</formula>
    </cfRule>
  </conditionalFormatting>
  <conditionalFormatting sqref="C15">
    <cfRule type="expression" dxfId="3347" priority="3000">
      <formula>E15&gt;0</formula>
    </cfRule>
  </conditionalFormatting>
  <conditionalFormatting sqref="C15">
    <cfRule type="expression" dxfId="3346" priority="2999">
      <formula>E15&gt;0</formula>
    </cfRule>
  </conditionalFormatting>
  <conditionalFormatting sqref="C15">
    <cfRule type="expression" dxfId="3345" priority="2998">
      <formula>E15&gt;0</formula>
    </cfRule>
  </conditionalFormatting>
  <conditionalFormatting sqref="C15">
    <cfRule type="expression" dxfId="3344" priority="2997">
      <formula>E15&gt;0</formula>
    </cfRule>
  </conditionalFormatting>
  <conditionalFormatting sqref="C15">
    <cfRule type="expression" dxfId="3343" priority="2996">
      <formula>E15&gt;0</formula>
    </cfRule>
  </conditionalFormatting>
  <conditionalFormatting sqref="C15">
    <cfRule type="expression" dxfId="3342" priority="2995">
      <formula>E15&gt;0</formula>
    </cfRule>
  </conditionalFormatting>
  <conditionalFormatting sqref="C15">
    <cfRule type="expression" dxfId="3341" priority="2994">
      <formula>E15&gt;0</formula>
    </cfRule>
  </conditionalFormatting>
  <conditionalFormatting sqref="C15">
    <cfRule type="expression" dxfId="3340" priority="2993">
      <formula>E15&gt;0</formula>
    </cfRule>
  </conditionalFormatting>
  <conditionalFormatting sqref="C15">
    <cfRule type="expression" dxfId="3339" priority="2992">
      <formula>E15&gt;0</formula>
    </cfRule>
  </conditionalFormatting>
  <conditionalFormatting sqref="C15">
    <cfRule type="expression" dxfId="3338" priority="2991">
      <formula>E15&gt;0</formula>
    </cfRule>
  </conditionalFormatting>
  <conditionalFormatting sqref="C15">
    <cfRule type="expression" dxfId="3337" priority="2990">
      <formula>E15&gt;0</formula>
    </cfRule>
  </conditionalFormatting>
  <conditionalFormatting sqref="C15">
    <cfRule type="expression" dxfId="3336" priority="2989">
      <formula>E15&gt;0</formula>
    </cfRule>
  </conditionalFormatting>
  <conditionalFormatting sqref="C15">
    <cfRule type="expression" dxfId="3335" priority="2988">
      <formula>E15&gt;0</formula>
    </cfRule>
  </conditionalFormatting>
  <conditionalFormatting sqref="C15">
    <cfRule type="expression" dxfId="3334" priority="2987">
      <formula>E15&gt;0</formula>
    </cfRule>
  </conditionalFormatting>
  <conditionalFormatting sqref="C15">
    <cfRule type="expression" dxfId="3333" priority="2986">
      <formula>E15&gt;0</formula>
    </cfRule>
  </conditionalFormatting>
  <conditionalFormatting sqref="C15">
    <cfRule type="expression" dxfId="3332" priority="2985">
      <formula>E15&gt;0</formula>
    </cfRule>
  </conditionalFormatting>
  <conditionalFormatting sqref="C15">
    <cfRule type="expression" dxfId="3331" priority="2984">
      <formula>E15&gt;0</formula>
    </cfRule>
  </conditionalFormatting>
  <conditionalFormatting sqref="C15">
    <cfRule type="expression" dxfId="3330" priority="2983">
      <formula>E15&gt;0</formula>
    </cfRule>
  </conditionalFormatting>
  <conditionalFormatting sqref="C15">
    <cfRule type="expression" dxfId="3329" priority="2982">
      <formula>E15&gt;0</formula>
    </cfRule>
  </conditionalFormatting>
  <conditionalFormatting sqref="C15">
    <cfRule type="expression" dxfId="3328" priority="2981">
      <formula>E15&gt;0</formula>
    </cfRule>
  </conditionalFormatting>
  <conditionalFormatting sqref="C15">
    <cfRule type="expression" dxfId="3327" priority="2980">
      <formula>E15&gt;0</formula>
    </cfRule>
  </conditionalFormatting>
  <conditionalFormatting sqref="C15">
    <cfRule type="expression" dxfId="3326" priority="2979">
      <formula>E15&gt;0</formula>
    </cfRule>
  </conditionalFormatting>
  <conditionalFormatting sqref="C15">
    <cfRule type="expression" dxfId="3325" priority="2978">
      <formula>E15&gt;0</formula>
    </cfRule>
  </conditionalFormatting>
  <conditionalFormatting sqref="C15">
    <cfRule type="expression" dxfId="3324" priority="2977">
      <formula>E15&gt;0</formula>
    </cfRule>
  </conditionalFormatting>
  <conditionalFormatting sqref="C15">
    <cfRule type="expression" dxfId="3323" priority="2976">
      <formula>E15&gt;0</formula>
    </cfRule>
  </conditionalFormatting>
  <conditionalFormatting sqref="C15">
    <cfRule type="expression" dxfId="3322" priority="2975">
      <formula>E15&gt;0</formula>
    </cfRule>
  </conditionalFormatting>
  <conditionalFormatting sqref="C15">
    <cfRule type="expression" dxfId="3321" priority="2974">
      <formula>E15&gt;0</formula>
    </cfRule>
  </conditionalFormatting>
  <conditionalFormatting sqref="C15">
    <cfRule type="expression" dxfId="3320" priority="2973">
      <formula>E15&gt;0</formula>
    </cfRule>
  </conditionalFormatting>
  <conditionalFormatting sqref="C15">
    <cfRule type="expression" dxfId="3319" priority="2972">
      <formula>E15&gt;0</formula>
    </cfRule>
  </conditionalFormatting>
  <conditionalFormatting sqref="C15">
    <cfRule type="expression" dxfId="3318" priority="2971">
      <formula>E15&gt;0</formula>
    </cfRule>
  </conditionalFormatting>
  <conditionalFormatting sqref="C15">
    <cfRule type="expression" dxfId="3317" priority="2970">
      <formula>E15&gt;0</formula>
    </cfRule>
  </conditionalFormatting>
  <conditionalFormatting sqref="C15">
    <cfRule type="expression" dxfId="3316" priority="2969">
      <formula>E15&gt;0</formula>
    </cfRule>
  </conditionalFormatting>
  <conditionalFormatting sqref="C15">
    <cfRule type="expression" dxfId="3315" priority="2968">
      <formula>E15&gt;0</formula>
    </cfRule>
  </conditionalFormatting>
  <conditionalFormatting sqref="C15">
    <cfRule type="expression" dxfId="3314" priority="2967">
      <formula>E15&gt;0</formula>
    </cfRule>
  </conditionalFormatting>
  <conditionalFormatting sqref="C15">
    <cfRule type="expression" dxfId="3313" priority="2966">
      <formula>E15&gt;0</formula>
    </cfRule>
  </conditionalFormatting>
  <conditionalFormatting sqref="C15">
    <cfRule type="expression" dxfId="3312" priority="2965">
      <formula>E15&gt;0</formula>
    </cfRule>
  </conditionalFormatting>
  <conditionalFormatting sqref="C15">
    <cfRule type="expression" dxfId="3311" priority="2964">
      <formula>E15&gt;0</formula>
    </cfRule>
  </conditionalFormatting>
  <conditionalFormatting sqref="C15">
    <cfRule type="expression" dxfId="3310" priority="2963">
      <formula>E15&gt;0</formula>
    </cfRule>
  </conditionalFormatting>
  <conditionalFormatting sqref="C15">
    <cfRule type="expression" dxfId="3309" priority="2962">
      <formula>E15&gt;0</formula>
    </cfRule>
  </conditionalFormatting>
  <conditionalFormatting sqref="C15">
    <cfRule type="expression" dxfId="3308" priority="2961">
      <formula>E15&gt;0</formula>
    </cfRule>
  </conditionalFormatting>
  <conditionalFormatting sqref="C15">
    <cfRule type="expression" dxfId="3307" priority="2960">
      <formula>E15&gt;0</formula>
    </cfRule>
  </conditionalFormatting>
  <conditionalFormatting sqref="C15">
    <cfRule type="expression" dxfId="3306" priority="2959">
      <formula>E15&gt;0</formula>
    </cfRule>
  </conditionalFormatting>
  <conditionalFormatting sqref="C15">
    <cfRule type="expression" dxfId="3305" priority="2958">
      <formula>E15&gt;0</formula>
    </cfRule>
  </conditionalFormatting>
  <conditionalFormatting sqref="C15">
    <cfRule type="expression" dxfId="3304" priority="2957">
      <formula>E15&gt;0</formula>
    </cfRule>
  </conditionalFormatting>
  <conditionalFormatting sqref="C15">
    <cfRule type="expression" dxfId="3303" priority="2956">
      <formula>E15&gt;0</formula>
    </cfRule>
  </conditionalFormatting>
  <conditionalFormatting sqref="C15">
    <cfRule type="expression" dxfId="3302" priority="2955">
      <formula>E15&gt;0</formula>
    </cfRule>
  </conditionalFormatting>
  <conditionalFormatting sqref="C15">
    <cfRule type="expression" dxfId="3301" priority="2954">
      <formula>E15&gt;0</formula>
    </cfRule>
  </conditionalFormatting>
  <conditionalFormatting sqref="C15">
    <cfRule type="expression" dxfId="3300" priority="2953">
      <formula>E15&gt;0</formula>
    </cfRule>
  </conditionalFormatting>
  <conditionalFormatting sqref="C15">
    <cfRule type="expression" dxfId="3299" priority="2952">
      <formula>E15&gt;0</formula>
    </cfRule>
  </conditionalFormatting>
  <conditionalFormatting sqref="C15">
    <cfRule type="expression" dxfId="3298" priority="2951">
      <formula>E15&gt;0</formula>
    </cfRule>
  </conditionalFormatting>
  <conditionalFormatting sqref="C15">
    <cfRule type="expression" dxfId="3297" priority="2950">
      <formula>E15&gt;0</formula>
    </cfRule>
  </conditionalFormatting>
  <conditionalFormatting sqref="C15">
    <cfRule type="expression" dxfId="3296" priority="2949">
      <formula>E15&gt;0</formula>
    </cfRule>
  </conditionalFormatting>
  <conditionalFormatting sqref="C15">
    <cfRule type="expression" dxfId="3295" priority="2948">
      <formula>E15&gt;0</formula>
    </cfRule>
  </conditionalFormatting>
  <conditionalFormatting sqref="C15">
    <cfRule type="expression" dxfId="3294" priority="2947">
      <formula>E15&gt;0</formula>
    </cfRule>
  </conditionalFormatting>
  <conditionalFormatting sqref="C15">
    <cfRule type="expression" dxfId="3293" priority="2946">
      <formula>E15&gt;0</formula>
    </cfRule>
  </conditionalFormatting>
  <conditionalFormatting sqref="C15">
    <cfRule type="expression" dxfId="3292" priority="2945">
      <formula>E15&gt;0</formula>
    </cfRule>
  </conditionalFormatting>
  <conditionalFormatting sqref="C15">
    <cfRule type="expression" dxfId="3291" priority="2944">
      <formula>E15&gt;0</formula>
    </cfRule>
  </conditionalFormatting>
  <conditionalFormatting sqref="C15">
    <cfRule type="expression" dxfId="3290" priority="2943">
      <formula>E15&gt;0</formula>
    </cfRule>
  </conditionalFormatting>
  <conditionalFormatting sqref="C15">
    <cfRule type="expression" dxfId="3289" priority="2942">
      <formula>E15&gt;0</formula>
    </cfRule>
  </conditionalFormatting>
  <conditionalFormatting sqref="C15">
    <cfRule type="expression" dxfId="3288" priority="2941">
      <formula>E15&gt;0</formula>
    </cfRule>
  </conditionalFormatting>
  <conditionalFormatting sqref="C15">
    <cfRule type="expression" dxfId="3287" priority="2940">
      <formula>E15&gt;0</formula>
    </cfRule>
  </conditionalFormatting>
  <conditionalFormatting sqref="C15">
    <cfRule type="expression" dxfId="3286" priority="2939">
      <formula>E15&gt;0</formula>
    </cfRule>
  </conditionalFormatting>
  <conditionalFormatting sqref="C15">
    <cfRule type="expression" dxfId="3285" priority="2938">
      <formula>E15&gt;0</formula>
    </cfRule>
  </conditionalFormatting>
  <conditionalFormatting sqref="C15">
    <cfRule type="expression" dxfId="3284" priority="2937">
      <formula>E15&gt;0</formula>
    </cfRule>
  </conditionalFormatting>
  <conditionalFormatting sqref="C15">
    <cfRule type="expression" dxfId="3283" priority="2936">
      <formula>E15&gt;0</formula>
    </cfRule>
  </conditionalFormatting>
  <conditionalFormatting sqref="C15">
    <cfRule type="expression" dxfId="3282" priority="2935">
      <formula>E15&gt;0</formula>
    </cfRule>
  </conditionalFormatting>
  <conditionalFormatting sqref="C15">
    <cfRule type="expression" dxfId="3281" priority="2934">
      <formula>E15&gt;0</formula>
    </cfRule>
  </conditionalFormatting>
  <conditionalFormatting sqref="C15">
    <cfRule type="expression" dxfId="3280" priority="2933">
      <formula>E15&gt;0</formula>
    </cfRule>
  </conditionalFormatting>
  <conditionalFormatting sqref="C15">
    <cfRule type="expression" dxfId="3279" priority="2932">
      <formula>E15&gt;0</formula>
    </cfRule>
  </conditionalFormatting>
  <conditionalFormatting sqref="C15">
    <cfRule type="expression" dxfId="3278" priority="2931">
      <formula>E15&gt;0</formula>
    </cfRule>
  </conditionalFormatting>
  <conditionalFormatting sqref="C15">
    <cfRule type="expression" dxfId="3277" priority="2930">
      <formula>E15&gt;0</formula>
    </cfRule>
  </conditionalFormatting>
  <conditionalFormatting sqref="C15">
    <cfRule type="expression" dxfId="3276" priority="2929">
      <formula>E15&gt;0</formula>
    </cfRule>
  </conditionalFormatting>
  <conditionalFormatting sqref="C15">
    <cfRule type="expression" dxfId="3275" priority="2928">
      <formula>E15&gt;0</formula>
    </cfRule>
  </conditionalFormatting>
  <conditionalFormatting sqref="C15">
    <cfRule type="expression" dxfId="3274" priority="2927">
      <formula>E15&gt;0</formula>
    </cfRule>
  </conditionalFormatting>
  <conditionalFormatting sqref="C15">
    <cfRule type="expression" dxfId="3273" priority="2926">
      <formula>E15&gt;0</formula>
    </cfRule>
  </conditionalFormatting>
  <conditionalFormatting sqref="C15">
    <cfRule type="expression" dxfId="3272" priority="2925">
      <formula>E15&gt;0</formula>
    </cfRule>
  </conditionalFormatting>
  <conditionalFormatting sqref="C15">
    <cfRule type="expression" dxfId="3271" priority="2924">
      <formula>E15&gt;0</formula>
    </cfRule>
  </conditionalFormatting>
  <conditionalFormatting sqref="C15">
    <cfRule type="expression" dxfId="3270" priority="2923">
      <formula>E15&gt;0</formula>
    </cfRule>
  </conditionalFormatting>
  <conditionalFormatting sqref="C15">
    <cfRule type="expression" dxfId="3269" priority="2922">
      <formula>E15&gt;0</formula>
    </cfRule>
  </conditionalFormatting>
  <conditionalFormatting sqref="C15">
    <cfRule type="expression" dxfId="3268" priority="2921">
      <formula>E15&gt;0</formula>
    </cfRule>
  </conditionalFormatting>
  <conditionalFormatting sqref="C16">
    <cfRule type="expression" dxfId="3267" priority="2920">
      <formula>E16&gt;0</formula>
    </cfRule>
  </conditionalFormatting>
  <conditionalFormatting sqref="C17">
    <cfRule type="expression" dxfId="3266" priority="2919">
      <formula>E17&gt;0</formula>
    </cfRule>
  </conditionalFormatting>
  <conditionalFormatting sqref="C18">
    <cfRule type="expression" dxfId="3265" priority="2918">
      <formula>E18&gt;0</formula>
    </cfRule>
  </conditionalFormatting>
  <conditionalFormatting sqref="C19">
    <cfRule type="expression" dxfId="3264" priority="2917">
      <formula>E19&gt;0</formula>
    </cfRule>
  </conditionalFormatting>
  <conditionalFormatting sqref="C20">
    <cfRule type="expression" dxfId="3263" priority="2916">
      <formula>E20&gt;0</formula>
    </cfRule>
  </conditionalFormatting>
  <conditionalFormatting sqref="C16">
    <cfRule type="expression" dxfId="3262" priority="2915">
      <formula>E16&gt;0</formula>
    </cfRule>
  </conditionalFormatting>
  <conditionalFormatting sqref="C17">
    <cfRule type="expression" dxfId="3261" priority="2914">
      <formula>E17&gt;0</formula>
    </cfRule>
  </conditionalFormatting>
  <conditionalFormatting sqref="C18">
    <cfRule type="expression" dxfId="3260" priority="2913">
      <formula>E18&gt;0</formula>
    </cfRule>
  </conditionalFormatting>
  <conditionalFormatting sqref="C19">
    <cfRule type="expression" dxfId="3259" priority="2912">
      <formula>E19&gt;0</formula>
    </cfRule>
  </conditionalFormatting>
  <conditionalFormatting sqref="C16">
    <cfRule type="expression" dxfId="3258" priority="2911">
      <formula>E16&gt;0</formula>
    </cfRule>
  </conditionalFormatting>
  <conditionalFormatting sqref="C19">
    <cfRule type="expression" dxfId="3257" priority="2910">
      <formula>E19&gt;0</formula>
    </cfRule>
  </conditionalFormatting>
  <conditionalFormatting sqref="C17">
    <cfRule type="expression" dxfId="3256" priority="2909">
      <formula>E17&gt;0</formula>
    </cfRule>
  </conditionalFormatting>
  <conditionalFormatting sqref="C17">
    <cfRule type="expression" dxfId="3255" priority="2908">
      <formula>E17&gt;0</formula>
    </cfRule>
  </conditionalFormatting>
  <conditionalFormatting sqref="C17">
    <cfRule type="expression" dxfId="3254" priority="2907">
      <formula>E17&gt;0</formula>
    </cfRule>
  </conditionalFormatting>
  <conditionalFormatting sqref="C17">
    <cfRule type="expression" dxfId="3253" priority="2906">
      <formula>E17&gt;0</formula>
    </cfRule>
  </conditionalFormatting>
  <conditionalFormatting sqref="C17">
    <cfRule type="expression" dxfId="3252" priority="2905">
      <formula>E17&gt;0</formula>
    </cfRule>
  </conditionalFormatting>
  <conditionalFormatting sqref="C17">
    <cfRule type="expression" dxfId="3251" priority="2904">
      <formula>E17&gt;0</formula>
    </cfRule>
  </conditionalFormatting>
  <conditionalFormatting sqref="C17">
    <cfRule type="expression" dxfId="3250" priority="2903">
      <formula>E17&gt;0</formula>
    </cfRule>
  </conditionalFormatting>
  <conditionalFormatting sqref="C17">
    <cfRule type="expression" dxfId="3249" priority="2902">
      <formula>E17&gt;0</formula>
    </cfRule>
  </conditionalFormatting>
  <conditionalFormatting sqref="C17">
    <cfRule type="expression" dxfId="3248" priority="2901">
      <formula>E17&gt;0</formula>
    </cfRule>
  </conditionalFormatting>
  <conditionalFormatting sqref="C17">
    <cfRule type="expression" dxfId="3247" priority="2900">
      <formula>E17&gt;0</formula>
    </cfRule>
  </conditionalFormatting>
  <conditionalFormatting sqref="C17">
    <cfRule type="expression" dxfId="3246" priority="2899">
      <formula>E17&gt;0</formula>
    </cfRule>
  </conditionalFormatting>
  <conditionalFormatting sqref="C17">
    <cfRule type="expression" dxfId="3245" priority="2898">
      <formula>E17&gt;0</formula>
    </cfRule>
  </conditionalFormatting>
  <conditionalFormatting sqref="C17">
    <cfRule type="expression" dxfId="3244" priority="2897">
      <formula>E17&gt;0</formula>
    </cfRule>
  </conditionalFormatting>
  <conditionalFormatting sqref="C17">
    <cfRule type="expression" dxfId="3243" priority="2896">
      <formula>E17&gt;0</formula>
    </cfRule>
  </conditionalFormatting>
  <conditionalFormatting sqref="C17">
    <cfRule type="expression" dxfId="3242" priority="2895">
      <formula>E17&gt;0</formula>
    </cfRule>
  </conditionalFormatting>
  <conditionalFormatting sqref="C17">
    <cfRule type="expression" dxfId="3241" priority="2894">
      <formula>E17&gt;0</formula>
    </cfRule>
  </conditionalFormatting>
  <conditionalFormatting sqref="C17">
    <cfRule type="expression" dxfId="3240" priority="2893">
      <formula>E17&gt;0</formula>
    </cfRule>
  </conditionalFormatting>
  <conditionalFormatting sqref="C17">
    <cfRule type="expression" dxfId="3239" priority="2892">
      <formula>E17&gt;0</formula>
    </cfRule>
  </conditionalFormatting>
  <conditionalFormatting sqref="C16">
    <cfRule type="expression" dxfId="3238" priority="2891">
      <formula>E16&gt;0</formula>
    </cfRule>
  </conditionalFormatting>
  <conditionalFormatting sqref="C17">
    <cfRule type="expression" dxfId="3237" priority="2890">
      <formula>E17&gt;0</formula>
    </cfRule>
  </conditionalFormatting>
  <conditionalFormatting sqref="C18">
    <cfRule type="expression" dxfId="3236" priority="2889">
      <formula>E18&gt;0</formula>
    </cfRule>
  </conditionalFormatting>
  <conditionalFormatting sqref="C16">
    <cfRule type="expression" dxfId="3235" priority="2888">
      <formula>E16&gt;0</formula>
    </cfRule>
  </conditionalFormatting>
  <conditionalFormatting sqref="C17">
    <cfRule type="expression" dxfId="3234" priority="2887">
      <formula>E17&gt;0</formula>
    </cfRule>
  </conditionalFormatting>
  <conditionalFormatting sqref="C18">
    <cfRule type="expression" dxfId="3233" priority="2886">
      <formula>E18&gt;0</formula>
    </cfRule>
  </conditionalFormatting>
  <conditionalFormatting sqref="C18">
    <cfRule type="expression" dxfId="3232" priority="2885">
      <formula>E18&gt;0</formula>
    </cfRule>
  </conditionalFormatting>
  <conditionalFormatting sqref="C18">
    <cfRule type="expression" dxfId="3231" priority="2884">
      <formula>E18&gt;0</formula>
    </cfRule>
  </conditionalFormatting>
  <conditionalFormatting sqref="C18">
    <cfRule type="expression" dxfId="3230" priority="2883">
      <formula>E18&gt;0</formula>
    </cfRule>
  </conditionalFormatting>
  <conditionalFormatting sqref="C18">
    <cfRule type="expression" dxfId="3229" priority="2882">
      <formula>E18&gt;0</formula>
    </cfRule>
  </conditionalFormatting>
  <conditionalFormatting sqref="C18">
    <cfRule type="expression" dxfId="3228" priority="2881">
      <formula>E18&gt;0</formula>
    </cfRule>
  </conditionalFormatting>
  <conditionalFormatting sqref="C18">
    <cfRule type="expression" dxfId="3227" priority="2880">
      <formula>E18&gt;0</formula>
    </cfRule>
  </conditionalFormatting>
  <conditionalFormatting sqref="C18">
    <cfRule type="expression" dxfId="3226" priority="2879">
      <formula>E18&gt;0</formula>
    </cfRule>
  </conditionalFormatting>
  <conditionalFormatting sqref="C18">
    <cfRule type="expression" dxfId="3225" priority="2878">
      <formula>E18&gt;0</formula>
    </cfRule>
  </conditionalFormatting>
  <conditionalFormatting sqref="C18">
    <cfRule type="expression" dxfId="3224" priority="2877">
      <formula>E18&gt;0</formula>
    </cfRule>
  </conditionalFormatting>
  <conditionalFormatting sqref="C18">
    <cfRule type="expression" dxfId="3223" priority="2876">
      <formula>E18&gt;0</formula>
    </cfRule>
  </conditionalFormatting>
  <conditionalFormatting sqref="C18">
    <cfRule type="expression" dxfId="3222" priority="2875">
      <formula>E18&gt;0</formula>
    </cfRule>
  </conditionalFormatting>
  <conditionalFormatting sqref="C18">
    <cfRule type="expression" dxfId="3221" priority="2874">
      <formula>E18&gt;0</formula>
    </cfRule>
  </conditionalFormatting>
  <conditionalFormatting sqref="C18">
    <cfRule type="expression" dxfId="3220" priority="2873">
      <formula>E18&gt;0</formula>
    </cfRule>
  </conditionalFormatting>
  <conditionalFormatting sqref="C18">
    <cfRule type="expression" dxfId="3219" priority="2872">
      <formula>E18&gt;0</formula>
    </cfRule>
  </conditionalFormatting>
  <conditionalFormatting sqref="C18">
    <cfRule type="expression" dxfId="3218" priority="2871">
      <formula>E18&gt;0</formula>
    </cfRule>
  </conditionalFormatting>
  <conditionalFormatting sqref="C18">
    <cfRule type="expression" dxfId="3217" priority="2870">
      <formula>E18&gt;0</formula>
    </cfRule>
  </conditionalFormatting>
  <conditionalFormatting sqref="C18">
    <cfRule type="expression" dxfId="3216" priority="2869">
      <formula>E18&gt;0</formula>
    </cfRule>
  </conditionalFormatting>
  <conditionalFormatting sqref="C16">
    <cfRule type="expression" dxfId="3215" priority="2868">
      <formula>E16&gt;0</formula>
    </cfRule>
  </conditionalFormatting>
  <conditionalFormatting sqref="C17">
    <cfRule type="expression" dxfId="3214" priority="2867">
      <formula>E17&gt;0</formula>
    </cfRule>
  </conditionalFormatting>
  <conditionalFormatting sqref="C17">
    <cfRule type="expression" dxfId="3213" priority="2866">
      <formula>E17&gt;0</formula>
    </cfRule>
  </conditionalFormatting>
  <conditionalFormatting sqref="C17">
    <cfRule type="expression" dxfId="3212" priority="2865">
      <formula>E17&gt;0</formula>
    </cfRule>
  </conditionalFormatting>
  <conditionalFormatting sqref="C16">
    <cfRule type="expression" dxfId="3211" priority="2864">
      <formula>E16&gt;0</formula>
    </cfRule>
  </conditionalFormatting>
  <conditionalFormatting sqref="C16">
    <cfRule type="expression" dxfId="3210" priority="2863">
      <formula>E16&gt;0</formula>
    </cfRule>
  </conditionalFormatting>
  <conditionalFormatting sqref="C16">
    <cfRule type="expression" dxfId="3209" priority="2862">
      <formula>E16&gt;0</formula>
    </cfRule>
  </conditionalFormatting>
  <conditionalFormatting sqref="C16">
    <cfRule type="expression" dxfId="3208" priority="2861">
      <formula>E16&gt;0</formula>
    </cfRule>
  </conditionalFormatting>
  <conditionalFormatting sqref="C16">
    <cfRule type="expression" dxfId="3207" priority="2860">
      <formula>E16&gt;0</formula>
    </cfRule>
  </conditionalFormatting>
  <conditionalFormatting sqref="C16">
    <cfRule type="expression" dxfId="3206" priority="2859">
      <formula>E16&gt;0</formula>
    </cfRule>
  </conditionalFormatting>
  <conditionalFormatting sqref="C16">
    <cfRule type="expression" dxfId="3205" priority="2858">
      <formula>E16&gt;0</formula>
    </cfRule>
  </conditionalFormatting>
  <conditionalFormatting sqref="C16">
    <cfRule type="expression" dxfId="3204" priority="2857">
      <formula>E16&gt;0</formula>
    </cfRule>
  </conditionalFormatting>
  <conditionalFormatting sqref="C16">
    <cfRule type="expression" dxfId="3203" priority="2856">
      <formula>E16&gt;0</formula>
    </cfRule>
  </conditionalFormatting>
  <conditionalFormatting sqref="C16">
    <cfRule type="expression" dxfId="3202" priority="2855">
      <formula>E16&gt;0</formula>
    </cfRule>
  </conditionalFormatting>
  <conditionalFormatting sqref="C16">
    <cfRule type="expression" dxfId="3201" priority="2854">
      <formula>E16&gt;0</formula>
    </cfRule>
  </conditionalFormatting>
  <conditionalFormatting sqref="C16">
    <cfRule type="expression" dxfId="3200" priority="2853">
      <formula>E16&gt;0</formula>
    </cfRule>
  </conditionalFormatting>
  <conditionalFormatting sqref="C16">
    <cfRule type="expression" dxfId="3199" priority="2852">
      <formula>E16&gt;0</formula>
    </cfRule>
  </conditionalFormatting>
  <conditionalFormatting sqref="C17">
    <cfRule type="expression" dxfId="3198" priority="2851">
      <formula>E17&gt;0</formula>
    </cfRule>
  </conditionalFormatting>
  <conditionalFormatting sqref="C17">
    <cfRule type="expression" dxfId="3197" priority="2850">
      <formula>E17&gt;0</formula>
    </cfRule>
  </conditionalFormatting>
  <conditionalFormatting sqref="C17">
    <cfRule type="expression" dxfId="3196" priority="2849">
      <formula>E17&gt;0</formula>
    </cfRule>
  </conditionalFormatting>
  <conditionalFormatting sqref="C17">
    <cfRule type="expression" dxfId="3195" priority="2848">
      <formula>E17&gt;0</formula>
    </cfRule>
  </conditionalFormatting>
  <conditionalFormatting sqref="C17">
    <cfRule type="expression" dxfId="3194" priority="2847">
      <formula>E17&gt;0</formula>
    </cfRule>
  </conditionalFormatting>
  <conditionalFormatting sqref="C17">
    <cfRule type="expression" dxfId="3193" priority="2846">
      <formula>E17&gt;0</formula>
    </cfRule>
  </conditionalFormatting>
  <conditionalFormatting sqref="C17">
    <cfRule type="expression" dxfId="3192" priority="2845">
      <formula>E17&gt;0</formula>
    </cfRule>
  </conditionalFormatting>
  <conditionalFormatting sqref="C17">
    <cfRule type="expression" dxfId="3191" priority="2844">
      <formula>E17&gt;0</formula>
    </cfRule>
  </conditionalFormatting>
  <conditionalFormatting sqref="C17">
    <cfRule type="expression" dxfId="3190" priority="2843">
      <formula>E17&gt;0</formula>
    </cfRule>
  </conditionalFormatting>
  <conditionalFormatting sqref="C17">
    <cfRule type="expression" dxfId="3189" priority="2842">
      <formula>E17&gt;0</formula>
    </cfRule>
  </conditionalFormatting>
  <conditionalFormatting sqref="C17">
    <cfRule type="expression" dxfId="3188" priority="2841">
      <formula>E17&gt;0</formula>
    </cfRule>
  </conditionalFormatting>
  <conditionalFormatting sqref="C17">
    <cfRule type="expression" dxfId="3187" priority="2840">
      <formula>E17&gt;0</formula>
    </cfRule>
  </conditionalFormatting>
  <conditionalFormatting sqref="C17">
    <cfRule type="expression" dxfId="3186" priority="2839">
      <formula>E17&gt;0</formula>
    </cfRule>
  </conditionalFormatting>
  <conditionalFormatting sqref="C17">
    <cfRule type="expression" dxfId="3185" priority="2838">
      <formula>E17&gt;0</formula>
    </cfRule>
  </conditionalFormatting>
  <conditionalFormatting sqref="C17">
    <cfRule type="expression" dxfId="3184" priority="2837">
      <formula>E17&gt;0</formula>
    </cfRule>
  </conditionalFormatting>
  <conditionalFormatting sqref="C17">
    <cfRule type="expression" dxfId="3183" priority="2836">
      <formula>E17&gt;0</formula>
    </cfRule>
  </conditionalFormatting>
  <conditionalFormatting sqref="C17">
    <cfRule type="expression" dxfId="3182" priority="2835">
      <formula>E17&gt;0</formula>
    </cfRule>
  </conditionalFormatting>
  <conditionalFormatting sqref="C17">
    <cfRule type="expression" dxfId="3181" priority="2834">
      <formula>E17&gt;0</formula>
    </cfRule>
  </conditionalFormatting>
  <conditionalFormatting sqref="C17">
    <cfRule type="expression" dxfId="3180" priority="2833">
      <formula>E17&gt;0</formula>
    </cfRule>
  </conditionalFormatting>
  <conditionalFormatting sqref="C17">
    <cfRule type="expression" dxfId="3179" priority="2832">
      <formula>E17&gt;0</formula>
    </cfRule>
  </conditionalFormatting>
  <conditionalFormatting sqref="C18">
    <cfRule type="expression" dxfId="3178" priority="2831">
      <formula>E18&gt;0</formula>
    </cfRule>
  </conditionalFormatting>
  <conditionalFormatting sqref="C19">
    <cfRule type="expression" dxfId="3177" priority="2830">
      <formula>E19&gt;0</formula>
    </cfRule>
  </conditionalFormatting>
  <conditionalFormatting sqref="C18:C19">
    <cfRule type="expression" dxfId="3176" priority="2829">
      <formula>E18&gt;0</formula>
    </cfRule>
  </conditionalFormatting>
  <conditionalFormatting sqref="C18:C19">
    <cfRule type="expression" dxfId="3175" priority="2828">
      <formula>E18&gt;0</formula>
    </cfRule>
  </conditionalFormatting>
  <conditionalFormatting sqref="C18:C19">
    <cfRule type="expression" dxfId="3174" priority="2827">
      <formula>E18&gt;0</formula>
    </cfRule>
  </conditionalFormatting>
  <conditionalFormatting sqref="C18:C19">
    <cfRule type="expression" dxfId="3173" priority="2826">
      <formula>E18&gt;0</formula>
    </cfRule>
  </conditionalFormatting>
  <conditionalFormatting sqref="C18">
    <cfRule type="expression" dxfId="3172" priority="2825">
      <formula>E18&gt;0</formula>
    </cfRule>
  </conditionalFormatting>
  <conditionalFormatting sqref="C19">
    <cfRule type="expression" dxfId="3171" priority="2824">
      <formula>E19&gt;0</formula>
    </cfRule>
  </conditionalFormatting>
  <conditionalFormatting sqref="C18">
    <cfRule type="expression" dxfId="3170" priority="2823">
      <formula>E18&gt;0</formula>
    </cfRule>
  </conditionalFormatting>
  <conditionalFormatting sqref="C18">
    <cfRule type="expression" dxfId="3169" priority="2822">
      <formula>E18&gt;0</formula>
    </cfRule>
  </conditionalFormatting>
  <conditionalFormatting sqref="C18">
    <cfRule type="expression" dxfId="3168" priority="2821">
      <formula>E18&gt;0</formula>
    </cfRule>
  </conditionalFormatting>
  <conditionalFormatting sqref="C18">
    <cfRule type="expression" dxfId="3167" priority="2820">
      <formula>E18&gt;0</formula>
    </cfRule>
  </conditionalFormatting>
  <conditionalFormatting sqref="C18">
    <cfRule type="expression" dxfId="3166" priority="2819">
      <formula>E18&gt;0</formula>
    </cfRule>
  </conditionalFormatting>
  <conditionalFormatting sqref="C19">
    <cfRule type="expression" dxfId="3165" priority="2818">
      <formula>E19&gt;0</formula>
    </cfRule>
  </conditionalFormatting>
  <conditionalFormatting sqref="C19">
    <cfRule type="expression" dxfId="3164" priority="2817">
      <formula>E19&gt;0</formula>
    </cfRule>
  </conditionalFormatting>
  <conditionalFormatting sqref="C18">
    <cfRule type="expression" dxfId="3163" priority="2816">
      <formula>E18&gt;0</formula>
    </cfRule>
  </conditionalFormatting>
  <conditionalFormatting sqref="C19">
    <cfRule type="expression" dxfId="3162" priority="2815">
      <formula>E19&gt;0</formula>
    </cfRule>
  </conditionalFormatting>
  <conditionalFormatting sqref="C18">
    <cfRule type="expression" dxfId="3161" priority="2814">
      <formula>E18&gt;0</formula>
    </cfRule>
  </conditionalFormatting>
  <conditionalFormatting sqref="C19">
    <cfRule type="expression" dxfId="3160" priority="2813">
      <formula>E19&gt;0</formula>
    </cfRule>
  </conditionalFormatting>
  <conditionalFormatting sqref="C18">
    <cfRule type="expression" dxfId="3159" priority="2812">
      <formula>E18&gt;0</formula>
    </cfRule>
  </conditionalFormatting>
  <conditionalFormatting sqref="C18">
    <cfRule type="expression" dxfId="3158" priority="2811">
      <formula>E18&gt;0</formula>
    </cfRule>
  </conditionalFormatting>
  <conditionalFormatting sqref="C18">
    <cfRule type="expression" dxfId="3157" priority="2810">
      <formula>E18&gt;0</formula>
    </cfRule>
  </conditionalFormatting>
  <conditionalFormatting sqref="C18">
    <cfRule type="expression" dxfId="3156" priority="2809">
      <formula>E18&gt;0</formula>
    </cfRule>
  </conditionalFormatting>
  <conditionalFormatting sqref="C18">
    <cfRule type="expression" dxfId="3155" priority="2808">
      <formula>E18&gt;0</formula>
    </cfRule>
  </conditionalFormatting>
  <conditionalFormatting sqref="C19">
    <cfRule type="expression" dxfId="3154" priority="2807">
      <formula>E19&gt;0</formula>
    </cfRule>
  </conditionalFormatting>
  <conditionalFormatting sqref="C18">
    <cfRule type="expression" dxfId="3153" priority="2806">
      <formula>E18&gt;0</formula>
    </cfRule>
  </conditionalFormatting>
  <conditionalFormatting sqref="C18">
    <cfRule type="expression" dxfId="3152" priority="2805">
      <formula>E18&gt;0</formula>
    </cfRule>
  </conditionalFormatting>
  <conditionalFormatting sqref="C18">
    <cfRule type="expression" dxfId="3151" priority="2804">
      <formula>E18&gt;0</formula>
    </cfRule>
  </conditionalFormatting>
  <conditionalFormatting sqref="C18">
    <cfRule type="expression" dxfId="3150" priority="2803">
      <formula>E18&gt;0</formula>
    </cfRule>
  </conditionalFormatting>
  <conditionalFormatting sqref="C19">
    <cfRule type="expression" dxfId="3149" priority="2802">
      <formula>E19&gt;0</formula>
    </cfRule>
  </conditionalFormatting>
  <conditionalFormatting sqref="C19">
    <cfRule type="expression" dxfId="3148" priority="2801">
      <formula>E19&gt;0</formula>
    </cfRule>
  </conditionalFormatting>
  <conditionalFormatting sqref="C18">
    <cfRule type="expression" dxfId="3147" priority="2800">
      <formula>E18&gt;0</formula>
    </cfRule>
  </conditionalFormatting>
  <conditionalFormatting sqref="C19">
    <cfRule type="expression" dxfId="3146" priority="2799">
      <formula>E19&gt;0</formula>
    </cfRule>
  </conditionalFormatting>
  <conditionalFormatting sqref="C18">
    <cfRule type="expression" dxfId="3145" priority="2798">
      <formula>E18&gt;0</formula>
    </cfRule>
  </conditionalFormatting>
  <conditionalFormatting sqref="C19">
    <cfRule type="expression" dxfId="3144" priority="2797">
      <formula>E19&gt;0</formula>
    </cfRule>
  </conditionalFormatting>
  <conditionalFormatting sqref="C16:C19">
    <cfRule type="expression" dxfId="3143" priority="2796">
      <formula>E16&gt;0</formula>
    </cfRule>
  </conditionalFormatting>
  <conditionalFormatting sqref="C16:C19">
    <cfRule type="expression" dxfId="3142" priority="2795">
      <formula>E16&gt;0</formula>
    </cfRule>
  </conditionalFormatting>
  <conditionalFormatting sqref="C16:C19">
    <cfRule type="expression" dxfId="3141" priority="2794">
      <formula>E16&gt;0</formula>
    </cfRule>
  </conditionalFormatting>
  <conditionalFormatting sqref="C16:C19">
    <cfRule type="expression" dxfId="3140" priority="2793">
      <formula>E16&gt;0</formula>
    </cfRule>
  </conditionalFormatting>
  <conditionalFormatting sqref="C16">
    <cfRule type="expression" dxfId="3139" priority="2792">
      <formula>E16&gt;0</formula>
    </cfRule>
  </conditionalFormatting>
  <conditionalFormatting sqref="C17">
    <cfRule type="expression" dxfId="3138" priority="2791">
      <formula>E17&gt;0</formula>
    </cfRule>
  </conditionalFormatting>
  <conditionalFormatting sqref="C17">
    <cfRule type="expression" dxfId="3137" priority="2790">
      <formula>E17&gt;0</formula>
    </cfRule>
  </conditionalFormatting>
  <conditionalFormatting sqref="C18">
    <cfRule type="expression" dxfId="3136" priority="2789">
      <formula>E18&gt;0</formula>
    </cfRule>
  </conditionalFormatting>
  <conditionalFormatting sqref="C19">
    <cfRule type="expression" dxfId="3135" priority="2788">
      <formula>E19&gt;0</formula>
    </cfRule>
  </conditionalFormatting>
  <conditionalFormatting sqref="C17">
    <cfRule type="expression" dxfId="3134" priority="2787">
      <formula>E17&gt;0</formula>
    </cfRule>
  </conditionalFormatting>
  <conditionalFormatting sqref="C18">
    <cfRule type="expression" dxfId="3133" priority="2786">
      <formula>E18&gt;0</formula>
    </cfRule>
  </conditionalFormatting>
  <conditionalFormatting sqref="C19">
    <cfRule type="expression" dxfId="3132" priority="2785">
      <formula>E19&gt;0</formula>
    </cfRule>
  </conditionalFormatting>
  <conditionalFormatting sqref="C20">
    <cfRule type="expression" dxfId="3131" priority="2784">
      <formula>E20&gt;0</formula>
    </cfRule>
  </conditionalFormatting>
  <conditionalFormatting sqref="C20">
    <cfRule type="expression" dxfId="3130" priority="2783">
      <formula>E20&gt;0</formula>
    </cfRule>
  </conditionalFormatting>
  <conditionalFormatting sqref="C20">
    <cfRule type="expression" dxfId="3129" priority="2782">
      <formula>E20&gt;0</formula>
    </cfRule>
  </conditionalFormatting>
  <conditionalFormatting sqref="C20">
    <cfRule type="expression" dxfId="3128" priority="2781">
      <formula>E20&gt;0</formula>
    </cfRule>
  </conditionalFormatting>
  <conditionalFormatting sqref="C20">
    <cfRule type="expression" dxfId="3127" priority="2780">
      <formula>E20&gt;0</formula>
    </cfRule>
  </conditionalFormatting>
  <conditionalFormatting sqref="C20">
    <cfRule type="expression" dxfId="3126" priority="2779">
      <formula>E20&gt;0</formula>
    </cfRule>
  </conditionalFormatting>
  <conditionalFormatting sqref="C20">
    <cfRule type="expression" dxfId="3125" priority="2778">
      <formula>E20&gt;0</formula>
    </cfRule>
  </conditionalFormatting>
  <conditionalFormatting sqref="C20">
    <cfRule type="expression" dxfId="3124" priority="2777">
      <formula>E20&gt;0</formula>
    </cfRule>
  </conditionalFormatting>
  <conditionalFormatting sqref="C20">
    <cfRule type="expression" dxfId="3123" priority="2776">
      <formula>E20&gt;0</formula>
    </cfRule>
  </conditionalFormatting>
  <conditionalFormatting sqref="C20">
    <cfRule type="expression" dxfId="3122" priority="2775">
      <formula>E20&gt;0</formula>
    </cfRule>
  </conditionalFormatting>
  <conditionalFormatting sqref="C20">
    <cfRule type="expression" dxfId="3121" priority="2774">
      <formula>E20&gt;0</formula>
    </cfRule>
  </conditionalFormatting>
  <conditionalFormatting sqref="C33:C52">
    <cfRule type="expression" dxfId="3120" priority="2773">
      <formula>E33&gt;0</formula>
    </cfRule>
  </conditionalFormatting>
  <conditionalFormatting sqref="C33:C52">
    <cfRule type="expression" dxfId="3119" priority="2772">
      <formula>E33&gt;0</formula>
    </cfRule>
  </conditionalFormatting>
  <conditionalFormatting sqref="C33:C52">
    <cfRule type="expression" dxfId="3118" priority="2771">
      <formula>E33&gt;0</formula>
    </cfRule>
  </conditionalFormatting>
  <conditionalFormatting sqref="C33:C52">
    <cfRule type="expression" dxfId="3117" priority="2770">
      <formula>E33&gt;0</formula>
    </cfRule>
  </conditionalFormatting>
  <conditionalFormatting sqref="C33:C52">
    <cfRule type="expression" dxfId="3116" priority="2769">
      <formula>E33&gt;0</formula>
    </cfRule>
  </conditionalFormatting>
  <conditionalFormatting sqref="C33:C52">
    <cfRule type="expression" dxfId="3115" priority="2768">
      <formula>E33&gt;0</formula>
    </cfRule>
  </conditionalFormatting>
  <conditionalFormatting sqref="C33:C52">
    <cfRule type="expression" dxfId="3114" priority="2767">
      <formula>E33&gt;0</formula>
    </cfRule>
  </conditionalFormatting>
  <conditionalFormatting sqref="C33:C52">
    <cfRule type="expression" dxfId="3113" priority="2766">
      <formula>E33&gt;0</formula>
    </cfRule>
  </conditionalFormatting>
  <conditionalFormatting sqref="C33:C52">
    <cfRule type="expression" dxfId="3112" priority="2765">
      <formula>E33&gt;0</formula>
    </cfRule>
  </conditionalFormatting>
  <conditionalFormatting sqref="C33:C52">
    <cfRule type="expression" dxfId="3111" priority="2764">
      <formula>E33&gt;0</formula>
    </cfRule>
  </conditionalFormatting>
  <conditionalFormatting sqref="C33:C52">
    <cfRule type="expression" dxfId="3110" priority="2763">
      <formula>E33&gt;0</formula>
    </cfRule>
  </conditionalFormatting>
  <conditionalFormatting sqref="C33:C52">
    <cfRule type="expression" dxfId="3109" priority="2762">
      <formula>E33&gt;0</formula>
    </cfRule>
  </conditionalFormatting>
  <conditionalFormatting sqref="C33:C52">
    <cfRule type="expression" dxfId="3108" priority="2761">
      <formula>E33&gt;0</formula>
    </cfRule>
  </conditionalFormatting>
  <conditionalFormatting sqref="C33:C52">
    <cfRule type="expression" dxfId="3107" priority="2760">
      <formula>E33&gt;0</formula>
    </cfRule>
  </conditionalFormatting>
  <conditionalFormatting sqref="C33:C52">
    <cfRule type="expression" dxfId="3106" priority="2759">
      <formula>E33&gt;0</formula>
    </cfRule>
  </conditionalFormatting>
  <conditionalFormatting sqref="C33:C52">
    <cfRule type="expression" dxfId="3105" priority="2758">
      <formula>E33&gt;0</formula>
    </cfRule>
  </conditionalFormatting>
  <conditionalFormatting sqref="C33:C52">
    <cfRule type="expression" dxfId="3104" priority="2757">
      <formula>E33&gt;0</formula>
    </cfRule>
  </conditionalFormatting>
  <conditionalFormatting sqref="C33:C52">
    <cfRule type="expression" dxfId="3103" priority="2756">
      <formula>E33&gt;0</formula>
    </cfRule>
  </conditionalFormatting>
  <conditionalFormatting sqref="C33:C52">
    <cfRule type="expression" dxfId="3102" priority="2755">
      <formula>E33&gt;0</formula>
    </cfRule>
  </conditionalFormatting>
  <conditionalFormatting sqref="C33:C52">
    <cfRule type="expression" dxfId="3101" priority="2754">
      <formula>E33&gt;0</formula>
    </cfRule>
  </conditionalFormatting>
  <conditionalFormatting sqref="C33:C52">
    <cfRule type="expression" dxfId="3100" priority="2753">
      <formula>E33&gt;0</formula>
    </cfRule>
  </conditionalFormatting>
  <conditionalFormatting sqref="C33:C52">
    <cfRule type="expression" dxfId="3099" priority="2752">
      <formula>E33&gt;0</formula>
    </cfRule>
  </conditionalFormatting>
  <conditionalFormatting sqref="C33:C52">
    <cfRule type="expression" dxfId="3098" priority="2751">
      <formula>E33&gt;0</formula>
    </cfRule>
  </conditionalFormatting>
  <conditionalFormatting sqref="C33:C52">
    <cfRule type="expression" dxfId="3097" priority="2750">
      <formula>E33&gt;0</formula>
    </cfRule>
  </conditionalFormatting>
  <conditionalFormatting sqref="C33:C52">
    <cfRule type="expression" dxfId="3096" priority="2749">
      <formula>E33&gt;0</formula>
    </cfRule>
  </conditionalFormatting>
  <conditionalFormatting sqref="C33:C52">
    <cfRule type="expression" dxfId="3095" priority="2748">
      <formula>E33&gt;0</formula>
    </cfRule>
  </conditionalFormatting>
  <conditionalFormatting sqref="C33:C52">
    <cfRule type="expression" dxfId="3094" priority="2747">
      <formula>E33&gt;0</formula>
    </cfRule>
  </conditionalFormatting>
  <conditionalFormatting sqref="C33:C52">
    <cfRule type="expression" dxfId="3093" priority="2746">
      <formula>E33&gt;0</formula>
    </cfRule>
  </conditionalFormatting>
  <conditionalFormatting sqref="C33:C52">
    <cfRule type="expression" dxfId="3092" priority="2745">
      <formula>E33&gt;0</formula>
    </cfRule>
  </conditionalFormatting>
  <conditionalFormatting sqref="C33:C52">
    <cfRule type="expression" dxfId="3091" priority="2744">
      <formula>E33&gt;0</formula>
    </cfRule>
  </conditionalFormatting>
  <conditionalFormatting sqref="C33:C52">
    <cfRule type="expression" dxfId="3090" priority="2743">
      <formula>E33&gt;0</formula>
    </cfRule>
  </conditionalFormatting>
  <conditionalFormatting sqref="C33:C52">
    <cfRule type="expression" dxfId="3089" priority="2742">
      <formula>E33&gt;0</formula>
    </cfRule>
  </conditionalFormatting>
  <conditionalFormatting sqref="C20">
    <cfRule type="expression" dxfId="3088" priority="2741">
      <formula>E20&gt;0</formula>
    </cfRule>
  </conditionalFormatting>
  <conditionalFormatting sqref="C21:C52">
    <cfRule type="expression" dxfId="3087" priority="2740">
      <formula>E21&gt;0</formula>
    </cfRule>
  </conditionalFormatting>
  <conditionalFormatting sqref="C22">
    <cfRule type="expression" dxfId="3086" priority="2739">
      <formula>E22&gt;0</formula>
    </cfRule>
  </conditionalFormatting>
  <conditionalFormatting sqref="C23:C24">
    <cfRule type="expression" dxfId="3085" priority="2738">
      <formula>E23&gt;0</formula>
    </cfRule>
  </conditionalFormatting>
  <conditionalFormatting sqref="C24">
    <cfRule type="expression" dxfId="3084" priority="2737">
      <formula>E24&gt;0</formula>
    </cfRule>
  </conditionalFormatting>
  <conditionalFormatting sqref="C25:C26">
    <cfRule type="expression" dxfId="3083" priority="2736">
      <formula>E25&gt;0</formula>
    </cfRule>
  </conditionalFormatting>
  <conditionalFormatting sqref="C26">
    <cfRule type="expression" dxfId="3082" priority="2735">
      <formula>E26&gt;0</formula>
    </cfRule>
  </conditionalFormatting>
  <conditionalFormatting sqref="C27:C28">
    <cfRule type="expression" dxfId="3081" priority="2734">
      <formula>E27&gt;0</formula>
    </cfRule>
  </conditionalFormatting>
  <conditionalFormatting sqref="C28">
    <cfRule type="expression" dxfId="3080" priority="2733">
      <formula>E28&gt;0</formula>
    </cfRule>
  </conditionalFormatting>
  <conditionalFormatting sqref="C21:C52">
    <cfRule type="expression" dxfId="3079" priority="2732">
      <formula>E21&gt;0</formula>
    </cfRule>
  </conditionalFormatting>
  <conditionalFormatting sqref="C22">
    <cfRule type="expression" dxfId="3078" priority="2731">
      <formula>E22&gt;0</formula>
    </cfRule>
  </conditionalFormatting>
  <conditionalFormatting sqref="C21:C52">
    <cfRule type="expression" dxfId="3077" priority="2730">
      <formula>E21&gt;0</formula>
    </cfRule>
  </conditionalFormatting>
  <conditionalFormatting sqref="C22">
    <cfRule type="expression" dxfId="3076" priority="2729">
      <formula>E22&gt;0</formula>
    </cfRule>
  </conditionalFormatting>
  <conditionalFormatting sqref="C22">
    <cfRule type="expression" dxfId="3075" priority="2728">
      <formula>E22&gt;0</formula>
    </cfRule>
  </conditionalFormatting>
  <conditionalFormatting sqref="C22">
    <cfRule type="expression" dxfId="3074" priority="2727">
      <formula>E22&gt;0</formula>
    </cfRule>
  </conditionalFormatting>
  <conditionalFormatting sqref="C22">
    <cfRule type="expression" dxfId="3073" priority="2726">
      <formula>E22&gt;0</formula>
    </cfRule>
  </conditionalFormatting>
  <conditionalFormatting sqref="C22">
    <cfRule type="expression" dxfId="3072" priority="2725">
      <formula>E22&gt;0</formula>
    </cfRule>
  </conditionalFormatting>
  <conditionalFormatting sqref="C22">
    <cfRule type="expression" dxfId="3071" priority="2724">
      <formula>E22&gt;0</formula>
    </cfRule>
  </conditionalFormatting>
  <conditionalFormatting sqref="C22">
    <cfRule type="expression" dxfId="3070" priority="2723">
      <formula>E22&gt;0</formula>
    </cfRule>
  </conditionalFormatting>
  <conditionalFormatting sqref="C22">
    <cfRule type="expression" dxfId="3069" priority="2722">
      <formula>E22&gt;0</formula>
    </cfRule>
  </conditionalFormatting>
  <conditionalFormatting sqref="C22">
    <cfRule type="expression" dxfId="3068" priority="2721">
      <formula>E22&gt;0</formula>
    </cfRule>
  </conditionalFormatting>
  <conditionalFormatting sqref="C22">
    <cfRule type="expression" dxfId="3067" priority="2720">
      <formula>E22&gt;0</formula>
    </cfRule>
  </conditionalFormatting>
  <conditionalFormatting sqref="C22">
    <cfRule type="expression" dxfId="3066" priority="2719">
      <formula>E22&gt;0</formula>
    </cfRule>
  </conditionalFormatting>
  <conditionalFormatting sqref="C22">
    <cfRule type="expression" dxfId="3065" priority="2718">
      <formula>E22&gt;0</formula>
    </cfRule>
  </conditionalFormatting>
  <conditionalFormatting sqref="C22">
    <cfRule type="expression" dxfId="3064" priority="2717">
      <formula>E22&gt;0</formula>
    </cfRule>
  </conditionalFormatting>
  <conditionalFormatting sqref="C22">
    <cfRule type="expression" dxfId="3063" priority="2716">
      <formula>E22&gt;0</formula>
    </cfRule>
  </conditionalFormatting>
  <conditionalFormatting sqref="C22">
    <cfRule type="expression" dxfId="3062" priority="2715">
      <formula>E22&gt;0</formula>
    </cfRule>
  </conditionalFormatting>
  <conditionalFormatting sqref="C22">
    <cfRule type="expression" dxfId="3061" priority="2714">
      <formula>E22&gt;0</formula>
    </cfRule>
  </conditionalFormatting>
  <conditionalFormatting sqref="C22">
    <cfRule type="expression" dxfId="3060" priority="2713">
      <formula>E22&gt;0</formula>
    </cfRule>
  </conditionalFormatting>
  <conditionalFormatting sqref="C22">
    <cfRule type="expression" dxfId="3059" priority="2712">
      <formula>E22&gt;0</formula>
    </cfRule>
  </conditionalFormatting>
  <conditionalFormatting sqref="C21:C52">
    <cfRule type="expression" dxfId="3058" priority="2711">
      <formula>E21&gt;0</formula>
    </cfRule>
  </conditionalFormatting>
  <conditionalFormatting sqref="C22">
    <cfRule type="expression" dxfId="3057" priority="2710">
      <formula>E22&gt;0</formula>
    </cfRule>
  </conditionalFormatting>
  <conditionalFormatting sqref="C21:C52">
    <cfRule type="expression" dxfId="3056" priority="2709">
      <formula>E21&gt;0</formula>
    </cfRule>
  </conditionalFormatting>
  <conditionalFormatting sqref="C22">
    <cfRule type="expression" dxfId="3055" priority="2708">
      <formula>E22&gt;0</formula>
    </cfRule>
  </conditionalFormatting>
  <conditionalFormatting sqref="C21:C52">
    <cfRule type="expression" dxfId="3054" priority="2707">
      <formula>E21&gt;0</formula>
    </cfRule>
  </conditionalFormatting>
  <conditionalFormatting sqref="C22">
    <cfRule type="expression" dxfId="3053" priority="2706">
      <formula>E22&gt;0</formula>
    </cfRule>
  </conditionalFormatting>
  <conditionalFormatting sqref="C22">
    <cfRule type="expression" dxfId="3052" priority="2705">
      <formula>E22&gt;0</formula>
    </cfRule>
  </conditionalFormatting>
  <conditionalFormatting sqref="C22">
    <cfRule type="expression" dxfId="3051" priority="2704">
      <formula>E22&gt;0</formula>
    </cfRule>
  </conditionalFormatting>
  <conditionalFormatting sqref="C21:C52">
    <cfRule type="expression" dxfId="3050" priority="2703">
      <formula>E21&gt;0</formula>
    </cfRule>
  </conditionalFormatting>
  <conditionalFormatting sqref="C20:C52">
    <cfRule type="expression" dxfId="3049" priority="2702">
      <formula>E20&gt;0</formula>
    </cfRule>
  </conditionalFormatting>
  <conditionalFormatting sqref="C20:C52">
    <cfRule type="expression" dxfId="3048" priority="2701">
      <formula>E20&gt;0</formula>
    </cfRule>
  </conditionalFormatting>
  <conditionalFormatting sqref="C21:C52">
    <cfRule type="expression" dxfId="3047" priority="2700">
      <formula>E21&gt;0</formula>
    </cfRule>
  </conditionalFormatting>
  <conditionalFormatting sqref="C22:C26">
    <cfRule type="expression" dxfId="3046" priority="2699">
      <formula>E22&gt;0</formula>
    </cfRule>
  </conditionalFormatting>
  <conditionalFormatting sqref="C23:C24">
    <cfRule type="expression" dxfId="3045" priority="2698">
      <formula>E23&gt;0</formula>
    </cfRule>
  </conditionalFormatting>
  <conditionalFormatting sqref="C24:C28">
    <cfRule type="expression" dxfId="3044" priority="2697">
      <formula>E24&gt;0</formula>
    </cfRule>
  </conditionalFormatting>
  <conditionalFormatting sqref="C25:C26">
    <cfRule type="expression" dxfId="3043" priority="2696">
      <formula>E25&gt;0</formula>
    </cfRule>
  </conditionalFormatting>
  <conditionalFormatting sqref="C26:C52">
    <cfRule type="expression" dxfId="3042" priority="2695">
      <formula>E26&gt;0</formula>
    </cfRule>
  </conditionalFormatting>
  <conditionalFormatting sqref="C27:C28">
    <cfRule type="expression" dxfId="3041" priority="2694">
      <formula>E27&gt;0</formula>
    </cfRule>
  </conditionalFormatting>
  <conditionalFormatting sqref="C28">
    <cfRule type="expression" dxfId="3040" priority="2693">
      <formula>E28&gt;0</formula>
    </cfRule>
  </conditionalFormatting>
  <conditionalFormatting sqref="C20:C52">
    <cfRule type="expression" dxfId="3039" priority="2692">
      <formula>E20&gt;0</formula>
    </cfRule>
  </conditionalFormatting>
  <conditionalFormatting sqref="C20:C52">
    <cfRule type="expression" dxfId="3038" priority="2691">
      <formula>E20&gt;0</formula>
    </cfRule>
  </conditionalFormatting>
  <conditionalFormatting sqref="C21:C52">
    <cfRule type="expression" dxfId="3037" priority="2690">
      <formula>E21&gt;0</formula>
    </cfRule>
  </conditionalFormatting>
  <conditionalFormatting sqref="C22:C26">
    <cfRule type="expression" dxfId="3036" priority="2689">
      <formula>E22&gt;0</formula>
    </cfRule>
  </conditionalFormatting>
  <conditionalFormatting sqref="C23:C24">
    <cfRule type="expression" dxfId="3035" priority="2688">
      <formula>E23&gt;0</formula>
    </cfRule>
  </conditionalFormatting>
  <conditionalFormatting sqref="C24:C28">
    <cfRule type="expression" dxfId="3034" priority="2687">
      <formula>E24&gt;0</formula>
    </cfRule>
  </conditionalFormatting>
  <conditionalFormatting sqref="C25:C26">
    <cfRule type="expression" dxfId="3033" priority="2686">
      <formula>E25&gt;0</formula>
    </cfRule>
  </conditionalFormatting>
  <conditionalFormatting sqref="C26:C52">
    <cfRule type="expression" dxfId="3032" priority="2685">
      <formula>E26&gt;0</formula>
    </cfRule>
  </conditionalFormatting>
  <conditionalFormatting sqref="C27:C28">
    <cfRule type="expression" dxfId="3031" priority="2684">
      <formula>E27&gt;0</formula>
    </cfRule>
  </conditionalFormatting>
  <conditionalFormatting sqref="C28">
    <cfRule type="expression" dxfId="3030" priority="2683">
      <formula>E28&gt;0</formula>
    </cfRule>
  </conditionalFormatting>
  <conditionalFormatting sqref="C20:C52">
    <cfRule type="expression" dxfId="3029" priority="2682">
      <formula>E20&gt;0</formula>
    </cfRule>
  </conditionalFormatting>
  <conditionalFormatting sqref="C20:C52">
    <cfRule type="expression" dxfId="3028" priority="2681">
      <formula>E20&gt;0</formula>
    </cfRule>
  </conditionalFormatting>
  <conditionalFormatting sqref="C21:C52">
    <cfRule type="expression" dxfId="3027" priority="2680">
      <formula>E21&gt;0</formula>
    </cfRule>
  </conditionalFormatting>
  <conditionalFormatting sqref="C22:C26">
    <cfRule type="expression" dxfId="3026" priority="2679">
      <formula>E22&gt;0</formula>
    </cfRule>
  </conditionalFormatting>
  <conditionalFormatting sqref="C23:C24">
    <cfRule type="expression" dxfId="3025" priority="2678">
      <formula>E23&gt;0</formula>
    </cfRule>
  </conditionalFormatting>
  <conditionalFormatting sqref="C24:C28">
    <cfRule type="expression" dxfId="3024" priority="2677">
      <formula>E24&gt;0</formula>
    </cfRule>
  </conditionalFormatting>
  <conditionalFormatting sqref="C25:C26">
    <cfRule type="expression" dxfId="3023" priority="2676">
      <formula>E25&gt;0</formula>
    </cfRule>
  </conditionalFormatting>
  <conditionalFormatting sqref="C26:C52">
    <cfRule type="expression" dxfId="3022" priority="2675">
      <formula>E26&gt;0</formula>
    </cfRule>
  </conditionalFormatting>
  <conditionalFormatting sqref="C27:C28">
    <cfRule type="expression" dxfId="3021" priority="2674">
      <formula>E27&gt;0</formula>
    </cfRule>
  </conditionalFormatting>
  <conditionalFormatting sqref="C28">
    <cfRule type="expression" dxfId="3020" priority="2673">
      <formula>E28&gt;0</formula>
    </cfRule>
  </conditionalFormatting>
  <conditionalFormatting sqref="C20:C52">
    <cfRule type="expression" dxfId="3019" priority="2672">
      <formula>E20&gt;0</formula>
    </cfRule>
  </conditionalFormatting>
  <conditionalFormatting sqref="C20:C52">
    <cfRule type="expression" dxfId="3018" priority="2671">
      <formula>E20&gt;0</formula>
    </cfRule>
  </conditionalFormatting>
  <conditionalFormatting sqref="C21:C52">
    <cfRule type="expression" dxfId="3017" priority="2670">
      <formula>E21&gt;0</formula>
    </cfRule>
  </conditionalFormatting>
  <conditionalFormatting sqref="C22:C26">
    <cfRule type="expression" dxfId="3016" priority="2669">
      <formula>E22&gt;0</formula>
    </cfRule>
  </conditionalFormatting>
  <conditionalFormatting sqref="C23:C24">
    <cfRule type="expression" dxfId="3015" priority="2668">
      <formula>E23&gt;0</formula>
    </cfRule>
  </conditionalFormatting>
  <conditionalFormatting sqref="C24:C28">
    <cfRule type="expression" dxfId="3014" priority="2667">
      <formula>E24&gt;0</formula>
    </cfRule>
  </conditionalFormatting>
  <conditionalFormatting sqref="C25:C26">
    <cfRule type="expression" dxfId="3013" priority="2666">
      <formula>E25&gt;0</formula>
    </cfRule>
  </conditionalFormatting>
  <conditionalFormatting sqref="C26:C52">
    <cfRule type="expression" dxfId="3012" priority="2665">
      <formula>E26&gt;0</formula>
    </cfRule>
  </conditionalFormatting>
  <conditionalFormatting sqref="C27:C28">
    <cfRule type="expression" dxfId="3011" priority="2664">
      <formula>E27&gt;0</formula>
    </cfRule>
  </conditionalFormatting>
  <conditionalFormatting sqref="C28">
    <cfRule type="expression" dxfId="3010" priority="2663">
      <formula>E28&gt;0</formula>
    </cfRule>
  </conditionalFormatting>
  <conditionalFormatting sqref="C22">
    <cfRule type="expression" dxfId="3009" priority="2662">
      <formula>E22&gt;0</formula>
    </cfRule>
  </conditionalFormatting>
  <conditionalFormatting sqref="C24">
    <cfRule type="expression" dxfId="3008" priority="2661">
      <formula>E24&gt;0</formula>
    </cfRule>
  </conditionalFormatting>
  <conditionalFormatting sqref="C26">
    <cfRule type="expression" dxfId="3007" priority="2660">
      <formula>E26&gt;0</formula>
    </cfRule>
  </conditionalFormatting>
  <conditionalFormatting sqref="C28">
    <cfRule type="expression" dxfId="3006" priority="2659">
      <formula>E28&gt;0</formula>
    </cfRule>
  </conditionalFormatting>
  <conditionalFormatting sqref="C22">
    <cfRule type="expression" dxfId="3005" priority="2658">
      <formula>E22&gt;0</formula>
    </cfRule>
  </conditionalFormatting>
  <conditionalFormatting sqref="C24">
    <cfRule type="expression" dxfId="3004" priority="2657">
      <formula>E24&gt;0</formula>
    </cfRule>
  </conditionalFormatting>
  <conditionalFormatting sqref="C26">
    <cfRule type="expression" dxfId="3003" priority="2656">
      <formula>E26&gt;0</formula>
    </cfRule>
  </conditionalFormatting>
  <conditionalFormatting sqref="C28">
    <cfRule type="expression" dxfId="3002" priority="2655">
      <formula>E28&gt;0</formula>
    </cfRule>
  </conditionalFormatting>
  <conditionalFormatting sqref="C22">
    <cfRule type="expression" dxfId="3001" priority="2654">
      <formula>E22&gt;0</formula>
    </cfRule>
  </conditionalFormatting>
  <conditionalFormatting sqref="C24">
    <cfRule type="expression" dxfId="3000" priority="2653">
      <formula>E24&gt;0</formula>
    </cfRule>
  </conditionalFormatting>
  <conditionalFormatting sqref="C26">
    <cfRule type="expression" dxfId="2999" priority="2652">
      <formula>E26&gt;0</formula>
    </cfRule>
  </conditionalFormatting>
  <conditionalFormatting sqref="C28">
    <cfRule type="expression" dxfId="2998" priority="2651">
      <formula>E28&gt;0</formula>
    </cfRule>
  </conditionalFormatting>
  <conditionalFormatting sqref="C22">
    <cfRule type="expression" dxfId="2997" priority="2650">
      <formula>E22&gt;0</formula>
    </cfRule>
  </conditionalFormatting>
  <conditionalFormatting sqref="C24">
    <cfRule type="expression" dxfId="2996" priority="2649">
      <formula>E24&gt;0</formula>
    </cfRule>
  </conditionalFormatting>
  <conditionalFormatting sqref="C26">
    <cfRule type="expression" dxfId="2995" priority="2648">
      <formula>E26&gt;0</formula>
    </cfRule>
  </conditionalFormatting>
  <conditionalFormatting sqref="C28">
    <cfRule type="expression" dxfId="2994" priority="2647">
      <formula>E28&gt;0</formula>
    </cfRule>
  </conditionalFormatting>
  <conditionalFormatting sqref="C21:C52">
    <cfRule type="expression" dxfId="2993" priority="2646">
      <formula>E21&gt;0</formula>
    </cfRule>
  </conditionalFormatting>
  <conditionalFormatting sqref="C22">
    <cfRule type="expression" dxfId="2992" priority="2645">
      <formula>E22&gt;0</formula>
    </cfRule>
  </conditionalFormatting>
  <conditionalFormatting sqref="C23:C24">
    <cfRule type="expression" dxfId="2991" priority="2644">
      <formula>E23&gt;0</formula>
    </cfRule>
  </conditionalFormatting>
  <conditionalFormatting sqref="C26">
    <cfRule type="expression" dxfId="2990" priority="2643">
      <formula>E26&gt;0</formula>
    </cfRule>
  </conditionalFormatting>
  <conditionalFormatting sqref="C28">
    <cfRule type="expression" dxfId="2989" priority="2642">
      <formula>E28&gt;0</formula>
    </cfRule>
  </conditionalFormatting>
  <conditionalFormatting sqref="C21:C52">
    <cfRule type="expression" dxfId="2988" priority="2641">
      <formula>E21&gt;0</formula>
    </cfRule>
  </conditionalFormatting>
  <conditionalFormatting sqref="C22">
    <cfRule type="expression" dxfId="2987" priority="2640">
      <formula>E22&gt;0</formula>
    </cfRule>
  </conditionalFormatting>
  <conditionalFormatting sqref="C23:C24">
    <cfRule type="expression" dxfId="2986" priority="2639">
      <formula>E23&gt;0</formula>
    </cfRule>
  </conditionalFormatting>
  <conditionalFormatting sqref="C21:C52">
    <cfRule type="expression" dxfId="2985" priority="2638">
      <formula>E21&gt;0</formula>
    </cfRule>
  </conditionalFormatting>
  <conditionalFormatting sqref="C26">
    <cfRule type="expression" dxfId="2984" priority="2637">
      <formula>E26&gt;0</formula>
    </cfRule>
  </conditionalFormatting>
  <conditionalFormatting sqref="C28">
    <cfRule type="expression" dxfId="2983" priority="2636">
      <formula>E28&gt;0</formula>
    </cfRule>
  </conditionalFormatting>
  <conditionalFormatting sqref="C21:C52">
    <cfRule type="expression" dxfId="2982" priority="2635">
      <formula>E21&gt;0</formula>
    </cfRule>
  </conditionalFormatting>
  <conditionalFormatting sqref="C21:C52">
    <cfRule type="expression" dxfId="2981" priority="2634">
      <formula>E21&gt;0</formula>
    </cfRule>
  </conditionalFormatting>
  <conditionalFormatting sqref="C21:C52">
    <cfRule type="expression" dxfId="2980" priority="2633">
      <formula>E21&gt;0</formula>
    </cfRule>
  </conditionalFormatting>
  <conditionalFormatting sqref="C22">
    <cfRule type="expression" dxfId="2979" priority="2632">
      <formula>E22&gt;0</formula>
    </cfRule>
  </conditionalFormatting>
  <conditionalFormatting sqref="C22">
    <cfRule type="expression" dxfId="2978" priority="2631">
      <formula>E22&gt;0</formula>
    </cfRule>
  </conditionalFormatting>
  <conditionalFormatting sqref="C21:C52">
    <cfRule type="expression" dxfId="2977" priority="2630">
      <formula>E21&gt;0</formula>
    </cfRule>
  </conditionalFormatting>
  <conditionalFormatting sqref="C22">
    <cfRule type="expression" dxfId="2976" priority="2629">
      <formula>E22&gt;0</formula>
    </cfRule>
  </conditionalFormatting>
  <conditionalFormatting sqref="C21:C52">
    <cfRule type="expression" dxfId="2975" priority="2628">
      <formula>E21&gt;0</formula>
    </cfRule>
  </conditionalFormatting>
  <conditionalFormatting sqref="C22">
    <cfRule type="expression" dxfId="2974" priority="2627">
      <formula>E22&gt;0</formula>
    </cfRule>
  </conditionalFormatting>
  <conditionalFormatting sqref="C22">
    <cfRule type="expression" dxfId="2973" priority="2626">
      <formula>E22&gt;0</formula>
    </cfRule>
  </conditionalFormatting>
  <conditionalFormatting sqref="C23:C24">
    <cfRule type="expression" dxfId="2972" priority="2625">
      <formula>E23&gt;0</formula>
    </cfRule>
  </conditionalFormatting>
  <conditionalFormatting sqref="C22">
    <cfRule type="expression" dxfId="2971" priority="2624">
      <formula>E22&gt;0</formula>
    </cfRule>
  </conditionalFormatting>
  <conditionalFormatting sqref="C22">
    <cfRule type="expression" dxfId="2970" priority="2623">
      <formula>E22&gt;0</formula>
    </cfRule>
  </conditionalFormatting>
  <conditionalFormatting sqref="C22">
    <cfRule type="expression" dxfId="2969" priority="2622">
      <formula>E22&gt;0</formula>
    </cfRule>
  </conditionalFormatting>
  <conditionalFormatting sqref="C22">
    <cfRule type="expression" dxfId="2968" priority="2621">
      <formula>E22&gt;0</formula>
    </cfRule>
  </conditionalFormatting>
  <conditionalFormatting sqref="C23:C24">
    <cfRule type="expression" dxfId="2967" priority="2620">
      <formula>E23&gt;0</formula>
    </cfRule>
  </conditionalFormatting>
  <conditionalFormatting sqref="C23:C24">
    <cfRule type="expression" dxfId="2966" priority="2619">
      <formula>E23&gt;0</formula>
    </cfRule>
  </conditionalFormatting>
  <conditionalFormatting sqref="C22">
    <cfRule type="expression" dxfId="2965" priority="2618">
      <formula>E22&gt;0</formula>
    </cfRule>
  </conditionalFormatting>
  <conditionalFormatting sqref="C23:C24">
    <cfRule type="expression" dxfId="2964" priority="2617">
      <formula>E23&gt;0</formula>
    </cfRule>
  </conditionalFormatting>
  <conditionalFormatting sqref="C22">
    <cfRule type="expression" dxfId="2963" priority="2616">
      <formula>E22&gt;0</formula>
    </cfRule>
  </conditionalFormatting>
  <conditionalFormatting sqref="C23:C24">
    <cfRule type="expression" dxfId="2962" priority="2615">
      <formula>E23&gt;0</formula>
    </cfRule>
  </conditionalFormatting>
  <conditionalFormatting sqref="C26">
    <cfRule type="expression" dxfId="2961" priority="2614">
      <formula>E26&gt;0</formula>
    </cfRule>
  </conditionalFormatting>
  <conditionalFormatting sqref="C28">
    <cfRule type="expression" dxfId="2960" priority="2613">
      <formula>E28&gt;0</formula>
    </cfRule>
  </conditionalFormatting>
  <conditionalFormatting sqref="C26">
    <cfRule type="expression" dxfId="2959" priority="2612">
      <formula>E26&gt;0</formula>
    </cfRule>
  </conditionalFormatting>
  <conditionalFormatting sqref="C28">
    <cfRule type="expression" dxfId="2958" priority="2611">
      <formula>E28&gt;0</formula>
    </cfRule>
  </conditionalFormatting>
  <conditionalFormatting sqref="C21:C52">
    <cfRule type="expression" dxfId="2957" priority="2610">
      <formula>E21&gt;0</formula>
    </cfRule>
  </conditionalFormatting>
  <conditionalFormatting sqref="C22">
    <cfRule type="expression" dxfId="2956" priority="2609">
      <formula>E22&gt;0</formula>
    </cfRule>
  </conditionalFormatting>
  <conditionalFormatting sqref="C23:C24">
    <cfRule type="expression" dxfId="2955" priority="2608">
      <formula>E23&gt;0</formula>
    </cfRule>
  </conditionalFormatting>
  <conditionalFormatting sqref="C24">
    <cfRule type="expression" dxfId="2954" priority="2607">
      <formula>E24&gt;0</formula>
    </cfRule>
  </conditionalFormatting>
  <conditionalFormatting sqref="C27:C28">
    <cfRule type="expression" dxfId="2953" priority="2606">
      <formula>E27&gt;0</formula>
    </cfRule>
  </conditionalFormatting>
  <conditionalFormatting sqref="C29:C52">
    <cfRule type="expression" dxfId="2952" priority="2605">
      <formula>E29&gt;0</formula>
    </cfRule>
  </conditionalFormatting>
  <conditionalFormatting sqref="C22">
    <cfRule type="expression" dxfId="2951" priority="2604">
      <formula>E22&gt;0</formula>
    </cfRule>
  </conditionalFormatting>
  <conditionalFormatting sqref="C23:C24">
    <cfRule type="expression" dxfId="2950" priority="2603">
      <formula>E23&gt;0</formula>
    </cfRule>
  </conditionalFormatting>
  <conditionalFormatting sqref="C24">
    <cfRule type="expression" dxfId="2949" priority="2602">
      <formula>E24&gt;0</formula>
    </cfRule>
  </conditionalFormatting>
  <conditionalFormatting sqref="C22">
    <cfRule type="expression" dxfId="2948" priority="2601">
      <formula>E22&gt;0</formula>
    </cfRule>
  </conditionalFormatting>
  <conditionalFormatting sqref="C27:C28">
    <cfRule type="expression" dxfId="2947" priority="2600">
      <formula>E27&gt;0</formula>
    </cfRule>
  </conditionalFormatting>
  <conditionalFormatting sqref="C29:C52">
    <cfRule type="expression" dxfId="2946" priority="2599">
      <formula>E29&gt;0</formula>
    </cfRule>
  </conditionalFormatting>
  <conditionalFormatting sqref="C22">
    <cfRule type="expression" dxfId="2945" priority="2598">
      <formula>E22&gt;0</formula>
    </cfRule>
  </conditionalFormatting>
  <conditionalFormatting sqref="C22">
    <cfRule type="expression" dxfId="2944" priority="2597">
      <formula>E22&gt;0</formula>
    </cfRule>
  </conditionalFormatting>
  <conditionalFormatting sqref="C22">
    <cfRule type="expression" dxfId="2943" priority="2596">
      <formula>E22&gt;0</formula>
    </cfRule>
  </conditionalFormatting>
  <conditionalFormatting sqref="C23:C24">
    <cfRule type="expression" dxfId="2942" priority="2595">
      <formula>E23&gt;0</formula>
    </cfRule>
  </conditionalFormatting>
  <conditionalFormatting sqref="C23:C24">
    <cfRule type="expression" dxfId="2941" priority="2594">
      <formula>E23&gt;0</formula>
    </cfRule>
  </conditionalFormatting>
  <conditionalFormatting sqref="C22">
    <cfRule type="expression" dxfId="2940" priority="2593">
      <formula>E22&gt;0</formula>
    </cfRule>
  </conditionalFormatting>
  <conditionalFormatting sqref="C23:C24">
    <cfRule type="expression" dxfId="2939" priority="2592">
      <formula>E23&gt;0</formula>
    </cfRule>
  </conditionalFormatting>
  <conditionalFormatting sqref="C22">
    <cfRule type="expression" dxfId="2938" priority="2591">
      <formula>E22&gt;0</formula>
    </cfRule>
  </conditionalFormatting>
  <conditionalFormatting sqref="C23:C24">
    <cfRule type="expression" dxfId="2937" priority="2590">
      <formula>E23&gt;0</formula>
    </cfRule>
  </conditionalFormatting>
  <conditionalFormatting sqref="C23:C24">
    <cfRule type="expression" dxfId="2936" priority="2589">
      <formula>E23&gt;0</formula>
    </cfRule>
  </conditionalFormatting>
  <conditionalFormatting sqref="C24">
    <cfRule type="expression" dxfId="2935" priority="2588">
      <formula>E24&gt;0</formula>
    </cfRule>
  </conditionalFormatting>
  <conditionalFormatting sqref="C23:C24">
    <cfRule type="expression" dxfId="2934" priority="2587">
      <formula>E23&gt;0</formula>
    </cfRule>
  </conditionalFormatting>
  <conditionalFormatting sqref="C23:C24">
    <cfRule type="expression" dxfId="2933" priority="2586">
      <formula>E23&gt;0</formula>
    </cfRule>
  </conditionalFormatting>
  <conditionalFormatting sqref="C23:C24">
    <cfRule type="expression" dxfId="2932" priority="2585">
      <formula>E23&gt;0</formula>
    </cfRule>
  </conditionalFormatting>
  <conditionalFormatting sqref="C23:C24">
    <cfRule type="expression" dxfId="2931" priority="2584">
      <formula>E23&gt;0</formula>
    </cfRule>
  </conditionalFormatting>
  <conditionalFormatting sqref="C24">
    <cfRule type="expression" dxfId="2930" priority="2583">
      <formula>E24&gt;0</formula>
    </cfRule>
  </conditionalFormatting>
  <conditionalFormatting sqref="C24">
    <cfRule type="expression" dxfId="2929" priority="2582">
      <formula>E24&gt;0</formula>
    </cfRule>
  </conditionalFormatting>
  <conditionalFormatting sqref="C23:C24">
    <cfRule type="expression" dxfId="2928" priority="2581">
      <formula>E23&gt;0</formula>
    </cfRule>
  </conditionalFormatting>
  <conditionalFormatting sqref="C24">
    <cfRule type="expression" dxfId="2927" priority="2580">
      <formula>E24&gt;0</formula>
    </cfRule>
  </conditionalFormatting>
  <conditionalFormatting sqref="C23:C24">
    <cfRule type="expression" dxfId="2926" priority="2579">
      <formula>E23&gt;0</formula>
    </cfRule>
  </conditionalFormatting>
  <conditionalFormatting sqref="C24">
    <cfRule type="expression" dxfId="2925" priority="2578">
      <formula>E24&gt;0</formula>
    </cfRule>
  </conditionalFormatting>
  <conditionalFormatting sqref="C27:C28">
    <cfRule type="expression" dxfId="2924" priority="2577">
      <formula>E27&gt;0</formula>
    </cfRule>
  </conditionalFormatting>
  <conditionalFormatting sqref="C29:C52">
    <cfRule type="expression" dxfId="2923" priority="2576">
      <formula>E29&gt;0</formula>
    </cfRule>
  </conditionalFormatting>
  <conditionalFormatting sqref="C27:C28">
    <cfRule type="expression" dxfId="2922" priority="2575">
      <formula>E27&gt;0</formula>
    </cfRule>
  </conditionalFormatting>
  <conditionalFormatting sqref="C29:C52">
    <cfRule type="expression" dxfId="2921" priority="2574">
      <formula>E29&gt;0</formula>
    </cfRule>
  </conditionalFormatting>
  <conditionalFormatting sqref="C21:C52">
    <cfRule type="expression" dxfId="2920" priority="2573">
      <formula>E21&gt;0</formula>
    </cfRule>
  </conditionalFormatting>
  <conditionalFormatting sqref="C21:C52">
    <cfRule type="expression" dxfId="2919" priority="2572">
      <formula>E21&gt;0</formula>
    </cfRule>
  </conditionalFormatting>
  <conditionalFormatting sqref="C21:C52">
    <cfRule type="expression" dxfId="2918" priority="2571">
      <formula>E21&gt;0</formula>
    </cfRule>
  </conditionalFormatting>
  <conditionalFormatting sqref="C21:C52">
    <cfRule type="expression" dxfId="2917" priority="2570">
      <formula>E21&gt;0</formula>
    </cfRule>
  </conditionalFormatting>
  <conditionalFormatting sqref="C21:C52">
    <cfRule type="expression" dxfId="2916" priority="2569">
      <formula>E21&gt;0</formula>
    </cfRule>
  </conditionalFormatting>
  <conditionalFormatting sqref="C21:C52">
    <cfRule type="expression" dxfId="2915" priority="2568">
      <formula>E21&gt;0</formula>
    </cfRule>
  </conditionalFormatting>
  <conditionalFormatting sqref="C21:C52">
    <cfRule type="expression" dxfId="2914" priority="2567">
      <formula>E21&gt;0</formula>
    </cfRule>
  </conditionalFormatting>
  <conditionalFormatting sqref="C21:C52">
    <cfRule type="expression" dxfId="2913" priority="2566">
      <formula>E21&gt;0</formula>
    </cfRule>
  </conditionalFormatting>
  <conditionalFormatting sqref="C21:C52">
    <cfRule type="expression" dxfId="2912" priority="2565">
      <formula>E21&gt;0</formula>
    </cfRule>
  </conditionalFormatting>
  <conditionalFormatting sqref="C21:C52">
    <cfRule type="expression" dxfId="2911" priority="2564">
      <formula>E21&gt;0</formula>
    </cfRule>
  </conditionalFormatting>
  <conditionalFormatting sqref="C21:C52">
    <cfRule type="expression" dxfId="2910" priority="2563">
      <formula>E21&gt;0</formula>
    </cfRule>
  </conditionalFormatting>
  <conditionalFormatting sqref="C21:C52">
    <cfRule type="expression" dxfId="2909" priority="2562">
      <formula>E21&gt;0</formula>
    </cfRule>
  </conditionalFormatting>
  <conditionalFormatting sqref="C21:C52">
    <cfRule type="expression" dxfId="2908" priority="2561">
      <formula>E21&gt;0</formula>
    </cfRule>
  </conditionalFormatting>
  <conditionalFormatting sqref="C22">
    <cfRule type="expression" dxfId="2907" priority="2560">
      <formula>E22&gt;0</formula>
    </cfRule>
  </conditionalFormatting>
  <conditionalFormatting sqref="C23:C24">
    <cfRule type="expression" dxfId="2906" priority="2559">
      <formula>E23&gt;0</formula>
    </cfRule>
  </conditionalFormatting>
  <conditionalFormatting sqref="C24">
    <cfRule type="expression" dxfId="2905" priority="2558">
      <formula>E24&gt;0</formula>
    </cfRule>
  </conditionalFormatting>
  <conditionalFormatting sqref="C25:C26">
    <cfRule type="expression" dxfId="2904" priority="2557">
      <formula>E25&gt;0</formula>
    </cfRule>
  </conditionalFormatting>
  <conditionalFormatting sqref="C26">
    <cfRule type="expression" dxfId="2903" priority="2556">
      <formula>E26&gt;0</formula>
    </cfRule>
  </conditionalFormatting>
  <conditionalFormatting sqref="C27:C28">
    <cfRule type="expression" dxfId="2902" priority="2555">
      <formula>E27&gt;0</formula>
    </cfRule>
  </conditionalFormatting>
  <conditionalFormatting sqref="C28">
    <cfRule type="expression" dxfId="2901" priority="2554">
      <formula>E28&gt;0</formula>
    </cfRule>
  </conditionalFormatting>
  <conditionalFormatting sqref="C29:C52">
    <cfRule type="expression" dxfId="2900" priority="2553">
      <formula>E29&gt;0</formula>
    </cfRule>
  </conditionalFormatting>
  <conditionalFormatting sqref="C22">
    <cfRule type="expression" dxfId="2899" priority="2552">
      <formula>E22&gt;0</formula>
    </cfRule>
  </conditionalFormatting>
  <conditionalFormatting sqref="C23:C24">
    <cfRule type="expression" dxfId="2898" priority="2551">
      <formula>E23&gt;0</formula>
    </cfRule>
  </conditionalFormatting>
  <conditionalFormatting sqref="C22">
    <cfRule type="expression" dxfId="2897" priority="2550">
      <formula>E22&gt;0</formula>
    </cfRule>
  </conditionalFormatting>
  <conditionalFormatting sqref="C23:C24">
    <cfRule type="expression" dxfId="2896" priority="2549">
      <formula>E23&gt;0</formula>
    </cfRule>
  </conditionalFormatting>
  <conditionalFormatting sqref="C23:C24">
    <cfRule type="expression" dxfId="2895" priority="2548">
      <formula>E23&gt;0</formula>
    </cfRule>
  </conditionalFormatting>
  <conditionalFormatting sqref="C23:C24">
    <cfRule type="expression" dxfId="2894" priority="2547">
      <formula>E23&gt;0</formula>
    </cfRule>
  </conditionalFormatting>
  <conditionalFormatting sqref="C23:C24">
    <cfRule type="expression" dxfId="2893" priority="2546">
      <formula>E23&gt;0</formula>
    </cfRule>
  </conditionalFormatting>
  <conditionalFormatting sqref="C23:C24">
    <cfRule type="expression" dxfId="2892" priority="2545">
      <formula>E23&gt;0</formula>
    </cfRule>
  </conditionalFormatting>
  <conditionalFormatting sqref="C23:C24">
    <cfRule type="expression" dxfId="2891" priority="2544">
      <formula>E23&gt;0</formula>
    </cfRule>
  </conditionalFormatting>
  <conditionalFormatting sqref="C23:C24">
    <cfRule type="expression" dxfId="2890" priority="2543">
      <formula>E23&gt;0</formula>
    </cfRule>
  </conditionalFormatting>
  <conditionalFormatting sqref="C23:C24">
    <cfRule type="expression" dxfId="2889" priority="2542">
      <formula>E23&gt;0</formula>
    </cfRule>
  </conditionalFormatting>
  <conditionalFormatting sqref="C23:C24">
    <cfRule type="expression" dxfId="2888" priority="2541">
      <formula>E23&gt;0</formula>
    </cfRule>
  </conditionalFormatting>
  <conditionalFormatting sqref="C23:C24">
    <cfRule type="expression" dxfId="2887" priority="2540">
      <formula>E23&gt;0</formula>
    </cfRule>
  </conditionalFormatting>
  <conditionalFormatting sqref="C23:C24">
    <cfRule type="expression" dxfId="2886" priority="2539">
      <formula>E23&gt;0</formula>
    </cfRule>
  </conditionalFormatting>
  <conditionalFormatting sqref="C23:C24">
    <cfRule type="expression" dxfId="2885" priority="2538">
      <formula>E23&gt;0</formula>
    </cfRule>
  </conditionalFormatting>
  <conditionalFormatting sqref="C23:C24">
    <cfRule type="expression" dxfId="2884" priority="2537">
      <formula>E23&gt;0</formula>
    </cfRule>
  </conditionalFormatting>
  <conditionalFormatting sqref="C23:C24">
    <cfRule type="expression" dxfId="2883" priority="2536">
      <formula>E23&gt;0</formula>
    </cfRule>
  </conditionalFormatting>
  <conditionalFormatting sqref="C23:C24">
    <cfRule type="expression" dxfId="2882" priority="2535">
      <formula>E23&gt;0</formula>
    </cfRule>
  </conditionalFormatting>
  <conditionalFormatting sqref="C23:C24">
    <cfRule type="expression" dxfId="2881" priority="2534">
      <formula>E23&gt;0</formula>
    </cfRule>
  </conditionalFormatting>
  <conditionalFormatting sqref="C23:C24">
    <cfRule type="expression" dxfId="2880" priority="2533">
      <formula>E23&gt;0</formula>
    </cfRule>
  </conditionalFormatting>
  <conditionalFormatting sqref="C23:C24">
    <cfRule type="expression" dxfId="2879" priority="2532">
      <formula>E23&gt;0</formula>
    </cfRule>
  </conditionalFormatting>
  <conditionalFormatting sqref="C22">
    <cfRule type="expression" dxfId="2878" priority="2531">
      <formula>E22&gt;0</formula>
    </cfRule>
  </conditionalFormatting>
  <conditionalFormatting sqref="C23:C24">
    <cfRule type="expression" dxfId="2877" priority="2530">
      <formula>E23&gt;0</formula>
    </cfRule>
  </conditionalFormatting>
  <conditionalFormatting sqref="C22">
    <cfRule type="expression" dxfId="2876" priority="2529">
      <formula>E22&gt;0</formula>
    </cfRule>
  </conditionalFormatting>
  <conditionalFormatting sqref="C23:C24">
    <cfRule type="expression" dxfId="2875" priority="2528">
      <formula>E23&gt;0</formula>
    </cfRule>
  </conditionalFormatting>
  <conditionalFormatting sqref="C22">
    <cfRule type="expression" dxfId="2874" priority="2527">
      <formula>E22&gt;0</formula>
    </cfRule>
  </conditionalFormatting>
  <conditionalFormatting sqref="C23:C24">
    <cfRule type="expression" dxfId="2873" priority="2526">
      <formula>E23&gt;0</formula>
    </cfRule>
  </conditionalFormatting>
  <conditionalFormatting sqref="C23:C24">
    <cfRule type="expression" dxfId="2872" priority="2525">
      <formula>E23&gt;0</formula>
    </cfRule>
  </conditionalFormatting>
  <conditionalFormatting sqref="C23:C24">
    <cfRule type="expression" dxfId="2871" priority="2524">
      <formula>E23&gt;0</formula>
    </cfRule>
  </conditionalFormatting>
  <conditionalFormatting sqref="C22">
    <cfRule type="expression" dxfId="2870" priority="2523">
      <formula>E22&gt;0</formula>
    </cfRule>
  </conditionalFormatting>
  <conditionalFormatting sqref="C22">
    <cfRule type="expression" dxfId="2869" priority="2522">
      <formula>E22&gt;0</formula>
    </cfRule>
  </conditionalFormatting>
  <conditionalFormatting sqref="C24">
    <cfRule type="expression" dxfId="2868" priority="2521">
      <formula>E24&gt;0</formula>
    </cfRule>
  </conditionalFormatting>
  <conditionalFormatting sqref="C26">
    <cfRule type="expression" dxfId="2867" priority="2520">
      <formula>E26&gt;0</formula>
    </cfRule>
  </conditionalFormatting>
  <conditionalFormatting sqref="C28">
    <cfRule type="expression" dxfId="2866" priority="2519">
      <formula>E28&gt;0</formula>
    </cfRule>
  </conditionalFormatting>
  <conditionalFormatting sqref="C29:C52">
    <cfRule type="expression" dxfId="2865" priority="2518">
      <formula>E29&gt;0</formula>
    </cfRule>
  </conditionalFormatting>
  <conditionalFormatting sqref="C22">
    <cfRule type="expression" dxfId="2864" priority="2517">
      <formula>E22&gt;0</formula>
    </cfRule>
  </conditionalFormatting>
  <conditionalFormatting sqref="C24">
    <cfRule type="expression" dxfId="2863" priority="2516">
      <formula>E24&gt;0</formula>
    </cfRule>
  </conditionalFormatting>
  <conditionalFormatting sqref="C26">
    <cfRule type="expression" dxfId="2862" priority="2515">
      <formula>E26&gt;0</formula>
    </cfRule>
  </conditionalFormatting>
  <conditionalFormatting sqref="C28">
    <cfRule type="expression" dxfId="2861" priority="2514">
      <formula>E28&gt;0</formula>
    </cfRule>
  </conditionalFormatting>
  <conditionalFormatting sqref="C29:C52">
    <cfRule type="expression" dxfId="2860" priority="2513">
      <formula>E29&gt;0</formula>
    </cfRule>
  </conditionalFormatting>
  <conditionalFormatting sqref="C22">
    <cfRule type="expression" dxfId="2859" priority="2512">
      <formula>E22&gt;0</formula>
    </cfRule>
  </conditionalFormatting>
  <conditionalFormatting sqref="C24">
    <cfRule type="expression" dxfId="2858" priority="2511">
      <formula>E24&gt;0</formula>
    </cfRule>
  </conditionalFormatting>
  <conditionalFormatting sqref="C26">
    <cfRule type="expression" dxfId="2857" priority="2510">
      <formula>E26&gt;0</formula>
    </cfRule>
  </conditionalFormatting>
  <conditionalFormatting sqref="C28">
    <cfRule type="expression" dxfId="2856" priority="2509">
      <formula>E28&gt;0</formula>
    </cfRule>
  </conditionalFormatting>
  <conditionalFormatting sqref="C29:C52">
    <cfRule type="expression" dxfId="2855" priority="2508">
      <formula>E29&gt;0</formula>
    </cfRule>
  </conditionalFormatting>
  <conditionalFormatting sqref="C22">
    <cfRule type="expression" dxfId="2854" priority="2507">
      <formula>E22&gt;0</formula>
    </cfRule>
  </conditionalFormatting>
  <conditionalFormatting sqref="C24">
    <cfRule type="expression" dxfId="2853" priority="2506">
      <formula>E24&gt;0</formula>
    </cfRule>
  </conditionalFormatting>
  <conditionalFormatting sqref="C26">
    <cfRule type="expression" dxfId="2852" priority="2505">
      <formula>E26&gt;0</formula>
    </cfRule>
  </conditionalFormatting>
  <conditionalFormatting sqref="C28">
    <cfRule type="expression" dxfId="2851" priority="2504">
      <formula>E28&gt;0</formula>
    </cfRule>
  </conditionalFormatting>
  <conditionalFormatting sqref="C29:C52">
    <cfRule type="expression" dxfId="2850" priority="2503">
      <formula>E29&gt;0</formula>
    </cfRule>
  </conditionalFormatting>
  <conditionalFormatting sqref="C23:C24">
    <cfRule type="expression" dxfId="2849" priority="2502">
      <formula>E23&gt;0</formula>
    </cfRule>
  </conditionalFormatting>
  <conditionalFormatting sqref="C25:C26">
    <cfRule type="expression" dxfId="2848" priority="2501">
      <formula>E25&gt;0</formula>
    </cfRule>
  </conditionalFormatting>
  <conditionalFormatting sqref="C27:C28">
    <cfRule type="expression" dxfId="2847" priority="2500">
      <formula>E27&gt;0</formula>
    </cfRule>
  </conditionalFormatting>
  <conditionalFormatting sqref="C29:C52">
    <cfRule type="expression" dxfId="2846" priority="2499">
      <formula>E29&gt;0</formula>
    </cfRule>
  </conditionalFormatting>
  <conditionalFormatting sqref="C23:C24">
    <cfRule type="expression" dxfId="2845" priority="2498">
      <formula>E23&gt;0</formula>
    </cfRule>
  </conditionalFormatting>
  <conditionalFormatting sqref="C25:C26">
    <cfRule type="expression" dxfId="2844" priority="2497">
      <formula>E25&gt;0</formula>
    </cfRule>
  </conditionalFormatting>
  <conditionalFormatting sqref="C27:C28">
    <cfRule type="expression" dxfId="2843" priority="2496">
      <formula>E27&gt;0</formula>
    </cfRule>
  </conditionalFormatting>
  <conditionalFormatting sqref="C29:C52">
    <cfRule type="expression" dxfId="2842" priority="2495">
      <formula>E29&gt;0</formula>
    </cfRule>
  </conditionalFormatting>
  <conditionalFormatting sqref="C23:C24">
    <cfRule type="expression" dxfId="2841" priority="2494">
      <formula>E23&gt;0</formula>
    </cfRule>
  </conditionalFormatting>
  <conditionalFormatting sqref="C25:C26">
    <cfRule type="expression" dxfId="2840" priority="2493">
      <formula>E25&gt;0</formula>
    </cfRule>
  </conditionalFormatting>
  <conditionalFormatting sqref="C27:C28">
    <cfRule type="expression" dxfId="2839" priority="2492">
      <formula>E27&gt;0</formula>
    </cfRule>
  </conditionalFormatting>
  <conditionalFormatting sqref="C29:C52">
    <cfRule type="expression" dxfId="2838" priority="2491">
      <formula>E29&gt;0</formula>
    </cfRule>
  </conditionalFormatting>
  <conditionalFormatting sqref="C23:C24">
    <cfRule type="expression" dxfId="2837" priority="2490">
      <formula>E23&gt;0</formula>
    </cfRule>
  </conditionalFormatting>
  <conditionalFormatting sqref="C25:C26">
    <cfRule type="expression" dxfId="2836" priority="2489">
      <formula>E25&gt;0</formula>
    </cfRule>
  </conditionalFormatting>
  <conditionalFormatting sqref="C27:C28">
    <cfRule type="expression" dxfId="2835" priority="2488">
      <formula>E27&gt;0</formula>
    </cfRule>
  </conditionalFormatting>
  <conditionalFormatting sqref="C29:C52">
    <cfRule type="expression" dxfId="2834" priority="2487">
      <formula>E29&gt;0</formula>
    </cfRule>
  </conditionalFormatting>
  <conditionalFormatting sqref="C20">
    <cfRule type="expression" dxfId="2833" priority="2486">
      <formula>E20&gt;0</formula>
    </cfRule>
  </conditionalFormatting>
  <conditionalFormatting sqref="C20">
    <cfRule type="expression" dxfId="2832" priority="2485">
      <formula>E20&gt;0</formula>
    </cfRule>
  </conditionalFormatting>
  <conditionalFormatting sqref="C20">
    <cfRule type="expression" dxfId="2831" priority="2484">
      <formula>E20&gt;0</formula>
    </cfRule>
  </conditionalFormatting>
  <conditionalFormatting sqref="C20">
    <cfRule type="expression" dxfId="2830" priority="2483">
      <formula>E20&gt;0</formula>
    </cfRule>
  </conditionalFormatting>
  <conditionalFormatting sqref="C20">
    <cfRule type="expression" dxfId="2829" priority="2482">
      <formula>E20&gt;0</formula>
    </cfRule>
  </conditionalFormatting>
  <conditionalFormatting sqref="C31">
    <cfRule type="expression" dxfId="2828" priority="2481">
      <formula>E31&gt;0</formula>
    </cfRule>
  </conditionalFormatting>
  <conditionalFormatting sqref="C31">
    <cfRule type="expression" dxfId="2827" priority="2480">
      <formula>E31&gt;0</formula>
    </cfRule>
  </conditionalFormatting>
  <conditionalFormatting sqref="C31">
    <cfRule type="expression" dxfId="2826" priority="2479">
      <formula>E31&gt;0</formula>
    </cfRule>
  </conditionalFormatting>
  <conditionalFormatting sqref="C31">
    <cfRule type="expression" dxfId="2825" priority="2478">
      <formula>E31&gt;0</formula>
    </cfRule>
  </conditionalFormatting>
  <conditionalFormatting sqref="C31">
    <cfRule type="expression" dxfId="2824" priority="2477">
      <formula>E31&gt;0</formula>
    </cfRule>
  </conditionalFormatting>
  <conditionalFormatting sqref="C31">
    <cfRule type="expression" dxfId="2823" priority="2476">
      <formula>E31&gt;0</formula>
    </cfRule>
  </conditionalFormatting>
  <conditionalFormatting sqref="C31">
    <cfRule type="expression" dxfId="2822" priority="2475">
      <formula>E31&gt;0</formula>
    </cfRule>
  </conditionalFormatting>
  <conditionalFormatting sqref="C31">
    <cfRule type="expression" dxfId="2821" priority="2474">
      <formula>E31&gt;0</formula>
    </cfRule>
  </conditionalFormatting>
  <conditionalFormatting sqref="C31">
    <cfRule type="expression" dxfId="2820" priority="2473">
      <formula>E31&gt;0</formula>
    </cfRule>
  </conditionalFormatting>
  <conditionalFormatting sqref="C31">
    <cfRule type="expression" dxfId="2819" priority="2472">
      <formula>E31&gt;0</formula>
    </cfRule>
  </conditionalFormatting>
  <conditionalFormatting sqref="C31">
    <cfRule type="expression" dxfId="2818" priority="2471">
      <formula>E31&gt;0</formula>
    </cfRule>
  </conditionalFormatting>
  <conditionalFormatting sqref="C31">
    <cfRule type="expression" dxfId="2817" priority="2470">
      <formula>E31&gt;0</formula>
    </cfRule>
  </conditionalFormatting>
  <conditionalFormatting sqref="C31">
    <cfRule type="expression" dxfId="2816" priority="2469">
      <formula>E31&gt;0</formula>
    </cfRule>
  </conditionalFormatting>
  <conditionalFormatting sqref="C31">
    <cfRule type="expression" dxfId="2815" priority="2468">
      <formula>E31&gt;0</formula>
    </cfRule>
  </conditionalFormatting>
  <conditionalFormatting sqref="C31">
    <cfRule type="expression" dxfId="2814" priority="2467">
      <formula>E31&gt;0</formula>
    </cfRule>
  </conditionalFormatting>
  <conditionalFormatting sqref="C31">
    <cfRule type="expression" dxfId="2813" priority="2466">
      <formula>E31&gt;0</formula>
    </cfRule>
  </conditionalFormatting>
  <conditionalFormatting sqref="C31">
    <cfRule type="expression" dxfId="2812" priority="2465">
      <formula>E31&gt;0</formula>
    </cfRule>
  </conditionalFormatting>
  <conditionalFormatting sqref="C31">
    <cfRule type="expression" dxfId="2811" priority="2464">
      <formula>E31&gt;0</formula>
    </cfRule>
  </conditionalFormatting>
  <conditionalFormatting sqref="C31">
    <cfRule type="expression" dxfId="2810" priority="2463">
      <formula>E31&gt;0</formula>
    </cfRule>
  </conditionalFormatting>
  <conditionalFormatting sqref="C31">
    <cfRule type="expression" dxfId="2809" priority="2462">
      <formula>E31&gt;0</formula>
    </cfRule>
  </conditionalFormatting>
  <conditionalFormatting sqref="C31">
    <cfRule type="expression" dxfId="2808" priority="2461">
      <formula>E31&gt;0</formula>
    </cfRule>
  </conditionalFormatting>
  <conditionalFormatting sqref="C31">
    <cfRule type="expression" dxfId="2807" priority="2460">
      <formula>E31&gt;0</formula>
    </cfRule>
  </conditionalFormatting>
  <conditionalFormatting sqref="C31">
    <cfRule type="expression" dxfId="2806" priority="2459">
      <formula>E31&gt;0</formula>
    </cfRule>
  </conditionalFormatting>
  <conditionalFormatting sqref="C31">
    <cfRule type="expression" dxfId="2805" priority="2458">
      <formula>E31&gt;0</formula>
    </cfRule>
  </conditionalFormatting>
  <conditionalFormatting sqref="C31">
    <cfRule type="expression" dxfId="2804" priority="2457">
      <formula>E31&gt;0</formula>
    </cfRule>
  </conditionalFormatting>
  <conditionalFormatting sqref="C31">
    <cfRule type="expression" dxfId="2803" priority="2456">
      <formula>E31&gt;0</formula>
    </cfRule>
  </conditionalFormatting>
  <conditionalFormatting sqref="C31">
    <cfRule type="expression" dxfId="2802" priority="2455">
      <formula>E31&gt;0</formula>
    </cfRule>
  </conditionalFormatting>
  <conditionalFormatting sqref="C31">
    <cfRule type="expression" dxfId="2801" priority="2454">
      <formula>E31&gt;0</formula>
    </cfRule>
  </conditionalFormatting>
  <conditionalFormatting sqref="C31">
    <cfRule type="expression" dxfId="2800" priority="2453">
      <formula>E31&gt;0</formula>
    </cfRule>
  </conditionalFormatting>
  <conditionalFormatting sqref="C31">
    <cfRule type="expression" dxfId="2799" priority="2452">
      <formula>E31&gt;0</formula>
    </cfRule>
  </conditionalFormatting>
  <conditionalFormatting sqref="C31">
    <cfRule type="expression" dxfId="2798" priority="2451">
      <formula>E31&gt;0</formula>
    </cfRule>
  </conditionalFormatting>
  <conditionalFormatting sqref="C31">
    <cfRule type="expression" dxfId="2797" priority="2450">
      <formula>E31&gt;0</formula>
    </cfRule>
  </conditionalFormatting>
  <conditionalFormatting sqref="C31">
    <cfRule type="expression" dxfId="2796" priority="2449">
      <formula>E31&gt;0</formula>
    </cfRule>
  </conditionalFormatting>
  <conditionalFormatting sqref="C31">
    <cfRule type="expression" dxfId="2795" priority="2448">
      <formula>E31&gt;0</formula>
    </cfRule>
  </conditionalFormatting>
  <conditionalFormatting sqref="C31">
    <cfRule type="expression" dxfId="2794" priority="2447">
      <formula>E31&gt;0</formula>
    </cfRule>
  </conditionalFormatting>
  <conditionalFormatting sqref="C31">
    <cfRule type="expression" dxfId="2793" priority="2446">
      <formula>E31&gt;0</formula>
    </cfRule>
  </conditionalFormatting>
  <conditionalFormatting sqref="C31">
    <cfRule type="expression" dxfId="2792" priority="2445">
      <formula>E31&gt;0</formula>
    </cfRule>
  </conditionalFormatting>
  <conditionalFormatting sqref="C31">
    <cfRule type="expression" dxfId="2791" priority="2444">
      <formula>E31&gt;0</formula>
    </cfRule>
  </conditionalFormatting>
  <conditionalFormatting sqref="C31">
    <cfRule type="expression" dxfId="2790" priority="2443">
      <formula>E31&gt;0</formula>
    </cfRule>
  </conditionalFormatting>
  <conditionalFormatting sqref="C31">
    <cfRule type="expression" dxfId="2789" priority="2442">
      <formula>E31&gt;0</formula>
    </cfRule>
  </conditionalFormatting>
  <conditionalFormatting sqref="C31">
    <cfRule type="expression" dxfId="2788" priority="2441">
      <formula>E31&gt;0</formula>
    </cfRule>
  </conditionalFormatting>
  <conditionalFormatting sqref="C31">
    <cfRule type="expression" dxfId="2787" priority="2440">
      <formula>E31&gt;0</formula>
    </cfRule>
  </conditionalFormatting>
  <conditionalFormatting sqref="C31">
    <cfRule type="expression" dxfId="2786" priority="2439">
      <formula>E31&gt;0</formula>
    </cfRule>
  </conditionalFormatting>
  <conditionalFormatting sqref="C31">
    <cfRule type="expression" dxfId="2785" priority="2438">
      <formula>E31&gt;0</formula>
    </cfRule>
  </conditionalFormatting>
  <conditionalFormatting sqref="C31">
    <cfRule type="expression" dxfId="2784" priority="2437">
      <formula>E31&gt;0</formula>
    </cfRule>
  </conditionalFormatting>
  <conditionalFormatting sqref="C31">
    <cfRule type="expression" dxfId="2783" priority="2436">
      <formula>E31&gt;0</formula>
    </cfRule>
  </conditionalFormatting>
  <conditionalFormatting sqref="C31">
    <cfRule type="expression" dxfId="2782" priority="2435">
      <formula>E31&gt;0</formula>
    </cfRule>
  </conditionalFormatting>
  <conditionalFormatting sqref="C31">
    <cfRule type="expression" dxfId="2781" priority="2434">
      <formula>E31&gt;0</formula>
    </cfRule>
  </conditionalFormatting>
  <conditionalFormatting sqref="C31">
    <cfRule type="expression" dxfId="2780" priority="2433">
      <formula>E31&gt;0</formula>
    </cfRule>
  </conditionalFormatting>
  <conditionalFormatting sqref="C31">
    <cfRule type="expression" dxfId="2779" priority="2432">
      <formula>E31&gt;0</formula>
    </cfRule>
  </conditionalFormatting>
  <conditionalFormatting sqref="C31">
    <cfRule type="expression" dxfId="2778" priority="2431">
      <formula>E31&gt;0</formula>
    </cfRule>
  </conditionalFormatting>
  <conditionalFormatting sqref="C31">
    <cfRule type="expression" dxfId="2777" priority="2430">
      <formula>E31&gt;0</formula>
    </cfRule>
  </conditionalFormatting>
  <conditionalFormatting sqref="C31">
    <cfRule type="expression" dxfId="2776" priority="2429">
      <formula>E31&gt;0</formula>
    </cfRule>
  </conditionalFormatting>
  <conditionalFormatting sqref="C31">
    <cfRule type="expression" dxfId="2775" priority="2428">
      <formula>E31&gt;0</formula>
    </cfRule>
  </conditionalFormatting>
  <conditionalFormatting sqref="C31">
    <cfRule type="expression" dxfId="2774" priority="2427">
      <formula>E31&gt;0</formula>
    </cfRule>
  </conditionalFormatting>
  <conditionalFormatting sqref="C31">
    <cfRule type="expression" dxfId="2773" priority="2426">
      <formula>E31&gt;0</formula>
    </cfRule>
  </conditionalFormatting>
  <conditionalFormatting sqref="C31">
    <cfRule type="expression" dxfId="2772" priority="2425">
      <formula>E31&gt;0</formula>
    </cfRule>
  </conditionalFormatting>
  <conditionalFormatting sqref="C31">
    <cfRule type="expression" dxfId="2771" priority="2424">
      <formula>E31&gt;0</formula>
    </cfRule>
  </conditionalFormatting>
  <conditionalFormatting sqref="C31">
    <cfRule type="expression" dxfId="2770" priority="2423">
      <formula>E31&gt;0</formula>
    </cfRule>
  </conditionalFormatting>
  <conditionalFormatting sqref="C31">
    <cfRule type="expression" dxfId="2769" priority="2422">
      <formula>E31&gt;0</formula>
    </cfRule>
  </conditionalFormatting>
  <conditionalFormatting sqref="C31">
    <cfRule type="expression" dxfId="2768" priority="2421">
      <formula>E31&gt;0</formula>
    </cfRule>
  </conditionalFormatting>
  <conditionalFormatting sqref="C31">
    <cfRule type="expression" dxfId="2767" priority="2420">
      <formula>E31&gt;0</formula>
    </cfRule>
  </conditionalFormatting>
  <conditionalFormatting sqref="C31">
    <cfRule type="expression" dxfId="2766" priority="2419">
      <formula>E31&gt;0</formula>
    </cfRule>
  </conditionalFormatting>
  <conditionalFormatting sqref="C31">
    <cfRule type="expression" dxfId="2765" priority="2418">
      <formula>E31&gt;0</formula>
    </cfRule>
  </conditionalFormatting>
  <conditionalFormatting sqref="C31">
    <cfRule type="expression" dxfId="2764" priority="2417">
      <formula>E31&gt;0</formula>
    </cfRule>
  </conditionalFormatting>
  <conditionalFormatting sqref="C31">
    <cfRule type="expression" dxfId="2763" priority="2416">
      <formula>E31&gt;0</formula>
    </cfRule>
  </conditionalFormatting>
  <conditionalFormatting sqref="C31">
    <cfRule type="expression" dxfId="2762" priority="2415">
      <formula>E31&gt;0</formula>
    </cfRule>
  </conditionalFormatting>
  <conditionalFormatting sqref="C31">
    <cfRule type="expression" dxfId="2761" priority="2414">
      <formula>E31&gt;0</formula>
    </cfRule>
  </conditionalFormatting>
  <conditionalFormatting sqref="C31">
    <cfRule type="expression" dxfId="2760" priority="2413">
      <formula>E31&gt;0</formula>
    </cfRule>
  </conditionalFormatting>
  <conditionalFormatting sqref="C31">
    <cfRule type="expression" dxfId="2759" priority="2412">
      <formula>E31&gt;0</formula>
    </cfRule>
  </conditionalFormatting>
  <conditionalFormatting sqref="C31">
    <cfRule type="expression" dxfId="2758" priority="2411">
      <formula>E31&gt;0</formula>
    </cfRule>
  </conditionalFormatting>
  <conditionalFormatting sqref="C31">
    <cfRule type="expression" dxfId="2757" priority="2410">
      <formula>E31&gt;0</formula>
    </cfRule>
  </conditionalFormatting>
  <conditionalFormatting sqref="C31">
    <cfRule type="expression" dxfId="2756" priority="2409">
      <formula>E31&gt;0</formula>
    </cfRule>
  </conditionalFormatting>
  <conditionalFormatting sqref="C31">
    <cfRule type="expression" dxfId="2755" priority="2408">
      <formula>E31&gt;0</formula>
    </cfRule>
  </conditionalFormatting>
  <conditionalFormatting sqref="C31">
    <cfRule type="expression" dxfId="2754" priority="2407">
      <formula>E31&gt;0</formula>
    </cfRule>
  </conditionalFormatting>
  <conditionalFormatting sqref="C31">
    <cfRule type="expression" dxfId="2753" priority="2406">
      <formula>E31&gt;0</formula>
    </cfRule>
  </conditionalFormatting>
  <conditionalFormatting sqref="C31">
    <cfRule type="expression" dxfId="2752" priority="2405">
      <formula>E31&gt;0</formula>
    </cfRule>
  </conditionalFormatting>
  <conditionalFormatting sqref="C31">
    <cfRule type="expression" dxfId="2751" priority="2404">
      <formula>E31&gt;0</formula>
    </cfRule>
  </conditionalFormatting>
  <conditionalFormatting sqref="C31">
    <cfRule type="expression" dxfId="2750" priority="2403">
      <formula>E31&gt;0</formula>
    </cfRule>
  </conditionalFormatting>
  <conditionalFormatting sqref="C31">
    <cfRule type="expression" dxfId="2749" priority="2402">
      <formula>E31&gt;0</formula>
    </cfRule>
  </conditionalFormatting>
  <conditionalFormatting sqref="C31">
    <cfRule type="expression" dxfId="2748" priority="2401">
      <formula>E31&gt;0</formula>
    </cfRule>
  </conditionalFormatting>
  <conditionalFormatting sqref="C31">
    <cfRule type="expression" dxfId="2747" priority="2400">
      <formula>E31&gt;0</formula>
    </cfRule>
  </conditionalFormatting>
  <conditionalFormatting sqref="C31">
    <cfRule type="expression" dxfId="2746" priority="2399">
      <formula>E31&gt;0</formula>
    </cfRule>
  </conditionalFormatting>
  <conditionalFormatting sqref="C31">
    <cfRule type="expression" dxfId="2745" priority="2398">
      <formula>E31&gt;0</formula>
    </cfRule>
  </conditionalFormatting>
  <conditionalFormatting sqref="C31">
    <cfRule type="expression" dxfId="2744" priority="2397">
      <formula>E31&gt;0</formula>
    </cfRule>
  </conditionalFormatting>
  <conditionalFormatting sqref="C31">
    <cfRule type="expression" dxfId="2743" priority="2396">
      <formula>E31&gt;0</formula>
    </cfRule>
  </conditionalFormatting>
  <conditionalFormatting sqref="C31">
    <cfRule type="expression" dxfId="2742" priority="2395">
      <formula>E31&gt;0</formula>
    </cfRule>
  </conditionalFormatting>
  <conditionalFormatting sqref="C31">
    <cfRule type="expression" dxfId="2741" priority="2394">
      <formula>E31&gt;0</formula>
    </cfRule>
  </conditionalFormatting>
  <conditionalFormatting sqref="C31">
    <cfRule type="expression" dxfId="2740" priority="2393">
      <formula>E31&gt;0</formula>
    </cfRule>
  </conditionalFormatting>
  <conditionalFormatting sqref="C31">
    <cfRule type="expression" dxfId="2739" priority="2392">
      <formula>E31&gt;0</formula>
    </cfRule>
  </conditionalFormatting>
  <conditionalFormatting sqref="C31">
    <cfRule type="expression" dxfId="2738" priority="2391">
      <formula>E31&gt;0</formula>
    </cfRule>
  </conditionalFormatting>
  <conditionalFormatting sqref="C31">
    <cfRule type="expression" dxfId="2737" priority="2390">
      <formula>E31&gt;0</formula>
    </cfRule>
  </conditionalFormatting>
  <conditionalFormatting sqref="C31">
    <cfRule type="expression" dxfId="2736" priority="2389">
      <formula>E31&gt;0</formula>
    </cfRule>
  </conditionalFormatting>
  <conditionalFormatting sqref="C31">
    <cfRule type="expression" dxfId="2735" priority="2388">
      <formula>E31&gt;0</formula>
    </cfRule>
  </conditionalFormatting>
  <conditionalFormatting sqref="C31">
    <cfRule type="expression" dxfId="2734" priority="2387">
      <formula>E31&gt;0</formula>
    </cfRule>
  </conditionalFormatting>
  <conditionalFormatting sqref="C31">
    <cfRule type="expression" dxfId="2733" priority="2386">
      <formula>E31&gt;0</formula>
    </cfRule>
  </conditionalFormatting>
  <conditionalFormatting sqref="C31">
    <cfRule type="expression" dxfId="2732" priority="2385">
      <formula>E31&gt;0</formula>
    </cfRule>
  </conditionalFormatting>
  <conditionalFormatting sqref="C31">
    <cfRule type="expression" dxfId="2731" priority="2384">
      <formula>E31&gt;0</formula>
    </cfRule>
  </conditionalFormatting>
  <conditionalFormatting sqref="C31">
    <cfRule type="expression" dxfId="2730" priority="2383">
      <formula>E31&gt;0</formula>
    </cfRule>
  </conditionalFormatting>
  <conditionalFormatting sqref="C31">
    <cfRule type="expression" dxfId="2729" priority="2382">
      <formula>E31&gt;0</formula>
    </cfRule>
  </conditionalFormatting>
  <conditionalFormatting sqref="C31">
    <cfRule type="expression" dxfId="2728" priority="2381">
      <formula>E31&gt;0</formula>
    </cfRule>
  </conditionalFormatting>
  <conditionalFormatting sqref="C31">
    <cfRule type="expression" dxfId="2727" priority="2380">
      <formula>E31&gt;0</formula>
    </cfRule>
  </conditionalFormatting>
  <conditionalFormatting sqref="C31">
    <cfRule type="expression" dxfId="2726" priority="2379">
      <formula>E31&gt;0</formula>
    </cfRule>
  </conditionalFormatting>
  <conditionalFormatting sqref="C31">
    <cfRule type="expression" dxfId="2725" priority="2378">
      <formula>E31&gt;0</formula>
    </cfRule>
  </conditionalFormatting>
  <conditionalFormatting sqref="C31">
    <cfRule type="expression" dxfId="2724" priority="2377">
      <formula>E31&gt;0</formula>
    </cfRule>
  </conditionalFormatting>
  <conditionalFormatting sqref="C31">
    <cfRule type="expression" dxfId="2723" priority="2376">
      <formula>E31&gt;0</formula>
    </cfRule>
  </conditionalFormatting>
  <conditionalFormatting sqref="C31">
    <cfRule type="expression" dxfId="2722" priority="2375">
      <formula>E31&gt;0</formula>
    </cfRule>
  </conditionalFormatting>
  <conditionalFormatting sqref="C31">
    <cfRule type="expression" dxfId="2721" priority="2374">
      <formula>E31&gt;0</formula>
    </cfRule>
  </conditionalFormatting>
  <conditionalFormatting sqref="C31">
    <cfRule type="expression" dxfId="2720" priority="2373">
      <formula>E31&gt;0</formula>
    </cfRule>
  </conditionalFormatting>
  <conditionalFormatting sqref="C31">
    <cfRule type="expression" dxfId="2719" priority="2372">
      <formula>E31&gt;0</formula>
    </cfRule>
  </conditionalFormatting>
  <conditionalFormatting sqref="C31">
    <cfRule type="expression" dxfId="2718" priority="2371">
      <formula>E31&gt;0</formula>
    </cfRule>
  </conditionalFormatting>
  <conditionalFormatting sqref="C31">
    <cfRule type="expression" dxfId="2717" priority="2370">
      <formula>E31&gt;0</formula>
    </cfRule>
  </conditionalFormatting>
  <conditionalFormatting sqref="C31">
    <cfRule type="expression" dxfId="2716" priority="2369">
      <formula>E31&gt;0</formula>
    </cfRule>
  </conditionalFormatting>
  <conditionalFormatting sqref="C31">
    <cfRule type="expression" dxfId="2715" priority="2368">
      <formula>E31&gt;0</formula>
    </cfRule>
  </conditionalFormatting>
  <conditionalFormatting sqref="C31">
    <cfRule type="expression" dxfId="2714" priority="2367">
      <formula>E31&gt;0</formula>
    </cfRule>
  </conditionalFormatting>
  <conditionalFormatting sqref="C31">
    <cfRule type="expression" dxfId="2713" priority="2366">
      <formula>E31&gt;0</formula>
    </cfRule>
  </conditionalFormatting>
  <conditionalFormatting sqref="C31">
    <cfRule type="expression" dxfId="2712" priority="2365">
      <formula>E31&gt;0</formula>
    </cfRule>
  </conditionalFormatting>
  <conditionalFormatting sqref="C31">
    <cfRule type="expression" dxfId="2711" priority="2364">
      <formula>E31&gt;0</formula>
    </cfRule>
  </conditionalFormatting>
  <conditionalFormatting sqref="C31">
    <cfRule type="expression" dxfId="2710" priority="2363">
      <formula>E31&gt;0</formula>
    </cfRule>
  </conditionalFormatting>
  <conditionalFormatting sqref="C31">
    <cfRule type="expression" dxfId="2709" priority="2362">
      <formula>E31&gt;0</formula>
    </cfRule>
  </conditionalFormatting>
  <conditionalFormatting sqref="C31">
    <cfRule type="expression" dxfId="2708" priority="2361">
      <formula>E31&gt;0</formula>
    </cfRule>
  </conditionalFormatting>
  <conditionalFormatting sqref="C31">
    <cfRule type="expression" dxfId="2707" priority="2360">
      <formula>E31&gt;0</formula>
    </cfRule>
  </conditionalFormatting>
  <conditionalFormatting sqref="C31">
    <cfRule type="expression" dxfId="2706" priority="2359">
      <formula>E31&gt;0</formula>
    </cfRule>
  </conditionalFormatting>
  <conditionalFormatting sqref="C31">
    <cfRule type="expression" dxfId="2705" priority="2358">
      <formula>E31&gt;0</formula>
    </cfRule>
  </conditionalFormatting>
  <conditionalFormatting sqref="C31">
    <cfRule type="expression" dxfId="2704" priority="2357">
      <formula>E31&gt;0</formula>
    </cfRule>
  </conditionalFormatting>
  <conditionalFormatting sqref="C31">
    <cfRule type="expression" dxfId="2703" priority="2356">
      <formula>E31&gt;0</formula>
    </cfRule>
  </conditionalFormatting>
  <conditionalFormatting sqref="C31">
    <cfRule type="expression" dxfId="2702" priority="2355">
      <formula>E31&gt;0</formula>
    </cfRule>
  </conditionalFormatting>
  <conditionalFormatting sqref="C31">
    <cfRule type="expression" dxfId="2701" priority="2354">
      <formula>E31&gt;0</formula>
    </cfRule>
  </conditionalFormatting>
  <conditionalFormatting sqref="C31">
    <cfRule type="expression" dxfId="2700" priority="2353">
      <formula>E31&gt;0</formula>
    </cfRule>
  </conditionalFormatting>
  <conditionalFormatting sqref="C31">
    <cfRule type="expression" dxfId="2699" priority="2352">
      <formula>E31&gt;0</formula>
    </cfRule>
  </conditionalFormatting>
  <conditionalFormatting sqref="C31">
    <cfRule type="expression" dxfId="2698" priority="2351">
      <formula>E31&gt;0</formula>
    </cfRule>
  </conditionalFormatting>
  <conditionalFormatting sqref="C31">
    <cfRule type="expression" dxfId="2697" priority="2350">
      <formula>E31&gt;0</formula>
    </cfRule>
  </conditionalFormatting>
  <conditionalFormatting sqref="C31">
    <cfRule type="expression" dxfId="2696" priority="2349">
      <formula>E31&gt;0</formula>
    </cfRule>
  </conditionalFormatting>
  <conditionalFormatting sqref="C31">
    <cfRule type="expression" dxfId="2695" priority="2348">
      <formula>E31&gt;0</formula>
    </cfRule>
  </conditionalFormatting>
  <conditionalFormatting sqref="C31">
    <cfRule type="expression" dxfId="2694" priority="2347">
      <formula>E31&gt;0</formula>
    </cfRule>
  </conditionalFormatting>
  <conditionalFormatting sqref="C31">
    <cfRule type="expression" dxfId="2693" priority="2346">
      <formula>E31&gt;0</formula>
    </cfRule>
  </conditionalFormatting>
  <conditionalFormatting sqref="C31">
    <cfRule type="expression" dxfId="2692" priority="2345">
      <formula>E31&gt;0</formula>
    </cfRule>
  </conditionalFormatting>
  <conditionalFormatting sqref="C31">
    <cfRule type="expression" dxfId="2691" priority="2344">
      <formula>E31&gt;0</formula>
    </cfRule>
  </conditionalFormatting>
  <conditionalFormatting sqref="C31">
    <cfRule type="expression" dxfId="2690" priority="2343">
      <formula>E31&gt;0</formula>
    </cfRule>
  </conditionalFormatting>
  <conditionalFormatting sqref="C31">
    <cfRule type="expression" dxfId="2689" priority="2342">
      <formula>E31&gt;0</formula>
    </cfRule>
  </conditionalFormatting>
  <conditionalFormatting sqref="C31">
    <cfRule type="expression" dxfId="2688" priority="2341">
      <formula>E31&gt;0</formula>
    </cfRule>
  </conditionalFormatting>
  <conditionalFormatting sqref="C31">
    <cfRule type="expression" dxfId="2687" priority="2340">
      <formula>E31&gt;0</formula>
    </cfRule>
  </conditionalFormatting>
  <conditionalFormatting sqref="C31">
    <cfRule type="expression" dxfId="2686" priority="2339">
      <formula>E31&gt;0</formula>
    </cfRule>
  </conditionalFormatting>
  <conditionalFormatting sqref="C31">
    <cfRule type="expression" dxfId="2685" priority="2338">
      <formula>E31&gt;0</formula>
    </cfRule>
  </conditionalFormatting>
  <conditionalFormatting sqref="C31">
    <cfRule type="expression" dxfId="2684" priority="2337">
      <formula>E31&gt;0</formula>
    </cfRule>
  </conditionalFormatting>
  <conditionalFormatting sqref="C31">
    <cfRule type="expression" dxfId="2683" priority="2336">
      <formula>E31&gt;0</formula>
    </cfRule>
  </conditionalFormatting>
  <conditionalFormatting sqref="C31">
    <cfRule type="expression" dxfId="2682" priority="2335">
      <formula>E31&gt;0</formula>
    </cfRule>
  </conditionalFormatting>
  <conditionalFormatting sqref="C31">
    <cfRule type="expression" dxfId="2681" priority="2334">
      <formula>E31&gt;0</formula>
    </cfRule>
  </conditionalFormatting>
  <conditionalFormatting sqref="C31">
    <cfRule type="expression" dxfId="2680" priority="2333">
      <formula>E31&gt;0</formula>
    </cfRule>
  </conditionalFormatting>
  <conditionalFormatting sqref="C31">
    <cfRule type="expression" dxfId="2679" priority="2332">
      <formula>E31&gt;0</formula>
    </cfRule>
  </conditionalFormatting>
  <conditionalFormatting sqref="C31">
    <cfRule type="expression" dxfId="2678" priority="2331">
      <formula>E31&gt;0</formula>
    </cfRule>
  </conditionalFormatting>
  <conditionalFormatting sqref="C31">
    <cfRule type="expression" dxfId="2677" priority="2330">
      <formula>E31&gt;0</formula>
    </cfRule>
  </conditionalFormatting>
  <conditionalFormatting sqref="C31">
    <cfRule type="expression" dxfId="2676" priority="2329">
      <formula>E31&gt;0</formula>
    </cfRule>
  </conditionalFormatting>
  <conditionalFormatting sqref="C31">
    <cfRule type="expression" dxfId="2675" priority="2328">
      <formula>E31&gt;0</formula>
    </cfRule>
  </conditionalFormatting>
  <conditionalFormatting sqref="C31">
    <cfRule type="expression" dxfId="2674" priority="2327">
      <formula>E31&gt;0</formula>
    </cfRule>
  </conditionalFormatting>
  <conditionalFormatting sqref="C31">
    <cfRule type="expression" dxfId="2673" priority="2326">
      <formula>E31&gt;0</formula>
    </cfRule>
  </conditionalFormatting>
  <conditionalFormatting sqref="C31">
    <cfRule type="expression" dxfId="2672" priority="2325">
      <formula>E31&gt;0</formula>
    </cfRule>
  </conditionalFormatting>
  <conditionalFormatting sqref="C31">
    <cfRule type="expression" dxfId="2671" priority="2324">
      <formula>E31&gt;0</formula>
    </cfRule>
  </conditionalFormatting>
  <conditionalFormatting sqref="C31">
    <cfRule type="expression" dxfId="2670" priority="2323">
      <formula>E31&gt;0</formula>
    </cfRule>
  </conditionalFormatting>
  <conditionalFormatting sqref="C31">
    <cfRule type="expression" dxfId="2669" priority="2322">
      <formula>E31&gt;0</formula>
    </cfRule>
  </conditionalFormatting>
  <conditionalFormatting sqref="C31">
    <cfRule type="expression" dxfId="2668" priority="2321">
      <formula>E31&gt;0</formula>
    </cfRule>
  </conditionalFormatting>
  <conditionalFormatting sqref="C31">
    <cfRule type="expression" dxfId="2667" priority="2320">
      <formula>E31&gt;0</formula>
    </cfRule>
  </conditionalFormatting>
  <conditionalFormatting sqref="C31">
    <cfRule type="expression" dxfId="2666" priority="2319">
      <formula>E31&gt;0</formula>
    </cfRule>
  </conditionalFormatting>
  <conditionalFormatting sqref="C31">
    <cfRule type="expression" dxfId="2665" priority="2318">
      <formula>E31&gt;0</formula>
    </cfRule>
  </conditionalFormatting>
  <conditionalFormatting sqref="C31">
    <cfRule type="expression" dxfId="2664" priority="2317">
      <formula>E31&gt;0</formula>
    </cfRule>
  </conditionalFormatting>
  <conditionalFormatting sqref="C31">
    <cfRule type="expression" dxfId="2663" priority="2316">
      <formula>E31&gt;0</formula>
    </cfRule>
  </conditionalFormatting>
  <conditionalFormatting sqref="C31">
    <cfRule type="expression" dxfId="2662" priority="2315">
      <formula>E31&gt;0</formula>
    </cfRule>
  </conditionalFormatting>
  <conditionalFormatting sqref="C31">
    <cfRule type="expression" dxfId="2661" priority="2314">
      <formula>E31&gt;0</formula>
    </cfRule>
  </conditionalFormatting>
  <conditionalFormatting sqref="C31">
    <cfRule type="expression" dxfId="2660" priority="2313">
      <formula>E31&gt;0</formula>
    </cfRule>
  </conditionalFormatting>
  <conditionalFormatting sqref="C31">
    <cfRule type="expression" dxfId="2659" priority="2312">
      <formula>E31&gt;0</formula>
    </cfRule>
  </conditionalFormatting>
  <conditionalFormatting sqref="C31">
    <cfRule type="expression" dxfId="2658" priority="2311">
      <formula>E31&gt;0</formula>
    </cfRule>
  </conditionalFormatting>
  <conditionalFormatting sqref="C31">
    <cfRule type="expression" dxfId="2657" priority="2310">
      <formula>E31&gt;0</formula>
    </cfRule>
  </conditionalFormatting>
  <conditionalFormatting sqref="C51">
    <cfRule type="expression" dxfId="2656" priority="2309">
      <formula>E51&gt;0</formula>
    </cfRule>
  </conditionalFormatting>
  <conditionalFormatting sqref="C51">
    <cfRule type="expression" dxfId="2655" priority="2308">
      <formula>E51&gt;0</formula>
    </cfRule>
  </conditionalFormatting>
  <conditionalFormatting sqref="C51">
    <cfRule type="expression" dxfId="2654" priority="2307">
      <formula>E51&gt;0</formula>
    </cfRule>
  </conditionalFormatting>
  <conditionalFormatting sqref="C51">
    <cfRule type="expression" dxfId="2653" priority="2306">
      <formula>E51&gt;0</formula>
    </cfRule>
  </conditionalFormatting>
  <conditionalFormatting sqref="C51">
    <cfRule type="expression" dxfId="2652" priority="2305">
      <formula>E51&gt;0</formula>
    </cfRule>
  </conditionalFormatting>
  <conditionalFormatting sqref="C51">
    <cfRule type="expression" dxfId="2651" priority="2304">
      <formula>E51&gt;0</formula>
    </cfRule>
  </conditionalFormatting>
  <conditionalFormatting sqref="C51">
    <cfRule type="expression" dxfId="2650" priority="2303">
      <formula>E51&gt;0</formula>
    </cfRule>
  </conditionalFormatting>
  <conditionalFormatting sqref="C51">
    <cfRule type="expression" dxfId="2649" priority="2302">
      <formula>E51&gt;0</formula>
    </cfRule>
  </conditionalFormatting>
  <conditionalFormatting sqref="C51">
    <cfRule type="expression" dxfId="2648" priority="2301">
      <formula>E51&gt;0</formula>
    </cfRule>
  </conditionalFormatting>
  <conditionalFormatting sqref="C51">
    <cfRule type="expression" dxfId="2647" priority="2300">
      <formula>E51&gt;0</formula>
    </cfRule>
  </conditionalFormatting>
  <conditionalFormatting sqref="C51">
    <cfRule type="expression" dxfId="2646" priority="2299">
      <formula>E51&gt;0</formula>
    </cfRule>
  </conditionalFormatting>
  <conditionalFormatting sqref="C51">
    <cfRule type="expression" dxfId="2645" priority="2298">
      <formula>E51&gt;0</formula>
    </cfRule>
  </conditionalFormatting>
  <conditionalFormatting sqref="C51">
    <cfRule type="expression" dxfId="2644" priority="2297">
      <formula>E51&gt;0</formula>
    </cfRule>
  </conditionalFormatting>
  <conditionalFormatting sqref="C51">
    <cfRule type="expression" dxfId="2643" priority="2296">
      <formula>E51&gt;0</formula>
    </cfRule>
  </conditionalFormatting>
  <conditionalFormatting sqref="C51">
    <cfRule type="expression" dxfId="2642" priority="2295">
      <formula>E51&gt;0</formula>
    </cfRule>
  </conditionalFormatting>
  <conditionalFormatting sqref="C51">
    <cfRule type="expression" dxfId="2641" priority="2294">
      <formula>E51&gt;0</formula>
    </cfRule>
  </conditionalFormatting>
  <conditionalFormatting sqref="C51">
    <cfRule type="expression" dxfId="2640" priority="2293">
      <formula>E51&gt;0</formula>
    </cfRule>
  </conditionalFormatting>
  <conditionalFormatting sqref="C51">
    <cfRule type="expression" dxfId="2639" priority="2292">
      <formula>E51&gt;0</formula>
    </cfRule>
  </conditionalFormatting>
  <conditionalFormatting sqref="C51">
    <cfRule type="expression" dxfId="2638" priority="2291">
      <formula>E51&gt;0</formula>
    </cfRule>
  </conditionalFormatting>
  <conditionalFormatting sqref="C51">
    <cfRule type="expression" dxfId="2637" priority="2290">
      <formula>E51&gt;0</formula>
    </cfRule>
  </conditionalFormatting>
  <conditionalFormatting sqref="C51">
    <cfRule type="expression" dxfId="2636" priority="2289">
      <formula>E51&gt;0</formula>
    </cfRule>
  </conditionalFormatting>
  <conditionalFormatting sqref="C51">
    <cfRule type="expression" dxfId="2635" priority="2288">
      <formula>E51&gt;0</formula>
    </cfRule>
  </conditionalFormatting>
  <conditionalFormatting sqref="C51">
    <cfRule type="expression" dxfId="2634" priority="2287">
      <formula>E51&gt;0</formula>
    </cfRule>
  </conditionalFormatting>
  <conditionalFormatting sqref="C51">
    <cfRule type="expression" dxfId="2633" priority="2286">
      <formula>E51&gt;0</formula>
    </cfRule>
  </conditionalFormatting>
  <conditionalFormatting sqref="C51">
    <cfRule type="expression" dxfId="2632" priority="2285">
      <formula>E51&gt;0</formula>
    </cfRule>
  </conditionalFormatting>
  <conditionalFormatting sqref="C51">
    <cfRule type="expression" dxfId="2631" priority="2284">
      <formula>E51&gt;0</formula>
    </cfRule>
  </conditionalFormatting>
  <conditionalFormatting sqref="C51">
    <cfRule type="expression" dxfId="2630" priority="2283">
      <formula>E51&gt;0</formula>
    </cfRule>
  </conditionalFormatting>
  <conditionalFormatting sqref="C51">
    <cfRule type="expression" dxfId="2629" priority="2282">
      <formula>E51&gt;0</formula>
    </cfRule>
  </conditionalFormatting>
  <conditionalFormatting sqref="C51">
    <cfRule type="expression" dxfId="2628" priority="2281">
      <formula>E51&gt;0</formula>
    </cfRule>
  </conditionalFormatting>
  <conditionalFormatting sqref="C51">
    <cfRule type="expression" dxfId="2627" priority="2280">
      <formula>E51&gt;0</formula>
    </cfRule>
  </conditionalFormatting>
  <conditionalFormatting sqref="C51">
    <cfRule type="expression" dxfId="2626" priority="2279">
      <formula>E51&gt;0</formula>
    </cfRule>
  </conditionalFormatting>
  <conditionalFormatting sqref="C51">
    <cfRule type="expression" dxfId="2625" priority="2278">
      <formula>E51&gt;0</formula>
    </cfRule>
  </conditionalFormatting>
  <conditionalFormatting sqref="C51">
    <cfRule type="expression" dxfId="2624" priority="2277">
      <formula>E51&gt;0</formula>
    </cfRule>
  </conditionalFormatting>
  <conditionalFormatting sqref="C51">
    <cfRule type="expression" dxfId="2623" priority="2276">
      <formula>E51&gt;0</formula>
    </cfRule>
  </conditionalFormatting>
  <conditionalFormatting sqref="C51">
    <cfRule type="expression" dxfId="2622" priority="2275">
      <formula>E51&gt;0</formula>
    </cfRule>
  </conditionalFormatting>
  <conditionalFormatting sqref="C51">
    <cfRule type="expression" dxfId="2621" priority="2274">
      <formula>E51&gt;0</formula>
    </cfRule>
  </conditionalFormatting>
  <conditionalFormatting sqref="C51">
    <cfRule type="expression" dxfId="2620" priority="2273">
      <formula>E51&gt;0</formula>
    </cfRule>
  </conditionalFormatting>
  <conditionalFormatting sqref="C51">
    <cfRule type="expression" dxfId="2619" priority="2272">
      <formula>E51&gt;0</formula>
    </cfRule>
  </conditionalFormatting>
  <conditionalFormatting sqref="C51">
    <cfRule type="expression" dxfId="2618" priority="2271">
      <formula>E51&gt;0</formula>
    </cfRule>
  </conditionalFormatting>
  <conditionalFormatting sqref="C51">
    <cfRule type="expression" dxfId="2617" priority="2270">
      <formula>E51&gt;0</formula>
    </cfRule>
  </conditionalFormatting>
  <conditionalFormatting sqref="C51">
    <cfRule type="expression" dxfId="2616" priority="2269">
      <formula>E51&gt;0</formula>
    </cfRule>
  </conditionalFormatting>
  <conditionalFormatting sqref="C51">
    <cfRule type="expression" dxfId="2615" priority="2268">
      <formula>E51&gt;0</formula>
    </cfRule>
  </conditionalFormatting>
  <conditionalFormatting sqref="C51">
    <cfRule type="expression" dxfId="2614" priority="2267">
      <formula>E51&gt;0</formula>
    </cfRule>
  </conditionalFormatting>
  <conditionalFormatting sqref="C51">
    <cfRule type="expression" dxfId="2613" priority="2266">
      <formula>E51&gt;0</formula>
    </cfRule>
  </conditionalFormatting>
  <conditionalFormatting sqref="C51">
    <cfRule type="expression" dxfId="2612" priority="2265">
      <formula>E51&gt;0</formula>
    </cfRule>
  </conditionalFormatting>
  <conditionalFormatting sqref="C51">
    <cfRule type="expression" dxfId="2611" priority="2264">
      <formula>E51&gt;0</formula>
    </cfRule>
  </conditionalFormatting>
  <conditionalFormatting sqref="C51">
    <cfRule type="expression" dxfId="2610" priority="2263">
      <formula>E51&gt;0</formula>
    </cfRule>
  </conditionalFormatting>
  <conditionalFormatting sqref="C51">
    <cfRule type="expression" dxfId="2609" priority="2262">
      <formula>E51&gt;0</formula>
    </cfRule>
  </conditionalFormatting>
  <conditionalFormatting sqref="C51">
    <cfRule type="expression" dxfId="2608" priority="2261">
      <formula>E51&gt;0</formula>
    </cfRule>
  </conditionalFormatting>
  <conditionalFormatting sqref="C51">
    <cfRule type="expression" dxfId="2607" priority="2260">
      <formula>E51&gt;0</formula>
    </cfRule>
  </conditionalFormatting>
  <conditionalFormatting sqref="C51">
    <cfRule type="expression" dxfId="2606" priority="2259">
      <formula>E51&gt;0</formula>
    </cfRule>
  </conditionalFormatting>
  <conditionalFormatting sqref="C51">
    <cfRule type="expression" dxfId="2605" priority="2258">
      <formula>E51&gt;0</formula>
    </cfRule>
  </conditionalFormatting>
  <conditionalFormatting sqref="C51">
    <cfRule type="expression" dxfId="2604" priority="2257">
      <formula>E51&gt;0</formula>
    </cfRule>
  </conditionalFormatting>
  <conditionalFormatting sqref="C51">
    <cfRule type="expression" dxfId="2603" priority="2256">
      <formula>E51&gt;0</formula>
    </cfRule>
  </conditionalFormatting>
  <conditionalFormatting sqref="C51">
    <cfRule type="expression" dxfId="2602" priority="2255">
      <formula>E51&gt;0</formula>
    </cfRule>
  </conditionalFormatting>
  <conditionalFormatting sqref="C51">
    <cfRule type="expression" dxfId="2601" priority="2254">
      <formula>E51&gt;0</formula>
    </cfRule>
  </conditionalFormatting>
  <conditionalFormatting sqref="C51">
    <cfRule type="expression" dxfId="2600" priority="2253">
      <formula>E51&gt;0</formula>
    </cfRule>
  </conditionalFormatting>
  <conditionalFormatting sqref="C51">
    <cfRule type="expression" dxfId="2599" priority="2252">
      <formula>E51&gt;0</formula>
    </cfRule>
  </conditionalFormatting>
  <conditionalFormatting sqref="C51">
    <cfRule type="expression" dxfId="2598" priority="2251">
      <formula>E51&gt;0</formula>
    </cfRule>
  </conditionalFormatting>
  <conditionalFormatting sqref="C51">
    <cfRule type="expression" dxfId="2597" priority="2250">
      <formula>E51&gt;0</formula>
    </cfRule>
  </conditionalFormatting>
  <conditionalFormatting sqref="C51">
    <cfRule type="expression" dxfId="2596" priority="2249">
      <formula>E51&gt;0</formula>
    </cfRule>
  </conditionalFormatting>
  <conditionalFormatting sqref="C51">
    <cfRule type="expression" dxfId="2595" priority="2248">
      <formula>E51&gt;0</formula>
    </cfRule>
  </conditionalFormatting>
  <conditionalFormatting sqref="C51">
    <cfRule type="expression" dxfId="2594" priority="2247">
      <formula>E51&gt;0</formula>
    </cfRule>
  </conditionalFormatting>
  <conditionalFormatting sqref="C51">
    <cfRule type="expression" dxfId="2593" priority="2246">
      <formula>E51&gt;0</formula>
    </cfRule>
  </conditionalFormatting>
  <conditionalFormatting sqref="C51">
    <cfRule type="expression" dxfId="2592" priority="2245">
      <formula>E51&gt;0</formula>
    </cfRule>
  </conditionalFormatting>
  <conditionalFormatting sqref="C51">
    <cfRule type="expression" dxfId="2591" priority="2244">
      <formula>E51&gt;0</formula>
    </cfRule>
  </conditionalFormatting>
  <conditionalFormatting sqref="C51">
    <cfRule type="expression" dxfId="2590" priority="2243">
      <formula>E51&gt;0</formula>
    </cfRule>
  </conditionalFormatting>
  <conditionalFormatting sqref="C51">
    <cfRule type="expression" dxfId="2589" priority="2242">
      <formula>E51&gt;0</formula>
    </cfRule>
  </conditionalFormatting>
  <conditionalFormatting sqref="C51">
    <cfRule type="expression" dxfId="2588" priority="2241">
      <formula>E51&gt;0</formula>
    </cfRule>
  </conditionalFormatting>
  <conditionalFormatting sqref="C51">
    <cfRule type="expression" dxfId="2587" priority="2240">
      <formula>E51&gt;0</formula>
    </cfRule>
  </conditionalFormatting>
  <conditionalFormatting sqref="C51">
    <cfRule type="expression" dxfId="2586" priority="2239">
      <formula>E51&gt;0</formula>
    </cfRule>
  </conditionalFormatting>
  <conditionalFormatting sqref="C51">
    <cfRule type="expression" dxfId="2585" priority="2238">
      <formula>E51&gt;0</formula>
    </cfRule>
  </conditionalFormatting>
  <conditionalFormatting sqref="C51">
    <cfRule type="expression" dxfId="2584" priority="2237">
      <formula>E51&gt;0</formula>
    </cfRule>
  </conditionalFormatting>
  <conditionalFormatting sqref="C51">
    <cfRule type="expression" dxfId="2583" priority="2236">
      <formula>E51&gt;0</formula>
    </cfRule>
  </conditionalFormatting>
  <conditionalFormatting sqref="C51">
    <cfRule type="expression" dxfId="2582" priority="2235">
      <formula>E51&gt;0</formula>
    </cfRule>
  </conditionalFormatting>
  <conditionalFormatting sqref="C51">
    <cfRule type="expression" dxfId="2581" priority="2234">
      <formula>E51&gt;0</formula>
    </cfRule>
  </conditionalFormatting>
  <conditionalFormatting sqref="C51">
    <cfRule type="expression" dxfId="2580" priority="2233">
      <formula>E51&gt;0</formula>
    </cfRule>
  </conditionalFormatting>
  <conditionalFormatting sqref="C51">
    <cfRule type="expression" dxfId="2579" priority="2232">
      <formula>E51&gt;0</formula>
    </cfRule>
  </conditionalFormatting>
  <conditionalFormatting sqref="C51">
    <cfRule type="expression" dxfId="2578" priority="2231">
      <formula>E51&gt;0</formula>
    </cfRule>
  </conditionalFormatting>
  <conditionalFormatting sqref="C51">
    <cfRule type="expression" dxfId="2577" priority="2230">
      <formula>E51&gt;0</formula>
    </cfRule>
  </conditionalFormatting>
  <conditionalFormatting sqref="C51">
    <cfRule type="expression" dxfId="2576" priority="2229">
      <formula>E51&gt;0</formula>
    </cfRule>
  </conditionalFormatting>
  <conditionalFormatting sqref="C51">
    <cfRule type="expression" dxfId="2575" priority="2228">
      <formula>E51&gt;0</formula>
    </cfRule>
  </conditionalFormatting>
  <conditionalFormatting sqref="C51">
    <cfRule type="expression" dxfId="2574" priority="2227">
      <formula>E51&gt;0</formula>
    </cfRule>
  </conditionalFormatting>
  <conditionalFormatting sqref="C51">
    <cfRule type="expression" dxfId="2573" priority="2226">
      <formula>E51&gt;0</formula>
    </cfRule>
  </conditionalFormatting>
  <conditionalFormatting sqref="C51">
    <cfRule type="expression" dxfId="2572" priority="2225">
      <formula>E51&gt;0</formula>
    </cfRule>
  </conditionalFormatting>
  <conditionalFormatting sqref="C51">
    <cfRule type="expression" dxfId="2571" priority="2224">
      <formula>E51&gt;0</formula>
    </cfRule>
  </conditionalFormatting>
  <conditionalFormatting sqref="C51">
    <cfRule type="expression" dxfId="2570" priority="2223">
      <formula>E51&gt;0</formula>
    </cfRule>
  </conditionalFormatting>
  <conditionalFormatting sqref="C51">
    <cfRule type="expression" dxfId="2569" priority="2222">
      <formula>E51&gt;0</formula>
    </cfRule>
  </conditionalFormatting>
  <conditionalFormatting sqref="C51">
    <cfRule type="expression" dxfId="2568" priority="2221">
      <formula>E51&gt;0</formula>
    </cfRule>
  </conditionalFormatting>
  <conditionalFormatting sqref="C51">
    <cfRule type="expression" dxfId="2567" priority="2220">
      <formula>E51&gt;0</formula>
    </cfRule>
  </conditionalFormatting>
  <conditionalFormatting sqref="C51">
    <cfRule type="expression" dxfId="2566" priority="2219">
      <formula>E51&gt;0</formula>
    </cfRule>
  </conditionalFormatting>
  <conditionalFormatting sqref="C51">
    <cfRule type="expression" dxfId="2565" priority="2218">
      <formula>E51&gt;0</formula>
    </cfRule>
  </conditionalFormatting>
  <conditionalFormatting sqref="C51">
    <cfRule type="expression" dxfId="2564" priority="2217">
      <formula>E51&gt;0</formula>
    </cfRule>
  </conditionalFormatting>
  <conditionalFormatting sqref="C51">
    <cfRule type="expression" dxfId="2563" priority="2216">
      <formula>E51&gt;0</formula>
    </cfRule>
  </conditionalFormatting>
  <conditionalFormatting sqref="C51">
    <cfRule type="expression" dxfId="2562" priority="2215">
      <formula>E51&gt;0</formula>
    </cfRule>
  </conditionalFormatting>
  <conditionalFormatting sqref="C51">
    <cfRule type="expression" dxfId="2561" priority="2214">
      <formula>E51&gt;0</formula>
    </cfRule>
  </conditionalFormatting>
  <conditionalFormatting sqref="C51">
    <cfRule type="expression" dxfId="2560" priority="2213">
      <formula>E51&gt;0</formula>
    </cfRule>
  </conditionalFormatting>
  <conditionalFormatting sqref="C51">
    <cfRule type="expression" dxfId="2559" priority="2212">
      <formula>E51&gt;0</formula>
    </cfRule>
  </conditionalFormatting>
  <conditionalFormatting sqref="C51">
    <cfRule type="expression" dxfId="2558" priority="2211">
      <formula>E51&gt;0</formula>
    </cfRule>
  </conditionalFormatting>
  <conditionalFormatting sqref="C51">
    <cfRule type="expression" dxfId="2557" priority="2210">
      <formula>E51&gt;0</formula>
    </cfRule>
  </conditionalFormatting>
  <conditionalFormatting sqref="C51">
    <cfRule type="expression" dxfId="2556" priority="2209">
      <formula>E51&gt;0</formula>
    </cfRule>
  </conditionalFormatting>
  <conditionalFormatting sqref="C51">
    <cfRule type="expression" dxfId="2555" priority="2208">
      <formula>E51&gt;0</formula>
    </cfRule>
  </conditionalFormatting>
  <conditionalFormatting sqref="C51">
    <cfRule type="expression" dxfId="2554" priority="2207">
      <formula>E51&gt;0</formula>
    </cfRule>
  </conditionalFormatting>
  <conditionalFormatting sqref="C51">
    <cfRule type="expression" dxfId="2553" priority="2206">
      <formula>E51&gt;0</formula>
    </cfRule>
  </conditionalFormatting>
  <conditionalFormatting sqref="C51">
    <cfRule type="expression" dxfId="2552" priority="2205">
      <formula>E51&gt;0</formula>
    </cfRule>
  </conditionalFormatting>
  <conditionalFormatting sqref="C51">
    <cfRule type="expression" dxfId="2551" priority="2204">
      <formula>E51&gt;0</formula>
    </cfRule>
  </conditionalFormatting>
  <conditionalFormatting sqref="C51">
    <cfRule type="expression" dxfId="2550" priority="2203">
      <formula>E51&gt;0</formula>
    </cfRule>
  </conditionalFormatting>
  <conditionalFormatting sqref="C51">
    <cfRule type="expression" dxfId="2549" priority="2202">
      <formula>E51&gt;0</formula>
    </cfRule>
  </conditionalFormatting>
  <conditionalFormatting sqref="C51">
    <cfRule type="expression" dxfId="2548" priority="2201">
      <formula>E51&gt;0</formula>
    </cfRule>
  </conditionalFormatting>
  <conditionalFormatting sqref="C51">
    <cfRule type="expression" dxfId="2547" priority="2200">
      <formula>E51&gt;0</formula>
    </cfRule>
  </conditionalFormatting>
  <conditionalFormatting sqref="C51">
    <cfRule type="expression" dxfId="2546" priority="2199">
      <formula>E51&gt;0</formula>
    </cfRule>
  </conditionalFormatting>
  <conditionalFormatting sqref="C51">
    <cfRule type="expression" dxfId="2545" priority="2198">
      <formula>E51&gt;0</formula>
    </cfRule>
  </conditionalFormatting>
  <conditionalFormatting sqref="C51">
    <cfRule type="expression" dxfId="2544" priority="2197">
      <formula>E51&gt;0</formula>
    </cfRule>
  </conditionalFormatting>
  <conditionalFormatting sqref="C51">
    <cfRule type="expression" dxfId="2543" priority="2196">
      <formula>E51&gt;0</formula>
    </cfRule>
  </conditionalFormatting>
  <conditionalFormatting sqref="C51">
    <cfRule type="expression" dxfId="2542" priority="2195">
      <formula>E51&gt;0</formula>
    </cfRule>
  </conditionalFormatting>
  <conditionalFormatting sqref="C51">
    <cfRule type="expression" dxfId="2541" priority="2194">
      <formula>E51&gt;0</formula>
    </cfRule>
  </conditionalFormatting>
  <conditionalFormatting sqref="C51">
    <cfRule type="expression" dxfId="2540" priority="2193">
      <formula>E51&gt;0</formula>
    </cfRule>
  </conditionalFormatting>
  <conditionalFormatting sqref="C51">
    <cfRule type="expression" dxfId="2539" priority="2192">
      <formula>E51&gt;0</formula>
    </cfRule>
  </conditionalFormatting>
  <conditionalFormatting sqref="C51">
    <cfRule type="expression" dxfId="2538" priority="2191">
      <formula>E51&gt;0</formula>
    </cfRule>
  </conditionalFormatting>
  <conditionalFormatting sqref="C51">
    <cfRule type="expression" dxfId="2537" priority="2190">
      <formula>E51&gt;0</formula>
    </cfRule>
  </conditionalFormatting>
  <conditionalFormatting sqref="C51">
    <cfRule type="expression" dxfId="2536" priority="2189">
      <formula>E51&gt;0</formula>
    </cfRule>
  </conditionalFormatting>
  <conditionalFormatting sqref="C51">
    <cfRule type="expression" dxfId="2535" priority="2188">
      <formula>E51&gt;0</formula>
    </cfRule>
  </conditionalFormatting>
  <conditionalFormatting sqref="C51">
    <cfRule type="expression" dxfId="2534" priority="2187">
      <formula>E51&gt;0</formula>
    </cfRule>
  </conditionalFormatting>
  <conditionalFormatting sqref="C51">
    <cfRule type="expression" dxfId="2533" priority="2186">
      <formula>E51&gt;0</formula>
    </cfRule>
  </conditionalFormatting>
  <conditionalFormatting sqref="C51">
    <cfRule type="expression" dxfId="2532" priority="2185">
      <formula>E51&gt;0</formula>
    </cfRule>
  </conditionalFormatting>
  <conditionalFormatting sqref="C51">
    <cfRule type="expression" dxfId="2531" priority="2184">
      <formula>E51&gt;0</formula>
    </cfRule>
  </conditionalFormatting>
  <conditionalFormatting sqref="C51">
    <cfRule type="expression" dxfId="2530" priority="2183">
      <formula>E51&gt;0</formula>
    </cfRule>
  </conditionalFormatting>
  <conditionalFormatting sqref="C51">
    <cfRule type="expression" dxfId="2529" priority="2182">
      <formula>E51&gt;0</formula>
    </cfRule>
  </conditionalFormatting>
  <conditionalFormatting sqref="C51">
    <cfRule type="expression" dxfId="2528" priority="2181">
      <formula>E51&gt;0</formula>
    </cfRule>
  </conditionalFormatting>
  <conditionalFormatting sqref="C51">
    <cfRule type="expression" dxfId="2527" priority="2180">
      <formula>E51&gt;0</formula>
    </cfRule>
  </conditionalFormatting>
  <conditionalFormatting sqref="C51">
    <cfRule type="expression" dxfId="2526" priority="2179">
      <formula>E51&gt;0</formula>
    </cfRule>
  </conditionalFormatting>
  <conditionalFormatting sqref="C51">
    <cfRule type="expression" dxfId="2525" priority="2178">
      <formula>E51&gt;0</formula>
    </cfRule>
  </conditionalFormatting>
  <conditionalFormatting sqref="C51">
    <cfRule type="expression" dxfId="2524" priority="2177">
      <formula>E51&gt;0</formula>
    </cfRule>
  </conditionalFormatting>
  <conditionalFormatting sqref="C51">
    <cfRule type="expression" dxfId="2523" priority="2176">
      <formula>E51&gt;0</formula>
    </cfRule>
  </conditionalFormatting>
  <conditionalFormatting sqref="C51">
    <cfRule type="expression" dxfId="2522" priority="2175">
      <formula>E51&gt;0</formula>
    </cfRule>
  </conditionalFormatting>
  <conditionalFormatting sqref="C51">
    <cfRule type="expression" dxfId="2521" priority="2174">
      <formula>E51&gt;0</formula>
    </cfRule>
  </conditionalFormatting>
  <conditionalFormatting sqref="C51">
    <cfRule type="expression" dxfId="2520" priority="2173">
      <formula>E51&gt;0</formula>
    </cfRule>
  </conditionalFormatting>
  <conditionalFormatting sqref="C51">
    <cfRule type="expression" dxfId="2519" priority="2172">
      <formula>E51&gt;0</formula>
    </cfRule>
  </conditionalFormatting>
  <conditionalFormatting sqref="C51">
    <cfRule type="expression" dxfId="2518" priority="2171">
      <formula>E51&gt;0</formula>
    </cfRule>
  </conditionalFormatting>
  <conditionalFormatting sqref="C51">
    <cfRule type="expression" dxfId="2517" priority="2170">
      <formula>E51&gt;0</formula>
    </cfRule>
  </conditionalFormatting>
  <conditionalFormatting sqref="C51">
    <cfRule type="expression" dxfId="2516" priority="2169">
      <formula>E51&gt;0</formula>
    </cfRule>
  </conditionalFormatting>
  <conditionalFormatting sqref="C51">
    <cfRule type="expression" dxfId="2515" priority="2168">
      <formula>E51&gt;0</formula>
    </cfRule>
  </conditionalFormatting>
  <conditionalFormatting sqref="C51">
    <cfRule type="expression" dxfId="2514" priority="2167">
      <formula>E51&gt;0</formula>
    </cfRule>
  </conditionalFormatting>
  <conditionalFormatting sqref="C51">
    <cfRule type="expression" dxfId="2513" priority="2166">
      <formula>E51&gt;0</formula>
    </cfRule>
  </conditionalFormatting>
  <conditionalFormatting sqref="C51">
    <cfRule type="expression" dxfId="2512" priority="2165">
      <formula>E51&gt;0</formula>
    </cfRule>
  </conditionalFormatting>
  <conditionalFormatting sqref="C51">
    <cfRule type="expression" dxfId="2511" priority="2164">
      <formula>E51&gt;0</formula>
    </cfRule>
  </conditionalFormatting>
  <conditionalFormatting sqref="C51">
    <cfRule type="expression" dxfId="2510" priority="2163">
      <formula>E51&gt;0</formula>
    </cfRule>
  </conditionalFormatting>
  <conditionalFormatting sqref="C51">
    <cfRule type="expression" dxfId="2509" priority="2162">
      <formula>E51&gt;0</formula>
    </cfRule>
  </conditionalFormatting>
  <conditionalFormatting sqref="C51">
    <cfRule type="expression" dxfId="2508" priority="2161">
      <formula>E51&gt;0</formula>
    </cfRule>
  </conditionalFormatting>
  <conditionalFormatting sqref="C51">
    <cfRule type="expression" dxfId="2507" priority="2160">
      <formula>E51&gt;0</formula>
    </cfRule>
  </conditionalFormatting>
  <conditionalFormatting sqref="C51">
    <cfRule type="expression" dxfId="2506" priority="2159">
      <formula>E51&gt;0</formula>
    </cfRule>
  </conditionalFormatting>
  <conditionalFormatting sqref="C51">
    <cfRule type="expression" dxfId="2505" priority="2158">
      <formula>E51&gt;0</formula>
    </cfRule>
  </conditionalFormatting>
  <conditionalFormatting sqref="C51">
    <cfRule type="expression" dxfId="2504" priority="2157">
      <formula>E51&gt;0</formula>
    </cfRule>
  </conditionalFormatting>
  <conditionalFormatting sqref="C51">
    <cfRule type="expression" dxfId="2503" priority="2156">
      <formula>E51&gt;0</formula>
    </cfRule>
  </conditionalFormatting>
  <conditionalFormatting sqref="C51">
    <cfRule type="expression" dxfId="2502" priority="2155">
      <formula>E51&gt;0</formula>
    </cfRule>
  </conditionalFormatting>
  <conditionalFormatting sqref="C51">
    <cfRule type="expression" dxfId="2501" priority="2154">
      <formula>E51&gt;0</formula>
    </cfRule>
  </conditionalFormatting>
  <conditionalFormatting sqref="C51">
    <cfRule type="expression" dxfId="2500" priority="2153">
      <formula>E51&gt;0</formula>
    </cfRule>
  </conditionalFormatting>
  <conditionalFormatting sqref="C51">
    <cfRule type="expression" dxfId="2499" priority="2152">
      <formula>E51&gt;0</formula>
    </cfRule>
  </conditionalFormatting>
  <conditionalFormatting sqref="C51">
    <cfRule type="expression" dxfId="2498" priority="2151">
      <formula>E51&gt;0</formula>
    </cfRule>
  </conditionalFormatting>
  <conditionalFormatting sqref="C51">
    <cfRule type="expression" dxfId="2497" priority="2150">
      <formula>E51&gt;0</formula>
    </cfRule>
  </conditionalFormatting>
  <conditionalFormatting sqref="C51">
    <cfRule type="expression" dxfId="2496" priority="2149">
      <formula>E51&gt;0</formula>
    </cfRule>
  </conditionalFormatting>
  <conditionalFormatting sqref="C51">
    <cfRule type="expression" dxfId="2495" priority="2148">
      <formula>E51&gt;0</formula>
    </cfRule>
  </conditionalFormatting>
  <conditionalFormatting sqref="C51">
    <cfRule type="expression" dxfId="2494" priority="2147">
      <formula>E51&gt;0</formula>
    </cfRule>
  </conditionalFormatting>
  <conditionalFormatting sqref="C51">
    <cfRule type="expression" dxfId="2493" priority="2146">
      <formula>E51&gt;0</formula>
    </cfRule>
  </conditionalFormatting>
  <conditionalFormatting sqref="C51">
    <cfRule type="expression" dxfId="2492" priority="2145">
      <formula>E51&gt;0</formula>
    </cfRule>
  </conditionalFormatting>
  <conditionalFormatting sqref="C51">
    <cfRule type="expression" dxfId="2491" priority="2144">
      <formula>E51&gt;0</formula>
    </cfRule>
  </conditionalFormatting>
  <conditionalFormatting sqref="C51">
    <cfRule type="expression" dxfId="2490" priority="2143">
      <formula>E51&gt;0</formula>
    </cfRule>
  </conditionalFormatting>
  <conditionalFormatting sqref="C51">
    <cfRule type="expression" dxfId="2489" priority="2142">
      <formula>E51&gt;0</formula>
    </cfRule>
  </conditionalFormatting>
  <conditionalFormatting sqref="C51">
    <cfRule type="expression" dxfId="2488" priority="2141">
      <formula>E51&gt;0</formula>
    </cfRule>
  </conditionalFormatting>
  <conditionalFormatting sqref="C51">
    <cfRule type="expression" dxfId="2487" priority="2140">
      <formula>E51&gt;0</formula>
    </cfRule>
  </conditionalFormatting>
  <conditionalFormatting sqref="C51">
    <cfRule type="expression" dxfId="2486" priority="2139">
      <formula>E51&gt;0</formula>
    </cfRule>
  </conditionalFormatting>
  <conditionalFormatting sqref="C51">
    <cfRule type="expression" dxfId="2485" priority="2138">
      <formula>E51&gt;0</formula>
    </cfRule>
  </conditionalFormatting>
  <conditionalFormatting sqref="C51">
    <cfRule type="expression" dxfId="2484" priority="2137">
      <formula>E51&gt;0</formula>
    </cfRule>
  </conditionalFormatting>
  <conditionalFormatting sqref="C51">
    <cfRule type="expression" dxfId="2483" priority="2136">
      <formula>E51&gt;0</formula>
    </cfRule>
  </conditionalFormatting>
  <conditionalFormatting sqref="C51">
    <cfRule type="expression" dxfId="2482" priority="2135">
      <formula>E51&gt;0</formula>
    </cfRule>
  </conditionalFormatting>
  <conditionalFormatting sqref="C51">
    <cfRule type="expression" dxfId="2481" priority="2134">
      <formula>E51&gt;0</formula>
    </cfRule>
  </conditionalFormatting>
  <conditionalFormatting sqref="C51">
    <cfRule type="expression" dxfId="2480" priority="2133">
      <formula>E51&gt;0</formula>
    </cfRule>
  </conditionalFormatting>
  <conditionalFormatting sqref="C51">
    <cfRule type="expression" dxfId="2479" priority="2132">
      <formula>E51&gt;0</formula>
    </cfRule>
  </conditionalFormatting>
  <conditionalFormatting sqref="C51">
    <cfRule type="expression" dxfId="2478" priority="2131">
      <formula>E51&gt;0</formula>
    </cfRule>
  </conditionalFormatting>
  <conditionalFormatting sqref="C51">
    <cfRule type="expression" dxfId="2477" priority="2130">
      <formula>E51&gt;0</formula>
    </cfRule>
  </conditionalFormatting>
  <conditionalFormatting sqref="C51">
    <cfRule type="expression" dxfId="2476" priority="2129">
      <formula>E51&gt;0</formula>
    </cfRule>
  </conditionalFormatting>
  <conditionalFormatting sqref="C51">
    <cfRule type="expression" dxfId="2475" priority="2128">
      <formula>E51&gt;0</formula>
    </cfRule>
  </conditionalFormatting>
  <conditionalFormatting sqref="C51">
    <cfRule type="expression" dxfId="2474" priority="2127">
      <formula>E51&gt;0</formula>
    </cfRule>
  </conditionalFormatting>
  <conditionalFormatting sqref="C51">
    <cfRule type="expression" dxfId="2473" priority="2126">
      <formula>E51&gt;0</formula>
    </cfRule>
  </conditionalFormatting>
  <conditionalFormatting sqref="C51">
    <cfRule type="expression" dxfId="2472" priority="2125">
      <formula>E51&gt;0</formula>
    </cfRule>
  </conditionalFormatting>
  <conditionalFormatting sqref="C51">
    <cfRule type="expression" dxfId="2471" priority="2124">
      <formula>E51&gt;0</formula>
    </cfRule>
  </conditionalFormatting>
  <conditionalFormatting sqref="C51">
    <cfRule type="expression" dxfId="2470" priority="2123">
      <formula>E51&gt;0</formula>
    </cfRule>
  </conditionalFormatting>
  <conditionalFormatting sqref="C51">
    <cfRule type="expression" dxfId="2469" priority="2122">
      <formula>E51&gt;0</formula>
    </cfRule>
  </conditionalFormatting>
  <conditionalFormatting sqref="C36">
    <cfRule type="expression" dxfId="2468" priority="2121">
      <formula>E36&gt;0</formula>
    </cfRule>
  </conditionalFormatting>
  <conditionalFormatting sqref="C36">
    <cfRule type="expression" dxfId="2467" priority="2120">
      <formula>E36&gt;0</formula>
    </cfRule>
  </conditionalFormatting>
  <conditionalFormatting sqref="C36">
    <cfRule type="expression" dxfId="2466" priority="2119">
      <formula>E36&gt;0</formula>
    </cfRule>
  </conditionalFormatting>
  <conditionalFormatting sqref="C36">
    <cfRule type="expression" dxfId="2465" priority="2118">
      <formula>E36&gt;0</formula>
    </cfRule>
  </conditionalFormatting>
  <conditionalFormatting sqref="C36">
    <cfRule type="expression" dxfId="2464" priority="2117">
      <formula>E36&gt;0</formula>
    </cfRule>
  </conditionalFormatting>
  <conditionalFormatting sqref="C36">
    <cfRule type="expression" dxfId="2463" priority="2116">
      <formula>E36&gt;0</formula>
    </cfRule>
  </conditionalFormatting>
  <conditionalFormatting sqref="C36">
    <cfRule type="expression" dxfId="2462" priority="2115">
      <formula>E36&gt;0</formula>
    </cfRule>
  </conditionalFormatting>
  <conditionalFormatting sqref="C36">
    <cfRule type="expression" dxfId="2461" priority="2114">
      <formula>E36&gt;0</formula>
    </cfRule>
  </conditionalFormatting>
  <conditionalFormatting sqref="C36">
    <cfRule type="expression" dxfId="2460" priority="2113">
      <formula>E36&gt;0</formula>
    </cfRule>
  </conditionalFormatting>
  <conditionalFormatting sqref="C36">
    <cfRule type="expression" dxfId="2459" priority="2112">
      <formula>E36&gt;0</formula>
    </cfRule>
  </conditionalFormatting>
  <conditionalFormatting sqref="C36">
    <cfRule type="expression" dxfId="2458" priority="2111">
      <formula>E36&gt;0</formula>
    </cfRule>
  </conditionalFormatting>
  <conditionalFormatting sqref="C36">
    <cfRule type="expression" dxfId="2457" priority="2110">
      <formula>E36&gt;0</formula>
    </cfRule>
  </conditionalFormatting>
  <conditionalFormatting sqref="C36">
    <cfRule type="expression" dxfId="2456" priority="2109">
      <formula>E36&gt;0</formula>
    </cfRule>
  </conditionalFormatting>
  <conditionalFormatting sqref="C36">
    <cfRule type="expression" dxfId="2455" priority="2108">
      <formula>E36&gt;0</formula>
    </cfRule>
  </conditionalFormatting>
  <conditionalFormatting sqref="C36">
    <cfRule type="expression" dxfId="2454" priority="2107">
      <formula>E36&gt;0</formula>
    </cfRule>
  </conditionalFormatting>
  <conditionalFormatting sqref="C36">
    <cfRule type="expression" dxfId="2453" priority="2106">
      <formula>E36&gt;0</formula>
    </cfRule>
  </conditionalFormatting>
  <conditionalFormatting sqref="C36">
    <cfRule type="expression" dxfId="2452" priority="2105">
      <formula>E36&gt;0</formula>
    </cfRule>
  </conditionalFormatting>
  <conditionalFormatting sqref="C36">
    <cfRule type="expression" dxfId="2451" priority="2104">
      <formula>E36&gt;0</formula>
    </cfRule>
  </conditionalFormatting>
  <conditionalFormatting sqref="C36">
    <cfRule type="expression" dxfId="2450" priority="2103">
      <formula>E36&gt;0</formula>
    </cfRule>
  </conditionalFormatting>
  <conditionalFormatting sqref="C36">
    <cfRule type="expression" dxfId="2449" priority="2102">
      <formula>E36&gt;0</formula>
    </cfRule>
  </conditionalFormatting>
  <conditionalFormatting sqref="C36">
    <cfRule type="expression" dxfId="2448" priority="2101">
      <formula>E36&gt;0</formula>
    </cfRule>
  </conditionalFormatting>
  <conditionalFormatting sqref="C36">
    <cfRule type="expression" dxfId="2447" priority="2100">
      <formula>E36&gt;0</formula>
    </cfRule>
  </conditionalFormatting>
  <conditionalFormatting sqref="C36">
    <cfRule type="expression" dxfId="2446" priority="2099">
      <formula>E36&gt;0</formula>
    </cfRule>
  </conditionalFormatting>
  <conditionalFormatting sqref="C36">
    <cfRule type="expression" dxfId="2445" priority="2098">
      <formula>E36&gt;0</formula>
    </cfRule>
  </conditionalFormatting>
  <conditionalFormatting sqref="C36">
    <cfRule type="expression" dxfId="2444" priority="2097">
      <formula>E36&gt;0</formula>
    </cfRule>
  </conditionalFormatting>
  <conditionalFormatting sqref="C36">
    <cfRule type="expression" dxfId="2443" priority="2096">
      <formula>E36&gt;0</formula>
    </cfRule>
  </conditionalFormatting>
  <conditionalFormatting sqref="C36">
    <cfRule type="expression" dxfId="2442" priority="2095">
      <formula>E36&gt;0</formula>
    </cfRule>
  </conditionalFormatting>
  <conditionalFormatting sqref="C36">
    <cfRule type="expression" dxfId="2441" priority="2094">
      <formula>E36&gt;0</formula>
    </cfRule>
  </conditionalFormatting>
  <conditionalFormatting sqref="C36">
    <cfRule type="expression" dxfId="2440" priority="2093">
      <formula>E36&gt;0</formula>
    </cfRule>
  </conditionalFormatting>
  <conditionalFormatting sqref="C36">
    <cfRule type="expression" dxfId="2439" priority="2092">
      <formula>E36&gt;0</formula>
    </cfRule>
  </conditionalFormatting>
  <conditionalFormatting sqref="C36">
    <cfRule type="expression" dxfId="2438" priority="2091">
      <formula>E36&gt;0</formula>
    </cfRule>
  </conditionalFormatting>
  <conditionalFormatting sqref="C36">
    <cfRule type="expression" dxfId="2437" priority="2090">
      <formula>E36&gt;0</formula>
    </cfRule>
  </conditionalFormatting>
  <conditionalFormatting sqref="C36">
    <cfRule type="expression" dxfId="2436" priority="2089">
      <formula>E36&gt;0</formula>
    </cfRule>
  </conditionalFormatting>
  <conditionalFormatting sqref="C36">
    <cfRule type="expression" dxfId="2435" priority="2088">
      <formula>E36&gt;0</formula>
    </cfRule>
  </conditionalFormatting>
  <conditionalFormatting sqref="C36">
    <cfRule type="expression" dxfId="2434" priority="2087">
      <formula>E36&gt;0</formula>
    </cfRule>
  </conditionalFormatting>
  <conditionalFormatting sqref="C36">
    <cfRule type="expression" dxfId="2433" priority="2086">
      <formula>E36&gt;0</formula>
    </cfRule>
  </conditionalFormatting>
  <conditionalFormatting sqref="C36">
    <cfRule type="expression" dxfId="2432" priority="2085">
      <formula>E36&gt;0</formula>
    </cfRule>
  </conditionalFormatting>
  <conditionalFormatting sqref="C36">
    <cfRule type="expression" dxfId="2431" priority="2084">
      <formula>E36&gt;0</formula>
    </cfRule>
  </conditionalFormatting>
  <conditionalFormatting sqref="C36">
    <cfRule type="expression" dxfId="2430" priority="2083">
      <formula>E36&gt;0</formula>
    </cfRule>
  </conditionalFormatting>
  <conditionalFormatting sqref="C36">
    <cfRule type="expression" dxfId="2429" priority="2082">
      <formula>E36&gt;0</formula>
    </cfRule>
  </conditionalFormatting>
  <conditionalFormatting sqref="C36">
    <cfRule type="expression" dxfId="2428" priority="2081">
      <formula>E36&gt;0</formula>
    </cfRule>
  </conditionalFormatting>
  <conditionalFormatting sqref="C36">
    <cfRule type="expression" dxfId="2427" priority="2080">
      <formula>E36&gt;0</formula>
    </cfRule>
  </conditionalFormatting>
  <conditionalFormatting sqref="C36">
    <cfRule type="expression" dxfId="2426" priority="2079">
      <formula>E36&gt;0</formula>
    </cfRule>
  </conditionalFormatting>
  <conditionalFormatting sqref="C36">
    <cfRule type="expression" dxfId="2425" priority="2078">
      <formula>E36&gt;0</formula>
    </cfRule>
  </conditionalFormatting>
  <conditionalFormatting sqref="C36">
    <cfRule type="expression" dxfId="2424" priority="2077">
      <formula>E36&gt;0</formula>
    </cfRule>
  </conditionalFormatting>
  <conditionalFormatting sqref="C36">
    <cfRule type="expression" dxfId="2423" priority="2076">
      <formula>E36&gt;0</formula>
    </cfRule>
  </conditionalFormatting>
  <conditionalFormatting sqref="C36">
    <cfRule type="expression" dxfId="2422" priority="2075">
      <formula>E36&gt;0</formula>
    </cfRule>
  </conditionalFormatting>
  <conditionalFormatting sqref="C36">
    <cfRule type="expression" dxfId="2421" priority="2074">
      <formula>E36&gt;0</formula>
    </cfRule>
  </conditionalFormatting>
  <conditionalFormatting sqref="C36">
    <cfRule type="expression" dxfId="2420" priority="2073">
      <formula>E36&gt;0</formula>
    </cfRule>
  </conditionalFormatting>
  <conditionalFormatting sqref="C36">
    <cfRule type="expression" dxfId="2419" priority="2072">
      <formula>E36&gt;0</formula>
    </cfRule>
  </conditionalFormatting>
  <conditionalFormatting sqref="C36">
    <cfRule type="expression" dxfId="2418" priority="2071">
      <formula>E36&gt;0</formula>
    </cfRule>
  </conditionalFormatting>
  <conditionalFormatting sqref="C36">
    <cfRule type="expression" dxfId="2417" priority="2070">
      <formula>E36&gt;0</formula>
    </cfRule>
  </conditionalFormatting>
  <conditionalFormatting sqref="C36">
    <cfRule type="expression" dxfId="2416" priority="2069">
      <formula>E36&gt;0</formula>
    </cfRule>
  </conditionalFormatting>
  <conditionalFormatting sqref="C36">
    <cfRule type="expression" dxfId="2415" priority="2068">
      <formula>E36&gt;0</formula>
    </cfRule>
  </conditionalFormatting>
  <conditionalFormatting sqref="C36">
    <cfRule type="expression" dxfId="2414" priority="2067">
      <formula>E36&gt;0</formula>
    </cfRule>
  </conditionalFormatting>
  <conditionalFormatting sqref="C36">
    <cfRule type="expression" dxfId="2413" priority="2066">
      <formula>E36&gt;0</formula>
    </cfRule>
  </conditionalFormatting>
  <conditionalFormatting sqref="C36">
    <cfRule type="expression" dxfId="2412" priority="2065">
      <formula>E36&gt;0</formula>
    </cfRule>
  </conditionalFormatting>
  <conditionalFormatting sqref="C36">
    <cfRule type="expression" dxfId="2411" priority="2064">
      <formula>E36&gt;0</formula>
    </cfRule>
  </conditionalFormatting>
  <conditionalFormatting sqref="C36">
    <cfRule type="expression" dxfId="2410" priority="2063">
      <formula>E36&gt;0</formula>
    </cfRule>
  </conditionalFormatting>
  <conditionalFormatting sqref="C36">
    <cfRule type="expression" dxfId="2409" priority="2062">
      <formula>E36&gt;0</formula>
    </cfRule>
  </conditionalFormatting>
  <conditionalFormatting sqref="C36">
    <cfRule type="expression" dxfId="2408" priority="2061">
      <formula>E36&gt;0</formula>
    </cfRule>
  </conditionalFormatting>
  <conditionalFormatting sqref="C36">
    <cfRule type="expression" dxfId="2407" priority="2060">
      <formula>E36&gt;0</formula>
    </cfRule>
  </conditionalFormatting>
  <conditionalFormatting sqref="C36">
    <cfRule type="expression" dxfId="2406" priority="2059">
      <formula>E36&gt;0</formula>
    </cfRule>
  </conditionalFormatting>
  <conditionalFormatting sqref="C36">
    <cfRule type="expression" dxfId="2405" priority="2058">
      <formula>E36&gt;0</formula>
    </cfRule>
  </conditionalFormatting>
  <conditionalFormatting sqref="C36">
    <cfRule type="expression" dxfId="2404" priority="2057">
      <formula>E36&gt;0</formula>
    </cfRule>
  </conditionalFormatting>
  <conditionalFormatting sqref="C36">
    <cfRule type="expression" dxfId="2403" priority="2056">
      <formula>E36&gt;0</formula>
    </cfRule>
  </conditionalFormatting>
  <conditionalFormatting sqref="C36">
    <cfRule type="expression" dxfId="2402" priority="2055">
      <formula>E36&gt;0</formula>
    </cfRule>
  </conditionalFormatting>
  <conditionalFormatting sqref="C36">
    <cfRule type="expression" dxfId="2401" priority="2054">
      <formula>E36&gt;0</formula>
    </cfRule>
  </conditionalFormatting>
  <conditionalFormatting sqref="C36">
    <cfRule type="expression" dxfId="2400" priority="2053">
      <formula>E36&gt;0</formula>
    </cfRule>
  </conditionalFormatting>
  <conditionalFormatting sqref="C36">
    <cfRule type="expression" dxfId="2399" priority="2052">
      <formula>E36&gt;0</formula>
    </cfRule>
  </conditionalFormatting>
  <conditionalFormatting sqref="C36">
    <cfRule type="expression" dxfId="2398" priority="2051">
      <formula>E36&gt;0</formula>
    </cfRule>
  </conditionalFormatting>
  <conditionalFormatting sqref="C36">
    <cfRule type="expression" dxfId="2397" priority="2050">
      <formula>E36&gt;0</formula>
    </cfRule>
  </conditionalFormatting>
  <conditionalFormatting sqref="C36">
    <cfRule type="expression" dxfId="2396" priority="2049">
      <formula>E36&gt;0</formula>
    </cfRule>
  </conditionalFormatting>
  <conditionalFormatting sqref="C36">
    <cfRule type="expression" dxfId="2395" priority="2048">
      <formula>E36&gt;0</formula>
    </cfRule>
  </conditionalFormatting>
  <conditionalFormatting sqref="C36">
    <cfRule type="expression" dxfId="2394" priority="2047">
      <formula>E36&gt;0</formula>
    </cfRule>
  </conditionalFormatting>
  <conditionalFormatting sqref="C36">
    <cfRule type="expression" dxfId="2393" priority="2046">
      <formula>E36&gt;0</formula>
    </cfRule>
  </conditionalFormatting>
  <conditionalFormatting sqref="C36">
    <cfRule type="expression" dxfId="2392" priority="2045">
      <formula>E36&gt;0</formula>
    </cfRule>
  </conditionalFormatting>
  <conditionalFormatting sqref="C36">
    <cfRule type="expression" dxfId="2391" priority="2044">
      <formula>E36&gt;0</formula>
    </cfRule>
  </conditionalFormatting>
  <conditionalFormatting sqref="C36">
    <cfRule type="expression" dxfId="2390" priority="2043">
      <formula>E36&gt;0</formula>
    </cfRule>
  </conditionalFormatting>
  <conditionalFormatting sqref="C36">
    <cfRule type="expression" dxfId="2389" priority="2042">
      <formula>E36&gt;0</formula>
    </cfRule>
  </conditionalFormatting>
  <conditionalFormatting sqref="C36">
    <cfRule type="expression" dxfId="2388" priority="2041">
      <formula>E36&gt;0</formula>
    </cfRule>
  </conditionalFormatting>
  <conditionalFormatting sqref="C36">
    <cfRule type="expression" dxfId="2387" priority="2040">
      <formula>E36&gt;0</formula>
    </cfRule>
  </conditionalFormatting>
  <conditionalFormatting sqref="C36">
    <cfRule type="expression" dxfId="2386" priority="2039">
      <formula>E36&gt;0</formula>
    </cfRule>
  </conditionalFormatting>
  <conditionalFormatting sqref="C36">
    <cfRule type="expression" dxfId="2385" priority="2038">
      <formula>E36&gt;0</formula>
    </cfRule>
  </conditionalFormatting>
  <conditionalFormatting sqref="C36">
    <cfRule type="expression" dxfId="2384" priority="2037">
      <formula>E36&gt;0</formula>
    </cfRule>
  </conditionalFormatting>
  <conditionalFormatting sqref="C36">
    <cfRule type="expression" dxfId="2383" priority="2036">
      <formula>E36&gt;0</formula>
    </cfRule>
  </conditionalFormatting>
  <conditionalFormatting sqref="C36">
    <cfRule type="expression" dxfId="2382" priority="2035">
      <formula>E36&gt;0</formula>
    </cfRule>
  </conditionalFormatting>
  <conditionalFormatting sqref="C36">
    <cfRule type="expression" dxfId="2381" priority="2034">
      <formula>E36&gt;0</formula>
    </cfRule>
  </conditionalFormatting>
  <conditionalFormatting sqref="C36">
    <cfRule type="expression" dxfId="2380" priority="2033">
      <formula>E36&gt;0</formula>
    </cfRule>
  </conditionalFormatting>
  <conditionalFormatting sqref="C36">
    <cfRule type="expression" dxfId="2379" priority="2032">
      <formula>E36&gt;0</formula>
    </cfRule>
  </conditionalFormatting>
  <conditionalFormatting sqref="C36">
    <cfRule type="expression" dxfId="2378" priority="2031">
      <formula>E36&gt;0</formula>
    </cfRule>
  </conditionalFormatting>
  <conditionalFormatting sqref="C36">
    <cfRule type="expression" dxfId="2377" priority="2030">
      <formula>E36&gt;0</formula>
    </cfRule>
  </conditionalFormatting>
  <conditionalFormatting sqref="C36">
    <cfRule type="expression" dxfId="2376" priority="2029">
      <formula>E36&gt;0</formula>
    </cfRule>
  </conditionalFormatting>
  <conditionalFormatting sqref="C36">
    <cfRule type="expression" dxfId="2375" priority="2028">
      <formula>E36&gt;0</formula>
    </cfRule>
  </conditionalFormatting>
  <conditionalFormatting sqref="C36">
    <cfRule type="expression" dxfId="2374" priority="2027">
      <formula>E36&gt;0</formula>
    </cfRule>
  </conditionalFormatting>
  <conditionalFormatting sqref="C36">
    <cfRule type="expression" dxfId="2373" priority="2026">
      <formula>E36&gt;0</formula>
    </cfRule>
  </conditionalFormatting>
  <conditionalFormatting sqref="C36">
    <cfRule type="expression" dxfId="2372" priority="2025">
      <formula>E36&gt;0</formula>
    </cfRule>
  </conditionalFormatting>
  <conditionalFormatting sqref="C36">
    <cfRule type="expression" dxfId="2371" priority="2024">
      <formula>E36&gt;0</formula>
    </cfRule>
  </conditionalFormatting>
  <conditionalFormatting sqref="C36">
    <cfRule type="expression" dxfId="2370" priority="2023">
      <formula>E36&gt;0</formula>
    </cfRule>
  </conditionalFormatting>
  <conditionalFormatting sqref="C36">
    <cfRule type="expression" dxfId="2369" priority="2022">
      <formula>E36&gt;0</formula>
    </cfRule>
  </conditionalFormatting>
  <conditionalFormatting sqref="C36">
    <cfRule type="expression" dxfId="2368" priority="2021">
      <formula>E36&gt;0</formula>
    </cfRule>
  </conditionalFormatting>
  <conditionalFormatting sqref="C36">
    <cfRule type="expression" dxfId="2367" priority="2020">
      <formula>E36&gt;0</formula>
    </cfRule>
  </conditionalFormatting>
  <conditionalFormatting sqref="C36">
    <cfRule type="expression" dxfId="2366" priority="2019">
      <formula>E36&gt;0</formula>
    </cfRule>
  </conditionalFormatting>
  <conditionalFormatting sqref="C36">
    <cfRule type="expression" dxfId="2365" priority="2018">
      <formula>E36&gt;0</formula>
    </cfRule>
  </conditionalFormatting>
  <conditionalFormatting sqref="C36">
    <cfRule type="expression" dxfId="2364" priority="2017">
      <formula>E36&gt;0</formula>
    </cfRule>
  </conditionalFormatting>
  <conditionalFormatting sqref="C36">
    <cfRule type="expression" dxfId="2363" priority="2016">
      <formula>E36&gt;0</formula>
    </cfRule>
  </conditionalFormatting>
  <conditionalFormatting sqref="C36">
    <cfRule type="expression" dxfId="2362" priority="2015">
      <formula>E36&gt;0</formula>
    </cfRule>
  </conditionalFormatting>
  <conditionalFormatting sqref="C36">
    <cfRule type="expression" dxfId="2361" priority="2014">
      <formula>E36&gt;0</formula>
    </cfRule>
  </conditionalFormatting>
  <conditionalFormatting sqref="C36">
    <cfRule type="expression" dxfId="2360" priority="2013">
      <formula>E36&gt;0</formula>
    </cfRule>
  </conditionalFormatting>
  <conditionalFormatting sqref="C36">
    <cfRule type="expression" dxfId="2359" priority="2012">
      <formula>E36&gt;0</formula>
    </cfRule>
  </conditionalFormatting>
  <conditionalFormatting sqref="C36">
    <cfRule type="expression" dxfId="2358" priority="2011">
      <formula>E36&gt;0</formula>
    </cfRule>
  </conditionalFormatting>
  <conditionalFormatting sqref="C36">
    <cfRule type="expression" dxfId="2357" priority="2010">
      <formula>E36&gt;0</formula>
    </cfRule>
  </conditionalFormatting>
  <conditionalFormatting sqref="C36">
    <cfRule type="expression" dxfId="2356" priority="2009">
      <formula>E36&gt;0</formula>
    </cfRule>
  </conditionalFormatting>
  <conditionalFormatting sqref="C36">
    <cfRule type="expression" dxfId="2355" priority="2008">
      <formula>E36&gt;0</formula>
    </cfRule>
  </conditionalFormatting>
  <conditionalFormatting sqref="C36">
    <cfRule type="expression" dxfId="2354" priority="2007">
      <formula>E36&gt;0</formula>
    </cfRule>
  </conditionalFormatting>
  <conditionalFormatting sqref="C36">
    <cfRule type="expression" dxfId="2353" priority="2006">
      <formula>E36&gt;0</formula>
    </cfRule>
  </conditionalFormatting>
  <conditionalFormatting sqref="C36">
    <cfRule type="expression" dxfId="2352" priority="2005">
      <formula>E36&gt;0</formula>
    </cfRule>
  </conditionalFormatting>
  <conditionalFormatting sqref="C36">
    <cfRule type="expression" dxfId="2351" priority="2004">
      <formula>E36&gt;0</formula>
    </cfRule>
  </conditionalFormatting>
  <conditionalFormatting sqref="C36">
    <cfRule type="expression" dxfId="2350" priority="2003">
      <formula>E36&gt;0</formula>
    </cfRule>
  </conditionalFormatting>
  <conditionalFormatting sqref="C36">
    <cfRule type="expression" dxfId="2349" priority="2002">
      <formula>E36&gt;0</formula>
    </cfRule>
  </conditionalFormatting>
  <conditionalFormatting sqref="C36">
    <cfRule type="expression" dxfId="2348" priority="2001">
      <formula>E36&gt;0</formula>
    </cfRule>
  </conditionalFormatting>
  <conditionalFormatting sqref="C36">
    <cfRule type="expression" dxfId="2347" priority="2000">
      <formula>E36&gt;0</formula>
    </cfRule>
  </conditionalFormatting>
  <conditionalFormatting sqref="C36">
    <cfRule type="expression" dxfId="2346" priority="1999">
      <formula>E36&gt;0</formula>
    </cfRule>
  </conditionalFormatting>
  <conditionalFormatting sqref="C36">
    <cfRule type="expression" dxfId="2345" priority="1998">
      <formula>E36&gt;0</formula>
    </cfRule>
  </conditionalFormatting>
  <conditionalFormatting sqref="C36">
    <cfRule type="expression" dxfId="2344" priority="1997">
      <formula>E36&gt;0</formula>
    </cfRule>
  </conditionalFormatting>
  <conditionalFormatting sqref="C36">
    <cfRule type="expression" dxfId="2343" priority="1996">
      <formula>E36&gt;0</formula>
    </cfRule>
  </conditionalFormatting>
  <conditionalFormatting sqref="C36">
    <cfRule type="expression" dxfId="2342" priority="1995">
      <formula>E36&gt;0</formula>
    </cfRule>
  </conditionalFormatting>
  <conditionalFormatting sqref="C36">
    <cfRule type="expression" dxfId="2341" priority="1994">
      <formula>E36&gt;0</formula>
    </cfRule>
  </conditionalFormatting>
  <conditionalFormatting sqref="C36">
    <cfRule type="expression" dxfId="2340" priority="1993">
      <formula>E36&gt;0</formula>
    </cfRule>
  </conditionalFormatting>
  <conditionalFormatting sqref="C36">
    <cfRule type="expression" dxfId="2339" priority="1992">
      <formula>E36&gt;0</formula>
    </cfRule>
  </conditionalFormatting>
  <conditionalFormatting sqref="C36">
    <cfRule type="expression" dxfId="2338" priority="1991">
      <formula>E36&gt;0</formula>
    </cfRule>
  </conditionalFormatting>
  <conditionalFormatting sqref="C36">
    <cfRule type="expression" dxfId="2337" priority="1990">
      <formula>E36&gt;0</formula>
    </cfRule>
  </conditionalFormatting>
  <conditionalFormatting sqref="C36">
    <cfRule type="expression" dxfId="2336" priority="1989">
      <formula>E36&gt;0</formula>
    </cfRule>
  </conditionalFormatting>
  <conditionalFormatting sqref="C36">
    <cfRule type="expression" dxfId="2335" priority="1988">
      <formula>E36&gt;0</formula>
    </cfRule>
  </conditionalFormatting>
  <conditionalFormatting sqref="C36">
    <cfRule type="expression" dxfId="2334" priority="1987">
      <formula>E36&gt;0</formula>
    </cfRule>
  </conditionalFormatting>
  <conditionalFormatting sqref="C36">
    <cfRule type="expression" dxfId="2333" priority="1986">
      <formula>E36&gt;0</formula>
    </cfRule>
  </conditionalFormatting>
  <conditionalFormatting sqref="C36">
    <cfRule type="expression" dxfId="2332" priority="1985">
      <formula>E36&gt;0</formula>
    </cfRule>
  </conditionalFormatting>
  <conditionalFormatting sqref="C36">
    <cfRule type="expression" dxfId="2331" priority="1984">
      <formula>E36&gt;0</formula>
    </cfRule>
  </conditionalFormatting>
  <conditionalFormatting sqref="C36">
    <cfRule type="expression" dxfId="2330" priority="1983">
      <formula>E36&gt;0</formula>
    </cfRule>
  </conditionalFormatting>
  <conditionalFormatting sqref="C36">
    <cfRule type="expression" dxfId="2329" priority="1982">
      <formula>E36&gt;0</formula>
    </cfRule>
  </conditionalFormatting>
  <conditionalFormatting sqref="C36">
    <cfRule type="expression" dxfId="2328" priority="1981">
      <formula>E36&gt;0</formula>
    </cfRule>
  </conditionalFormatting>
  <conditionalFormatting sqref="C36">
    <cfRule type="expression" dxfId="2327" priority="1980">
      <formula>E36&gt;0</formula>
    </cfRule>
  </conditionalFormatting>
  <conditionalFormatting sqref="C36">
    <cfRule type="expression" dxfId="2326" priority="1979">
      <formula>E36&gt;0</formula>
    </cfRule>
  </conditionalFormatting>
  <conditionalFormatting sqref="C36">
    <cfRule type="expression" dxfId="2325" priority="1978">
      <formula>E36&gt;0</formula>
    </cfRule>
  </conditionalFormatting>
  <conditionalFormatting sqref="C36">
    <cfRule type="expression" dxfId="2324" priority="1977">
      <formula>E36&gt;0</formula>
    </cfRule>
  </conditionalFormatting>
  <conditionalFormatting sqref="C36">
    <cfRule type="expression" dxfId="2323" priority="1976">
      <formula>E36&gt;0</formula>
    </cfRule>
  </conditionalFormatting>
  <conditionalFormatting sqref="C36">
    <cfRule type="expression" dxfId="2322" priority="1975">
      <formula>E36&gt;0</formula>
    </cfRule>
  </conditionalFormatting>
  <conditionalFormatting sqref="C36">
    <cfRule type="expression" dxfId="2321" priority="1974">
      <formula>E36&gt;0</formula>
    </cfRule>
  </conditionalFormatting>
  <conditionalFormatting sqref="C36">
    <cfRule type="expression" dxfId="2320" priority="1973">
      <formula>E36&gt;0</formula>
    </cfRule>
  </conditionalFormatting>
  <conditionalFormatting sqref="C36">
    <cfRule type="expression" dxfId="2319" priority="1972">
      <formula>E36&gt;0</formula>
    </cfRule>
  </conditionalFormatting>
  <conditionalFormatting sqref="C36">
    <cfRule type="expression" dxfId="2318" priority="1971">
      <formula>E36&gt;0</formula>
    </cfRule>
  </conditionalFormatting>
  <conditionalFormatting sqref="C36">
    <cfRule type="expression" dxfId="2317" priority="1970">
      <formula>E36&gt;0</formula>
    </cfRule>
  </conditionalFormatting>
  <conditionalFormatting sqref="C36">
    <cfRule type="expression" dxfId="2316" priority="1969">
      <formula>E36&gt;0</formula>
    </cfRule>
  </conditionalFormatting>
  <conditionalFormatting sqref="C36">
    <cfRule type="expression" dxfId="2315" priority="1968">
      <formula>E36&gt;0</formula>
    </cfRule>
  </conditionalFormatting>
  <conditionalFormatting sqref="C36">
    <cfRule type="expression" dxfId="2314" priority="1967">
      <formula>E36&gt;0</formula>
    </cfRule>
  </conditionalFormatting>
  <conditionalFormatting sqref="C36">
    <cfRule type="expression" dxfId="2313" priority="1966">
      <formula>E36&gt;0</formula>
    </cfRule>
  </conditionalFormatting>
  <conditionalFormatting sqref="C36">
    <cfRule type="expression" dxfId="2312" priority="1965">
      <formula>E36&gt;0</formula>
    </cfRule>
  </conditionalFormatting>
  <conditionalFormatting sqref="C36">
    <cfRule type="expression" dxfId="2311" priority="1964">
      <formula>E36&gt;0</formula>
    </cfRule>
  </conditionalFormatting>
  <conditionalFormatting sqref="C36">
    <cfRule type="expression" dxfId="2310" priority="1963">
      <formula>E36&gt;0</formula>
    </cfRule>
  </conditionalFormatting>
  <conditionalFormatting sqref="C36">
    <cfRule type="expression" dxfId="2309" priority="1962">
      <formula>E36&gt;0</formula>
    </cfRule>
  </conditionalFormatting>
  <conditionalFormatting sqref="C36">
    <cfRule type="expression" dxfId="2308" priority="1961">
      <formula>E36&gt;0</formula>
    </cfRule>
  </conditionalFormatting>
  <conditionalFormatting sqref="C36">
    <cfRule type="expression" dxfId="2307" priority="1960">
      <formula>E36&gt;0</formula>
    </cfRule>
  </conditionalFormatting>
  <conditionalFormatting sqref="C36">
    <cfRule type="expression" dxfId="2306" priority="1959">
      <formula>E36&gt;0</formula>
    </cfRule>
  </conditionalFormatting>
  <conditionalFormatting sqref="C36">
    <cfRule type="expression" dxfId="2305" priority="1958">
      <formula>E36&gt;0</formula>
    </cfRule>
  </conditionalFormatting>
  <conditionalFormatting sqref="C36">
    <cfRule type="expression" dxfId="2304" priority="1957">
      <formula>E36&gt;0</formula>
    </cfRule>
  </conditionalFormatting>
  <conditionalFormatting sqref="C36">
    <cfRule type="expression" dxfId="2303" priority="1956">
      <formula>E36&gt;0</formula>
    </cfRule>
  </conditionalFormatting>
  <conditionalFormatting sqref="C36">
    <cfRule type="expression" dxfId="2302" priority="1955">
      <formula>E36&gt;0</formula>
    </cfRule>
  </conditionalFormatting>
  <conditionalFormatting sqref="C36">
    <cfRule type="expression" dxfId="2301" priority="1954">
      <formula>E36&gt;0</formula>
    </cfRule>
  </conditionalFormatting>
  <conditionalFormatting sqref="C36">
    <cfRule type="expression" dxfId="2300" priority="1953">
      <formula>E36&gt;0</formula>
    </cfRule>
  </conditionalFormatting>
  <conditionalFormatting sqref="C36">
    <cfRule type="expression" dxfId="2299" priority="1952">
      <formula>E36&gt;0</formula>
    </cfRule>
  </conditionalFormatting>
  <conditionalFormatting sqref="C36">
    <cfRule type="expression" dxfId="2298" priority="1951">
      <formula>E36&gt;0</formula>
    </cfRule>
  </conditionalFormatting>
  <conditionalFormatting sqref="C36">
    <cfRule type="expression" dxfId="2297" priority="1950">
      <formula>E36&gt;0</formula>
    </cfRule>
  </conditionalFormatting>
  <conditionalFormatting sqref="C36">
    <cfRule type="expression" dxfId="2296" priority="1949">
      <formula>E36&gt;0</formula>
    </cfRule>
  </conditionalFormatting>
  <conditionalFormatting sqref="C36">
    <cfRule type="expression" dxfId="2295" priority="1948">
      <formula>E36&gt;0</formula>
    </cfRule>
  </conditionalFormatting>
  <conditionalFormatting sqref="C36">
    <cfRule type="expression" dxfId="2294" priority="1947">
      <formula>E36&gt;0</formula>
    </cfRule>
  </conditionalFormatting>
  <conditionalFormatting sqref="C36">
    <cfRule type="expression" dxfId="2293" priority="1946">
      <formula>E36&gt;0</formula>
    </cfRule>
  </conditionalFormatting>
  <conditionalFormatting sqref="C36">
    <cfRule type="expression" dxfId="2292" priority="1945">
      <formula>E36&gt;0</formula>
    </cfRule>
  </conditionalFormatting>
  <conditionalFormatting sqref="C36">
    <cfRule type="expression" dxfId="2291" priority="1944">
      <formula>E36&gt;0</formula>
    </cfRule>
  </conditionalFormatting>
  <conditionalFormatting sqref="C36">
    <cfRule type="expression" dxfId="2290" priority="1943">
      <formula>E36&gt;0</formula>
    </cfRule>
  </conditionalFormatting>
  <conditionalFormatting sqref="C36">
    <cfRule type="expression" dxfId="2289" priority="1942">
      <formula>E36&gt;0</formula>
    </cfRule>
  </conditionalFormatting>
  <conditionalFormatting sqref="C36">
    <cfRule type="expression" dxfId="2288" priority="1941">
      <formula>E36&gt;0</formula>
    </cfRule>
  </conditionalFormatting>
  <conditionalFormatting sqref="C36">
    <cfRule type="expression" dxfId="2287" priority="1940">
      <formula>E36&gt;0</formula>
    </cfRule>
  </conditionalFormatting>
  <conditionalFormatting sqref="C36">
    <cfRule type="expression" dxfId="2286" priority="1939">
      <formula>E36&gt;0</formula>
    </cfRule>
  </conditionalFormatting>
  <conditionalFormatting sqref="C36">
    <cfRule type="expression" dxfId="2285" priority="1938">
      <formula>E36&gt;0</formula>
    </cfRule>
  </conditionalFormatting>
  <conditionalFormatting sqref="C36">
    <cfRule type="expression" dxfId="2284" priority="1937">
      <formula>E36&gt;0</formula>
    </cfRule>
  </conditionalFormatting>
  <conditionalFormatting sqref="C36">
    <cfRule type="expression" dxfId="2283" priority="1936">
      <formula>E36&gt;0</formula>
    </cfRule>
  </conditionalFormatting>
  <conditionalFormatting sqref="C36">
    <cfRule type="expression" dxfId="2282" priority="1935">
      <formula>E36&gt;0</formula>
    </cfRule>
  </conditionalFormatting>
  <conditionalFormatting sqref="C36">
    <cfRule type="expression" dxfId="2281" priority="1934">
      <formula>E36&gt;0</formula>
    </cfRule>
  </conditionalFormatting>
  <conditionalFormatting sqref="C36">
    <cfRule type="expression" dxfId="2280" priority="1933">
      <formula>E36&gt;0</formula>
    </cfRule>
  </conditionalFormatting>
  <conditionalFormatting sqref="C36">
    <cfRule type="expression" dxfId="2279" priority="1932">
      <formula>E36&gt;0</formula>
    </cfRule>
  </conditionalFormatting>
  <conditionalFormatting sqref="C36">
    <cfRule type="expression" dxfId="2278" priority="1931">
      <formula>E36&gt;0</formula>
    </cfRule>
  </conditionalFormatting>
  <conditionalFormatting sqref="C36">
    <cfRule type="expression" dxfId="2277" priority="1930">
      <formula>E36&gt;0</formula>
    </cfRule>
  </conditionalFormatting>
  <conditionalFormatting sqref="C36">
    <cfRule type="expression" dxfId="2276" priority="1929">
      <formula>E36&gt;0</formula>
    </cfRule>
  </conditionalFormatting>
  <conditionalFormatting sqref="C36">
    <cfRule type="expression" dxfId="2275" priority="1928">
      <formula>E36&gt;0</formula>
    </cfRule>
  </conditionalFormatting>
  <conditionalFormatting sqref="C36">
    <cfRule type="expression" dxfId="2274" priority="1927">
      <formula>E36&gt;0</formula>
    </cfRule>
  </conditionalFormatting>
  <conditionalFormatting sqref="C36">
    <cfRule type="expression" dxfId="2273" priority="1926">
      <formula>E36&gt;0</formula>
    </cfRule>
  </conditionalFormatting>
  <conditionalFormatting sqref="C36">
    <cfRule type="expression" dxfId="2272" priority="1925">
      <formula>E36&gt;0</formula>
    </cfRule>
  </conditionalFormatting>
  <conditionalFormatting sqref="C36">
    <cfRule type="expression" dxfId="2271" priority="1924">
      <formula>E36&gt;0</formula>
    </cfRule>
  </conditionalFormatting>
  <conditionalFormatting sqref="C36">
    <cfRule type="expression" dxfId="2270" priority="1923">
      <formula>E36&gt;0</formula>
    </cfRule>
  </conditionalFormatting>
  <conditionalFormatting sqref="C36">
    <cfRule type="expression" dxfId="2269" priority="1922">
      <formula>E36&gt;0</formula>
    </cfRule>
  </conditionalFormatting>
  <conditionalFormatting sqref="C36">
    <cfRule type="expression" dxfId="2268" priority="1921">
      <formula>E36&gt;0</formula>
    </cfRule>
  </conditionalFormatting>
  <conditionalFormatting sqref="C36">
    <cfRule type="expression" dxfId="2267" priority="1920">
      <formula>E36&gt;0</formula>
    </cfRule>
  </conditionalFormatting>
  <conditionalFormatting sqref="C36">
    <cfRule type="expression" dxfId="2266" priority="1919">
      <formula>E36&gt;0</formula>
    </cfRule>
  </conditionalFormatting>
  <conditionalFormatting sqref="C36">
    <cfRule type="expression" dxfId="2265" priority="1918">
      <formula>E36&gt;0</formula>
    </cfRule>
  </conditionalFormatting>
  <conditionalFormatting sqref="C36">
    <cfRule type="expression" dxfId="2264" priority="1917">
      <formula>E36&gt;0</formula>
    </cfRule>
  </conditionalFormatting>
  <conditionalFormatting sqref="C36">
    <cfRule type="expression" dxfId="2263" priority="1916">
      <formula>E36&gt;0</formula>
    </cfRule>
  </conditionalFormatting>
  <conditionalFormatting sqref="C36">
    <cfRule type="expression" dxfId="2262" priority="1915">
      <formula>E36&gt;0</formula>
    </cfRule>
  </conditionalFormatting>
  <conditionalFormatting sqref="C36">
    <cfRule type="expression" dxfId="2261" priority="1914">
      <formula>E36&gt;0</formula>
    </cfRule>
  </conditionalFormatting>
  <conditionalFormatting sqref="C36">
    <cfRule type="expression" dxfId="2260" priority="1913">
      <formula>E36&gt;0</formula>
    </cfRule>
  </conditionalFormatting>
  <conditionalFormatting sqref="C36">
    <cfRule type="expression" dxfId="2259" priority="1912">
      <formula>E36&gt;0</formula>
    </cfRule>
  </conditionalFormatting>
  <conditionalFormatting sqref="C36">
    <cfRule type="expression" dxfId="2258" priority="1911">
      <formula>E36&gt;0</formula>
    </cfRule>
  </conditionalFormatting>
  <conditionalFormatting sqref="C36">
    <cfRule type="expression" dxfId="2257" priority="1910">
      <formula>E36&gt;0</formula>
    </cfRule>
  </conditionalFormatting>
  <conditionalFormatting sqref="C36">
    <cfRule type="expression" dxfId="2256" priority="1909">
      <formula>E36&gt;0</formula>
    </cfRule>
  </conditionalFormatting>
  <conditionalFormatting sqref="C36">
    <cfRule type="expression" dxfId="2255" priority="1908">
      <formula>E36&gt;0</formula>
    </cfRule>
  </conditionalFormatting>
  <conditionalFormatting sqref="C36">
    <cfRule type="expression" dxfId="2254" priority="1907">
      <formula>E36&gt;0</formula>
    </cfRule>
  </conditionalFormatting>
  <conditionalFormatting sqref="C36">
    <cfRule type="expression" dxfId="2253" priority="1906">
      <formula>E36&gt;0</formula>
    </cfRule>
  </conditionalFormatting>
  <conditionalFormatting sqref="C36">
    <cfRule type="expression" dxfId="2252" priority="1905">
      <formula>E36&gt;0</formula>
    </cfRule>
  </conditionalFormatting>
  <conditionalFormatting sqref="C36">
    <cfRule type="expression" dxfId="2251" priority="1904">
      <formula>E36&gt;0</formula>
    </cfRule>
  </conditionalFormatting>
  <conditionalFormatting sqref="C36">
    <cfRule type="expression" dxfId="2250" priority="1903">
      <formula>E36&gt;0</formula>
    </cfRule>
  </conditionalFormatting>
  <conditionalFormatting sqref="C36">
    <cfRule type="expression" dxfId="2249" priority="1902">
      <formula>E36&gt;0</formula>
    </cfRule>
  </conditionalFormatting>
  <conditionalFormatting sqref="C36">
    <cfRule type="expression" dxfId="2248" priority="1901">
      <formula>E36&gt;0</formula>
    </cfRule>
  </conditionalFormatting>
  <conditionalFormatting sqref="C36">
    <cfRule type="expression" dxfId="2247" priority="1900">
      <formula>E36&gt;0</formula>
    </cfRule>
  </conditionalFormatting>
  <conditionalFormatting sqref="C36">
    <cfRule type="expression" dxfId="2246" priority="1899">
      <formula>E36&gt;0</formula>
    </cfRule>
  </conditionalFormatting>
  <conditionalFormatting sqref="C36">
    <cfRule type="expression" dxfId="2245" priority="1898">
      <formula>E36&gt;0</formula>
    </cfRule>
  </conditionalFormatting>
  <conditionalFormatting sqref="C36">
    <cfRule type="expression" dxfId="2244" priority="1897">
      <formula>E36&gt;0</formula>
    </cfRule>
  </conditionalFormatting>
  <conditionalFormatting sqref="C36">
    <cfRule type="expression" dxfId="2243" priority="1896">
      <formula>E36&gt;0</formula>
    </cfRule>
  </conditionalFormatting>
  <conditionalFormatting sqref="C36">
    <cfRule type="expression" dxfId="2242" priority="1895">
      <formula>E36&gt;0</formula>
    </cfRule>
  </conditionalFormatting>
  <conditionalFormatting sqref="C36">
    <cfRule type="expression" dxfId="2241" priority="1894">
      <formula>E36&gt;0</formula>
    </cfRule>
  </conditionalFormatting>
  <conditionalFormatting sqref="C36">
    <cfRule type="expression" dxfId="2240" priority="1893">
      <formula>E36&gt;0</formula>
    </cfRule>
  </conditionalFormatting>
  <conditionalFormatting sqref="C36">
    <cfRule type="expression" dxfId="2239" priority="1892">
      <formula>E36&gt;0</formula>
    </cfRule>
  </conditionalFormatting>
  <conditionalFormatting sqref="C36">
    <cfRule type="expression" dxfId="2238" priority="1891">
      <formula>E36&gt;0</formula>
    </cfRule>
  </conditionalFormatting>
  <conditionalFormatting sqref="C36">
    <cfRule type="expression" dxfId="2237" priority="1890">
      <formula>E36&gt;0</formula>
    </cfRule>
  </conditionalFormatting>
  <conditionalFormatting sqref="C36">
    <cfRule type="expression" dxfId="2236" priority="1889">
      <formula>E36&gt;0</formula>
    </cfRule>
  </conditionalFormatting>
  <conditionalFormatting sqref="C36">
    <cfRule type="expression" dxfId="2235" priority="1888">
      <formula>E36&gt;0</formula>
    </cfRule>
  </conditionalFormatting>
  <conditionalFormatting sqref="C36">
    <cfRule type="expression" dxfId="2234" priority="1887">
      <formula>E36&gt;0</formula>
    </cfRule>
  </conditionalFormatting>
  <conditionalFormatting sqref="C36">
    <cfRule type="expression" dxfId="2233" priority="1886">
      <formula>E36&gt;0</formula>
    </cfRule>
  </conditionalFormatting>
  <conditionalFormatting sqref="C36">
    <cfRule type="expression" dxfId="2232" priority="1885">
      <formula>E36&gt;0</formula>
    </cfRule>
  </conditionalFormatting>
  <conditionalFormatting sqref="C36">
    <cfRule type="expression" dxfId="2231" priority="1884">
      <formula>E36&gt;0</formula>
    </cfRule>
  </conditionalFormatting>
  <conditionalFormatting sqref="C36">
    <cfRule type="expression" dxfId="2230" priority="1883">
      <formula>E36&gt;0</formula>
    </cfRule>
  </conditionalFormatting>
  <conditionalFormatting sqref="C33">
    <cfRule type="expression" dxfId="2229" priority="1882">
      <formula>E33&gt;0</formula>
    </cfRule>
  </conditionalFormatting>
  <conditionalFormatting sqref="C33">
    <cfRule type="expression" dxfId="2228" priority="1881">
      <formula>E33&gt;0</formula>
    </cfRule>
  </conditionalFormatting>
  <conditionalFormatting sqref="C33">
    <cfRule type="expression" dxfId="2227" priority="1880">
      <formula>E33&gt;0</formula>
    </cfRule>
  </conditionalFormatting>
  <conditionalFormatting sqref="C33">
    <cfRule type="expression" dxfId="2226" priority="1879">
      <formula>E33&gt;0</formula>
    </cfRule>
  </conditionalFormatting>
  <conditionalFormatting sqref="C33">
    <cfRule type="expression" dxfId="2225" priority="1878">
      <formula>E33&gt;0</formula>
    </cfRule>
  </conditionalFormatting>
  <conditionalFormatting sqref="C33">
    <cfRule type="expression" dxfId="2224" priority="1877">
      <formula>E33&gt;0</formula>
    </cfRule>
  </conditionalFormatting>
  <conditionalFormatting sqref="C33">
    <cfRule type="expression" dxfId="2223" priority="1876">
      <formula>E33&gt;0</formula>
    </cfRule>
  </conditionalFormatting>
  <conditionalFormatting sqref="C33">
    <cfRule type="expression" dxfId="2222" priority="1875">
      <formula>E33&gt;0</formula>
    </cfRule>
  </conditionalFormatting>
  <conditionalFormatting sqref="C33">
    <cfRule type="expression" dxfId="2221" priority="1874">
      <formula>E33&gt;0</formula>
    </cfRule>
  </conditionalFormatting>
  <conditionalFormatting sqref="C33">
    <cfRule type="expression" dxfId="2220" priority="1873">
      <formula>E33&gt;0</formula>
    </cfRule>
  </conditionalFormatting>
  <conditionalFormatting sqref="C33">
    <cfRule type="expression" dxfId="2219" priority="1872">
      <formula>E33&gt;0</formula>
    </cfRule>
  </conditionalFormatting>
  <conditionalFormatting sqref="C33">
    <cfRule type="expression" dxfId="2218" priority="1871">
      <formula>E33&gt;0</formula>
    </cfRule>
  </conditionalFormatting>
  <conditionalFormatting sqref="C33">
    <cfRule type="expression" dxfId="2217" priority="1870">
      <formula>E33&gt;0</formula>
    </cfRule>
  </conditionalFormatting>
  <conditionalFormatting sqref="C33">
    <cfRule type="expression" dxfId="2216" priority="1869">
      <formula>E33&gt;0</formula>
    </cfRule>
  </conditionalFormatting>
  <conditionalFormatting sqref="C33">
    <cfRule type="expression" dxfId="2215" priority="1868">
      <formula>E33&gt;0</formula>
    </cfRule>
  </conditionalFormatting>
  <conditionalFormatting sqref="C33">
    <cfRule type="expression" dxfId="2214" priority="1867">
      <formula>E33&gt;0</formula>
    </cfRule>
  </conditionalFormatting>
  <conditionalFormatting sqref="C33">
    <cfRule type="expression" dxfId="2213" priority="1866">
      <formula>E33&gt;0</formula>
    </cfRule>
  </conditionalFormatting>
  <conditionalFormatting sqref="C33">
    <cfRule type="expression" dxfId="2212" priority="1865">
      <formula>E33&gt;0</formula>
    </cfRule>
  </conditionalFormatting>
  <conditionalFormatting sqref="C33">
    <cfRule type="expression" dxfId="2211" priority="1864">
      <formula>E33&gt;0</formula>
    </cfRule>
  </conditionalFormatting>
  <conditionalFormatting sqref="C33">
    <cfRule type="expression" dxfId="2210" priority="1863">
      <formula>E33&gt;0</formula>
    </cfRule>
  </conditionalFormatting>
  <conditionalFormatting sqref="C33">
    <cfRule type="expression" dxfId="2209" priority="1862">
      <formula>E33&gt;0</formula>
    </cfRule>
  </conditionalFormatting>
  <conditionalFormatting sqref="C33">
    <cfRule type="expression" dxfId="2208" priority="1861">
      <formula>E33&gt;0</formula>
    </cfRule>
  </conditionalFormatting>
  <conditionalFormatting sqref="C33">
    <cfRule type="expression" dxfId="2207" priority="1860">
      <formula>E33&gt;0</formula>
    </cfRule>
  </conditionalFormatting>
  <conditionalFormatting sqref="C33">
    <cfRule type="expression" dxfId="2206" priority="1859">
      <formula>E33&gt;0</formula>
    </cfRule>
  </conditionalFormatting>
  <conditionalFormatting sqref="C33">
    <cfRule type="expression" dxfId="2205" priority="1858">
      <formula>E33&gt;0</formula>
    </cfRule>
  </conditionalFormatting>
  <conditionalFormatting sqref="C33">
    <cfRule type="expression" dxfId="2204" priority="1857">
      <formula>E33&gt;0</formula>
    </cfRule>
  </conditionalFormatting>
  <conditionalFormatting sqref="C33">
    <cfRule type="expression" dxfId="2203" priority="1856">
      <formula>E33&gt;0</formula>
    </cfRule>
  </conditionalFormatting>
  <conditionalFormatting sqref="C33">
    <cfRule type="expression" dxfId="2202" priority="1855">
      <formula>E33&gt;0</formula>
    </cfRule>
  </conditionalFormatting>
  <conditionalFormatting sqref="C33">
    <cfRule type="expression" dxfId="2201" priority="1854">
      <formula>E33&gt;0</formula>
    </cfRule>
  </conditionalFormatting>
  <conditionalFormatting sqref="C33">
    <cfRule type="expression" dxfId="2200" priority="1853">
      <formula>E33&gt;0</formula>
    </cfRule>
  </conditionalFormatting>
  <conditionalFormatting sqref="C33">
    <cfRule type="expression" dxfId="2199" priority="1852">
      <formula>E33&gt;0</formula>
    </cfRule>
  </conditionalFormatting>
  <conditionalFormatting sqref="C33">
    <cfRule type="expression" dxfId="2198" priority="1851">
      <formula>E33&gt;0</formula>
    </cfRule>
  </conditionalFormatting>
  <conditionalFormatting sqref="C33">
    <cfRule type="expression" dxfId="2197" priority="1850">
      <formula>E33&gt;0</formula>
    </cfRule>
  </conditionalFormatting>
  <conditionalFormatting sqref="C33">
    <cfRule type="expression" dxfId="2196" priority="1849">
      <formula>E33&gt;0</formula>
    </cfRule>
  </conditionalFormatting>
  <conditionalFormatting sqref="C33">
    <cfRule type="expression" dxfId="2195" priority="1848">
      <formula>E33&gt;0</formula>
    </cfRule>
  </conditionalFormatting>
  <conditionalFormatting sqref="C33">
    <cfRule type="expression" dxfId="2194" priority="1847">
      <formula>E33&gt;0</formula>
    </cfRule>
  </conditionalFormatting>
  <conditionalFormatting sqref="C33">
    <cfRule type="expression" dxfId="2193" priority="1846">
      <formula>E33&gt;0</formula>
    </cfRule>
  </conditionalFormatting>
  <conditionalFormatting sqref="C33">
    <cfRule type="expression" dxfId="2192" priority="1845">
      <formula>E33&gt;0</formula>
    </cfRule>
  </conditionalFormatting>
  <conditionalFormatting sqref="C33">
    <cfRule type="expression" dxfId="2191" priority="1844">
      <formula>E33&gt;0</formula>
    </cfRule>
  </conditionalFormatting>
  <conditionalFormatting sqref="C33">
    <cfRule type="expression" dxfId="2190" priority="1843">
      <formula>E33&gt;0</formula>
    </cfRule>
  </conditionalFormatting>
  <conditionalFormatting sqref="C33">
    <cfRule type="expression" dxfId="2189" priority="1842">
      <formula>E33&gt;0</formula>
    </cfRule>
  </conditionalFormatting>
  <conditionalFormatting sqref="C33">
    <cfRule type="expression" dxfId="2188" priority="1841">
      <formula>E33&gt;0</formula>
    </cfRule>
  </conditionalFormatting>
  <conditionalFormatting sqref="C33">
    <cfRule type="expression" dxfId="2187" priority="1840">
      <formula>E33&gt;0</formula>
    </cfRule>
  </conditionalFormatting>
  <conditionalFormatting sqref="C33">
    <cfRule type="expression" dxfId="2186" priority="1839">
      <formula>E33&gt;0</formula>
    </cfRule>
  </conditionalFormatting>
  <conditionalFormatting sqref="C33">
    <cfRule type="expression" dxfId="2185" priority="1838">
      <formula>E33&gt;0</formula>
    </cfRule>
  </conditionalFormatting>
  <conditionalFormatting sqref="C33">
    <cfRule type="expression" dxfId="2184" priority="1837">
      <formula>E33&gt;0</formula>
    </cfRule>
  </conditionalFormatting>
  <conditionalFormatting sqref="C33">
    <cfRule type="expression" dxfId="2183" priority="1836">
      <formula>E33&gt;0</formula>
    </cfRule>
  </conditionalFormatting>
  <conditionalFormatting sqref="C33">
    <cfRule type="expression" dxfId="2182" priority="1835">
      <formula>E33&gt;0</formula>
    </cfRule>
  </conditionalFormatting>
  <conditionalFormatting sqref="C33">
    <cfRule type="expression" dxfId="2181" priority="1834">
      <formula>E33&gt;0</formula>
    </cfRule>
  </conditionalFormatting>
  <conditionalFormatting sqref="C33">
    <cfRule type="expression" dxfId="2180" priority="1833">
      <formula>E33&gt;0</formula>
    </cfRule>
  </conditionalFormatting>
  <conditionalFormatting sqref="C33">
    <cfRule type="expression" dxfId="2179" priority="1832">
      <formula>E33&gt;0</formula>
    </cfRule>
  </conditionalFormatting>
  <conditionalFormatting sqref="C33">
    <cfRule type="expression" dxfId="2178" priority="1831">
      <formula>E33&gt;0</formula>
    </cfRule>
  </conditionalFormatting>
  <conditionalFormatting sqref="C33">
    <cfRule type="expression" dxfId="2177" priority="1830">
      <formula>E33&gt;0</formula>
    </cfRule>
  </conditionalFormatting>
  <conditionalFormatting sqref="C33">
    <cfRule type="expression" dxfId="2176" priority="1829">
      <formula>E33&gt;0</formula>
    </cfRule>
  </conditionalFormatting>
  <conditionalFormatting sqref="C33">
    <cfRule type="expression" dxfId="2175" priority="1828">
      <formula>E33&gt;0</formula>
    </cfRule>
  </conditionalFormatting>
  <conditionalFormatting sqref="C33">
    <cfRule type="expression" dxfId="2174" priority="1827">
      <formula>E33&gt;0</formula>
    </cfRule>
  </conditionalFormatting>
  <conditionalFormatting sqref="C33">
    <cfRule type="expression" dxfId="2173" priority="1826">
      <formula>E33&gt;0</formula>
    </cfRule>
  </conditionalFormatting>
  <conditionalFormatting sqref="C33">
    <cfRule type="expression" dxfId="2172" priority="1825">
      <formula>E33&gt;0</formula>
    </cfRule>
  </conditionalFormatting>
  <conditionalFormatting sqref="C33">
    <cfRule type="expression" dxfId="2171" priority="1824">
      <formula>E33&gt;0</formula>
    </cfRule>
  </conditionalFormatting>
  <conditionalFormatting sqref="C33">
    <cfRule type="expression" dxfId="2170" priority="1823">
      <formula>E33&gt;0</formula>
    </cfRule>
  </conditionalFormatting>
  <conditionalFormatting sqref="C33">
    <cfRule type="expression" dxfId="2169" priority="1822">
      <formula>E33&gt;0</formula>
    </cfRule>
  </conditionalFormatting>
  <conditionalFormatting sqref="C33">
    <cfRule type="expression" dxfId="2168" priority="1821">
      <formula>E33&gt;0</formula>
    </cfRule>
  </conditionalFormatting>
  <conditionalFormatting sqref="C33">
    <cfRule type="expression" dxfId="2167" priority="1820">
      <formula>E33&gt;0</formula>
    </cfRule>
  </conditionalFormatting>
  <conditionalFormatting sqref="C33">
    <cfRule type="expression" dxfId="2166" priority="1819">
      <formula>E33&gt;0</formula>
    </cfRule>
  </conditionalFormatting>
  <conditionalFormatting sqref="C33">
    <cfRule type="expression" dxfId="2165" priority="1818">
      <formula>E33&gt;0</formula>
    </cfRule>
  </conditionalFormatting>
  <conditionalFormatting sqref="C33">
    <cfRule type="expression" dxfId="2164" priority="1817">
      <formula>E33&gt;0</formula>
    </cfRule>
  </conditionalFormatting>
  <conditionalFormatting sqref="C33">
    <cfRule type="expression" dxfId="2163" priority="1816">
      <formula>E33&gt;0</formula>
    </cfRule>
  </conditionalFormatting>
  <conditionalFormatting sqref="C33">
    <cfRule type="expression" dxfId="2162" priority="1815">
      <formula>E33&gt;0</formula>
    </cfRule>
  </conditionalFormatting>
  <conditionalFormatting sqref="C33">
    <cfRule type="expression" dxfId="2161" priority="1814">
      <formula>E33&gt;0</formula>
    </cfRule>
  </conditionalFormatting>
  <conditionalFormatting sqref="C33">
    <cfRule type="expression" dxfId="2160" priority="1813">
      <formula>E33&gt;0</formula>
    </cfRule>
  </conditionalFormatting>
  <conditionalFormatting sqref="C33">
    <cfRule type="expression" dxfId="2159" priority="1812">
      <formula>E33&gt;0</formula>
    </cfRule>
  </conditionalFormatting>
  <conditionalFormatting sqref="C33">
    <cfRule type="expression" dxfId="2158" priority="1811">
      <formula>E33&gt;0</formula>
    </cfRule>
  </conditionalFormatting>
  <conditionalFormatting sqref="C33">
    <cfRule type="expression" dxfId="2157" priority="1810">
      <formula>E33&gt;0</formula>
    </cfRule>
  </conditionalFormatting>
  <conditionalFormatting sqref="C33">
    <cfRule type="expression" dxfId="2156" priority="1809">
      <formula>E33&gt;0</formula>
    </cfRule>
  </conditionalFormatting>
  <conditionalFormatting sqref="C33">
    <cfRule type="expression" dxfId="2155" priority="1808">
      <formula>E33&gt;0</formula>
    </cfRule>
  </conditionalFormatting>
  <conditionalFormatting sqref="C33">
    <cfRule type="expression" dxfId="2154" priority="1807">
      <formula>E33&gt;0</formula>
    </cfRule>
  </conditionalFormatting>
  <conditionalFormatting sqref="C33">
    <cfRule type="expression" dxfId="2153" priority="1806">
      <formula>E33&gt;0</formula>
    </cfRule>
  </conditionalFormatting>
  <conditionalFormatting sqref="C33">
    <cfRule type="expression" dxfId="2152" priority="1805">
      <formula>E33&gt;0</formula>
    </cfRule>
  </conditionalFormatting>
  <conditionalFormatting sqref="C33">
    <cfRule type="expression" dxfId="2151" priority="1804">
      <formula>E33&gt;0</formula>
    </cfRule>
  </conditionalFormatting>
  <conditionalFormatting sqref="C33">
    <cfRule type="expression" dxfId="2150" priority="1803">
      <formula>E33&gt;0</formula>
    </cfRule>
  </conditionalFormatting>
  <conditionalFormatting sqref="C33">
    <cfRule type="expression" dxfId="2149" priority="1802">
      <formula>E33&gt;0</formula>
    </cfRule>
  </conditionalFormatting>
  <conditionalFormatting sqref="C33">
    <cfRule type="expression" dxfId="2148" priority="1801">
      <formula>E33&gt;0</formula>
    </cfRule>
  </conditionalFormatting>
  <conditionalFormatting sqref="C33">
    <cfRule type="expression" dxfId="2147" priority="1800">
      <formula>E33&gt;0</formula>
    </cfRule>
  </conditionalFormatting>
  <conditionalFormatting sqref="C33">
    <cfRule type="expression" dxfId="2146" priority="1799">
      <formula>E33&gt;0</formula>
    </cfRule>
  </conditionalFormatting>
  <conditionalFormatting sqref="C33">
    <cfRule type="expression" dxfId="2145" priority="1798">
      <formula>E33&gt;0</formula>
    </cfRule>
  </conditionalFormatting>
  <conditionalFormatting sqref="C33">
    <cfRule type="expression" dxfId="2144" priority="1797">
      <formula>E33&gt;0</formula>
    </cfRule>
  </conditionalFormatting>
  <conditionalFormatting sqref="C33">
    <cfRule type="expression" dxfId="2143" priority="1796">
      <formula>E33&gt;0</formula>
    </cfRule>
  </conditionalFormatting>
  <conditionalFormatting sqref="C33">
    <cfRule type="expression" dxfId="2142" priority="1795">
      <formula>E33&gt;0</formula>
    </cfRule>
  </conditionalFormatting>
  <conditionalFormatting sqref="C33">
    <cfRule type="expression" dxfId="2141" priority="1794">
      <formula>E33&gt;0</formula>
    </cfRule>
  </conditionalFormatting>
  <conditionalFormatting sqref="C33">
    <cfRule type="expression" dxfId="2140" priority="1793">
      <formula>E33&gt;0</formula>
    </cfRule>
  </conditionalFormatting>
  <conditionalFormatting sqref="C33">
    <cfRule type="expression" dxfId="2139" priority="1792">
      <formula>E33&gt;0</formula>
    </cfRule>
  </conditionalFormatting>
  <conditionalFormatting sqref="C33">
    <cfRule type="expression" dxfId="2138" priority="1791">
      <formula>E33&gt;0</formula>
    </cfRule>
  </conditionalFormatting>
  <conditionalFormatting sqref="C33">
    <cfRule type="expression" dxfId="2137" priority="1790">
      <formula>E33&gt;0</formula>
    </cfRule>
  </conditionalFormatting>
  <conditionalFormatting sqref="C33">
    <cfRule type="expression" dxfId="2136" priority="1789">
      <formula>E33&gt;0</formula>
    </cfRule>
  </conditionalFormatting>
  <conditionalFormatting sqref="C33">
    <cfRule type="expression" dxfId="2135" priority="1788">
      <formula>E33&gt;0</formula>
    </cfRule>
  </conditionalFormatting>
  <conditionalFormatting sqref="C33">
    <cfRule type="expression" dxfId="2134" priority="1787">
      <formula>E33&gt;0</formula>
    </cfRule>
  </conditionalFormatting>
  <conditionalFormatting sqref="C33">
    <cfRule type="expression" dxfId="2133" priority="1786">
      <formula>E33&gt;0</formula>
    </cfRule>
  </conditionalFormatting>
  <conditionalFormatting sqref="C33">
    <cfRule type="expression" dxfId="2132" priority="1785">
      <formula>E33&gt;0</formula>
    </cfRule>
  </conditionalFormatting>
  <conditionalFormatting sqref="C33">
    <cfRule type="expression" dxfId="2131" priority="1784">
      <formula>E33&gt;0</formula>
    </cfRule>
  </conditionalFormatting>
  <conditionalFormatting sqref="C33">
    <cfRule type="expression" dxfId="2130" priority="1783">
      <formula>E33&gt;0</formula>
    </cfRule>
  </conditionalFormatting>
  <conditionalFormatting sqref="C33">
    <cfRule type="expression" dxfId="2129" priority="1782">
      <formula>E33&gt;0</formula>
    </cfRule>
  </conditionalFormatting>
  <conditionalFormatting sqref="C33">
    <cfRule type="expression" dxfId="2128" priority="1781">
      <formula>E33&gt;0</formula>
    </cfRule>
  </conditionalFormatting>
  <conditionalFormatting sqref="C33">
    <cfRule type="expression" dxfId="2127" priority="1780">
      <formula>E33&gt;0</formula>
    </cfRule>
  </conditionalFormatting>
  <conditionalFormatting sqref="C33">
    <cfRule type="expression" dxfId="2126" priority="1779">
      <formula>E33&gt;0</formula>
    </cfRule>
  </conditionalFormatting>
  <conditionalFormatting sqref="C33">
    <cfRule type="expression" dxfId="2125" priority="1778">
      <formula>E33&gt;0</formula>
    </cfRule>
  </conditionalFormatting>
  <conditionalFormatting sqref="C33">
    <cfRule type="expression" dxfId="2124" priority="1777">
      <formula>E33&gt;0</formula>
    </cfRule>
  </conditionalFormatting>
  <conditionalFormatting sqref="C33">
    <cfRule type="expression" dxfId="2123" priority="1776">
      <formula>E33&gt;0</formula>
    </cfRule>
  </conditionalFormatting>
  <conditionalFormatting sqref="C33">
    <cfRule type="expression" dxfId="2122" priority="1775">
      <formula>E33&gt;0</formula>
    </cfRule>
  </conditionalFormatting>
  <conditionalFormatting sqref="C33">
    <cfRule type="expression" dxfId="2121" priority="1774">
      <formula>E33&gt;0</formula>
    </cfRule>
  </conditionalFormatting>
  <conditionalFormatting sqref="C33">
    <cfRule type="expression" dxfId="2120" priority="1773">
      <formula>E33&gt;0</formula>
    </cfRule>
  </conditionalFormatting>
  <conditionalFormatting sqref="C33">
    <cfRule type="expression" dxfId="2119" priority="1772">
      <formula>E33&gt;0</formula>
    </cfRule>
  </conditionalFormatting>
  <conditionalFormatting sqref="C33">
    <cfRule type="expression" dxfId="2118" priority="1771">
      <formula>E33&gt;0</formula>
    </cfRule>
  </conditionalFormatting>
  <conditionalFormatting sqref="C33">
    <cfRule type="expression" dxfId="2117" priority="1770">
      <formula>E33&gt;0</formula>
    </cfRule>
  </conditionalFormatting>
  <conditionalFormatting sqref="C33">
    <cfRule type="expression" dxfId="2116" priority="1769">
      <formula>E33&gt;0</formula>
    </cfRule>
  </conditionalFormatting>
  <conditionalFormatting sqref="C33">
    <cfRule type="expression" dxfId="2115" priority="1768">
      <formula>E33&gt;0</formula>
    </cfRule>
  </conditionalFormatting>
  <conditionalFormatting sqref="C33">
    <cfRule type="expression" dxfId="2114" priority="1767">
      <formula>E33&gt;0</formula>
    </cfRule>
  </conditionalFormatting>
  <conditionalFormatting sqref="C33">
    <cfRule type="expression" dxfId="2113" priority="1766">
      <formula>E33&gt;0</formula>
    </cfRule>
  </conditionalFormatting>
  <conditionalFormatting sqref="C33">
    <cfRule type="expression" dxfId="2112" priority="1765">
      <formula>E33&gt;0</formula>
    </cfRule>
  </conditionalFormatting>
  <conditionalFormatting sqref="C33">
    <cfRule type="expression" dxfId="2111" priority="1764">
      <formula>E33&gt;0</formula>
    </cfRule>
  </conditionalFormatting>
  <conditionalFormatting sqref="C33">
    <cfRule type="expression" dxfId="2110" priority="1763">
      <formula>E33&gt;0</formula>
    </cfRule>
  </conditionalFormatting>
  <conditionalFormatting sqref="C33">
    <cfRule type="expression" dxfId="2109" priority="1762">
      <formula>E33&gt;0</formula>
    </cfRule>
  </conditionalFormatting>
  <conditionalFormatting sqref="C33">
    <cfRule type="expression" dxfId="2108" priority="1761">
      <formula>E33&gt;0</formula>
    </cfRule>
  </conditionalFormatting>
  <conditionalFormatting sqref="C33">
    <cfRule type="expression" dxfId="2107" priority="1760">
      <formula>E33&gt;0</formula>
    </cfRule>
  </conditionalFormatting>
  <conditionalFormatting sqref="C33">
    <cfRule type="expression" dxfId="2106" priority="1759">
      <formula>E33&gt;0</formula>
    </cfRule>
  </conditionalFormatting>
  <conditionalFormatting sqref="C33">
    <cfRule type="expression" dxfId="2105" priority="1758">
      <formula>E33&gt;0</formula>
    </cfRule>
  </conditionalFormatting>
  <conditionalFormatting sqref="C33">
    <cfRule type="expression" dxfId="2104" priority="1757">
      <formula>E33&gt;0</formula>
    </cfRule>
  </conditionalFormatting>
  <conditionalFormatting sqref="C33">
    <cfRule type="expression" dxfId="2103" priority="1756">
      <formula>E33&gt;0</formula>
    </cfRule>
  </conditionalFormatting>
  <conditionalFormatting sqref="C33">
    <cfRule type="expression" dxfId="2102" priority="1755">
      <formula>E33&gt;0</formula>
    </cfRule>
  </conditionalFormatting>
  <conditionalFormatting sqref="C33">
    <cfRule type="expression" dxfId="2101" priority="1754">
      <formula>E33&gt;0</formula>
    </cfRule>
  </conditionalFormatting>
  <conditionalFormatting sqref="C33">
    <cfRule type="expression" dxfId="2100" priority="1753">
      <formula>E33&gt;0</formula>
    </cfRule>
  </conditionalFormatting>
  <conditionalFormatting sqref="C33">
    <cfRule type="expression" dxfId="2099" priority="1752">
      <formula>E33&gt;0</formula>
    </cfRule>
  </conditionalFormatting>
  <conditionalFormatting sqref="C33">
    <cfRule type="expression" dxfId="2098" priority="1751">
      <formula>E33&gt;0</formula>
    </cfRule>
  </conditionalFormatting>
  <conditionalFormatting sqref="C33">
    <cfRule type="expression" dxfId="2097" priority="1750">
      <formula>E33&gt;0</formula>
    </cfRule>
  </conditionalFormatting>
  <conditionalFormatting sqref="C33">
    <cfRule type="expression" dxfId="2096" priority="1749">
      <formula>E33&gt;0</formula>
    </cfRule>
  </conditionalFormatting>
  <conditionalFormatting sqref="C33">
    <cfRule type="expression" dxfId="2095" priority="1748">
      <formula>E33&gt;0</formula>
    </cfRule>
  </conditionalFormatting>
  <conditionalFormatting sqref="C33">
    <cfRule type="expression" dxfId="2094" priority="1747">
      <formula>E33&gt;0</formula>
    </cfRule>
  </conditionalFormatting>
  <conditionalFormatting sqref="C33">
    <cfRule type="expression" dxfId="2093" priority="1746">
      <formula>E33&gt;0</formula>
    </cfRule>
  </conditionalFormatting>
  <conditionalFormatting sqref="C33">
    <cfRule type="expression" dxfId="2092" priority="1745">
      <formula>E33&gt;0</formula>
    </cfRule>
  </conditionalFormatting>
  <conditionalFormatting sqref="C33">
    <cfRule type="expression" dxfId="2091" priority="1744">
      <formula>E33&gt;0</formula>
    </cfRule>
  </conditionalFormatting>
  <conditionalFormatting sqref="C33">
    <cfRule type="expression" dxfId="2090" priority="1743">
      <formula>E33&gt;0</formula>
    </cfRule>
  </conditionalFormatting>
  <conditionalFormatting sqref="C33">
    <cfRule type="expression" dxfId="2089" priority="1742">
      <formula>E33&gt;0</formula>
    </cfRule>
  </conditionalFormatting>
  <conditionalFormatting sqref="C33">
    <cfRule type="expression" dxfId="2088" priority="1741">
      <formula>E33&gt;0</formula>
    </cfRule>
  </conditionalFormatting>
  <conditionalFormatting sqref="C33">
    <cfRule type="expression" dxfId="2087" priority="1740">
      <formula>E33&gt;0</formula>
    </cfRule>
  </conditionalFormatting>
  <conditionalFormatting sqref="C33">
    <cfRule type="expression" dxfId="2086" priority="1739">
      <formula>E33&gt;0</formula>
    </cfRule>
  </conditionalFormatting>
  <conditionalFormatting sqref="C33">
    <cfRule type="expression" dxfId="2085" priority="1738">
      <formula>E33&gt;0</formula>
    </cfRule>
  </conditionalFormatting>
  <conditionalFormatting sqref="C33">
    <cfRule type="expression" dxfId="2084" priority="1737">
      <formula>E33&gt;0</formula>
    </cfRule>
  </conditionalFormatting>
  <conditionalFormatting sqref="C33">
    <cfRule type="expression" dxfId="2083" priority="1736">
      <formula>E33&gt;0</formula>
    </cfRule>
  </conditionalFormatting>
  <conditionalFormatting sqref="C33">
    <cfRule type="expression" dxfId="2082" priority="1735">
      <formula>E33&gt;0</formula>
    </cfRule>
  </conditionalFormatting>
  <conditionalFormatting sqref="C33">
    <cfRule type="expression" dxfId="2081" priority="1734">
      <formula>E33&gt;0</formula>
    </cfRule>
  </conditionalFormatting>
  <conditionalFormatting sqref="C33">
    <cfRule type="expression" dxfId="2080" priority="1733">
      <formula>E33&gt;0</formula>
    </cfRule>
  </conditionalFormatting>
  <conditionalFormatting sqref="C33">
    <cfRule type="expression" dxfId="2079" priority="1732">
      <formula>E33&gt;0</formula>
    </cfRule>
  </conditionalFormatting>
  <conditionalFormatting sqref="C33">
    <cfRule type="expression" dxfId="2078" priority="1731">
      <formula>E33&gt;0</formula>
    </cfRule>
  </conditionalFormatting>
  <conditionalFormatting sqref="C33">
    <cfRule type="expression" dxfId="2077" priority="1730">
      <formula>E33&gt;0</formula>
    </cfRule>
  </conditionalFormatting>
  <conditionalFormatting sqref="C33">
    <cfRule type="expression" dxfId="2076" priority="1729">
      <formula>E33&gt;0</formula>
    </cfRule>
  </conditionalFormatting>
  <conditionalFormatting sqref="C33">
    <cfRule type="expression" dxfId="2075" priority="1728">
      <formula>E33&gt;0</formula>
    </cfRule>
  </conditionalFormatting>
  <conditionalFormatting sqref="C33">
    <cfRule type="expression" dxfId="2074" priority="1727">
      <formula>E33&gt;0</formula>
    </cfRule>
  </conditionalFormatting>
  <conditionalFormatting sqref="C33">
    <cfRule type="expression" dxfId="2073" priority="1726">
      <formula>E33&gt;0</formula>
    </cfRule>
  </conditionalFormatting>
  <conditionalFormatting sqref="C33">
    <cfRule type="expression" dxfId="2072" priority="1725">
      <formula>E33&gt;0</formula>
    </cfRule>
  </conditionalFormatting>
  <conditionalFormatting sqref="C33">
    <cfRule type="expression" dxfId="2071" priority="1724">
      <formula>E33&gt;0</formula>
    </cfRule>
  </conditionalFormatting>
  <conditionalFormatting sqref="C33">
    <cfRule type="expression" dxfId="2070" priority="1723">
      <formula>E33&gt;0</formula>
    </cfRule>
  </conditionalFormatting>
  <conditionalFormatting sqref="C33">
    <cfRule type="expression" dxfId="2069" priority="1722">
      <formula>E33&gt;0</formula>
    </cfRule>
  </conditionalFormatting>
  <conditionalFormatting sqref="C33">
    <cfRule type="expression" dxfId="2068" priority="1721">
      <formula>E33&gt;0</formula>
    </cfRule>
  </conditionalFormatting>
  <conditionalFormatting sqref="C33">
    <cfRule type="expression" dxfId="2067" priority="1720">
      <formula>E33&gt;0</formula>
    </cfRule>
  </conditionalFormatting>
  <conditionalFormatting sqref="C33">
    <cfRule type="expression" dxfId="2066" priority="1719">
      <formula>E33&gt;0</formula>
    </cfRule>
  </conditionalFormatting>
  <conditionalFormatting sqref="C33">
    <cfRule type="expression" dxfId="2065" priority="1718">
      <formula>E33&gt;0</formula>
    </cfRule>
  </conditionalFormatting>
  <conditionalFormatting sqref="C33">
    <cfRule type="expression" dxfId="2064" priority="1717">
      <formula>E33&gt;0</formula>
    </cfRule>
  </conditionalFormatting>
  <conditionalFormatting sqref="C33">
    <cfRule type="expression" dxfId="2063" priority="1716">
      <formula>E33&gt;0</formula>
    </cfRule>
  </conditionalFormatting>
  <conditionalFormatting sqref="C33">
    <cfRule type="expression" dxfId="2062" priority="1715">
      <formula>E33&gt;0</formula>
    </cfRule>
  </conditionalFormatting>
  <conditionalFormatting sqref="C33">
    <cfRule type="expression" dxfId="2061" priority="1714">
      <formula>E33&gt;0</formula>
    </cfRule>
  </conditionalFormatting>
  <conditionalFormatting sqref="C33">
    <cfRule type="expression" dxfId="2060" priority="1713">
      <formula>E33&gt;0</formula>
    </cfRule>
  </conditionalFormatting>
  <conditionalFormatting sqref="C33">
    <cfRule type="expression" dxfId="2059" priority="1712">
      <formula>E33&gt;0</formula>
    </cfRule>
  </conditionalFormatting>
  <conditionalFormatting sqref="C33">
    <cfRule type="expression" dxfId="2058" priority="1711">
      <formula>E33&gt;0</formula>
    </cfRule>
  </conditionalFormatting>
  <conditionalFormatting sqref="C33">
    <cfRule type="expression" dxfId="2057" priority="1710">
      <formula>E33&gt;0</formula>
    </cfRule>
  </conditionalFormatting>
  <conditionalFormatting sqref="C33">
    <cfRule type="expression" dxfId="2056" priority="1709">
      <formula>E33&gt;0</formula>
    </cfRule>
  </conditionalFormatting>
  <conditionalFormatting sqref="C33">
    <cfRule type="expression" dxfId="2055" priority="1708">
      <formula>E33&gt;0</formula>
    </cfRule>
  </conditionalFormatting>
  <conditionalFormatting sqref="C33">
    <cfRule type="expression" dxfId="2054" priority="1707">
      <formula>E33&gt;0</formula>
    </cfRule>
  </conditionalFormatting>
  <conditionalFormatting sqref="C33">
    <cfRule type="expression" dxfId="2053" priority="1706">
      <formula>E33&gt;0</formula>
    </cfRule>
  </conditionalFormatting>
  <conditionalFormatting sqref="C33">
    <cfRule type="expression" dxfId="2052" priority="1705">
      <formula>E33&gt;0</formula>
    </cfRule>
  </conditionalFormatting>
  <conditionalFormatting sqref="C33">
    <cfRule type="expression" dxfId="2051" priority="1704">
      <formula>E33&gt;0</formula>
    </cfRule>
  </conditionalFormatting>
  <conditionalFormatting sqref="C33">
    <cfRule type="expression" dxfId="2050" priority="1703">
      <formula>E33&gt;0</formula>
    </cfRule>
  </conditionalFormatting>
  <conditionalFormatting sqref="C33">
    <cfRule type="expression" dxfId="2049" priority="1702">
      <formula>E33&gt;0</formula>
    </cfRule>
  </conditionalFormatting>
  <conditionalFormatting sqref="C33">
    <cfRule type="expression" dxfId="2048" priority="1701">
      <formula>E33&gt;0</formula>
    </cfRule>
  </conditionalFormatting>
  <conditionalFormatting sqref="C33">
    <cfRule type="expression" dxfId="2047" priority="1700">
      <formula>E33&gt;0</formula>
    </cfRule>
  </conditionalFormatting>
  <conditionalFormatting sqref="C33">
    <cfRule type="expression" dxfId="2046" priority="1699">
      <formula>E33&gt;0</formula>
    </cfRule>
  </conditionalFormatting>
  <conditionalFormatting sqref="C33">
    <cfRule type="expression" dxfId="2045" priority="1698">
      <formula>E33&gt;0</formula>
    </cfRule>
  </conditionalFormatting>
  <conditionalFormatting sqref="C33">
    <cfRule type="expression" dxfId="2044" priority="1697">
      <formula>E33&gt;0</formula>
    </cfRule>
  </conditionalFormatting>
  <conditionalFormatting sqref="C33">
    <cfRule type="expression" dxfId="2043" priority="1696">
      <formula>E33&gt;0</formula>
    </cfRule>
  </conditionalFormatting>
  <conditionalFormatting sqref="C33">
    <cfRule type="expression" dxfId="2042" priority="1695">
      <formula>E33&gt;0</formula>
    </cfRule>
  </conditionalFormatting>
  <conditionalFormatting sqref="C33">
    <cfRule type="expression" dxfId="2041" priority="1694">
      <formula>E33&gt;0</formula>
    </cfRule>
  </conditionalFormatting>
  <conditionalFormatting sqref="C33">
    <cfRule type="expression" dxfId="2040" priority="1693">
      <formula>E33&gt;0</formula>
    </cfRule>
  </conditionalFormatting>
  <conditionalFormatting sqref="C33">
    <cfRule type="expression" dxfId="2039" priority="1692">
      <formula>E33&gt;0</formula>
    </cfRule>
  </conditionalFormatting>
  <conditionalFormatting sqref="C33">
    <cfRule type="expression" dxfId="2038" priority="1691">
      <formula>E33&gt;0</formula>
    </cfRule>
  </conditionalFormatting>
  <conditionalFormatting sqref="C33">
    <cfRule type="expression" dxfId="2037" priority="1690">
      <formula>E33&gt;0</formula>
    </cfRule>
  </conditionalFormatting>
  <conditionalFormatting sqref="C33">
    <cfRule type="expression" dxfId="2036" priority="1689">
      <formula>E33&gt;0</formula>
    </cfRule>
  </conditionalFormatting>
  <conditionalFormatting sqref="C33">
    <cfRule type="expression" dxfId="2035" priority="1688">
      <formula>E33&gt;0</formula>
    </cfRule>
  </conditionalFormatting>
  <conditionalFormatting sqref="C33">
    <cfRule type="expression" dxfId="2034" priority="1687">
      <formula>E33&gt;0</formula>
    </cfRule>
  </conditionalFormatting>
  <conditionalFormatting sqref="C33">
    <cfRule type="expression" dxfId="2033" priority="1686">
      <formula>E33&gt;0</formula>
    </cfRule>
  </conditionalFormatting>
  <conditionalFormatting sqref="C33">
    <cfRule type="expression" dxfId="2032" priority="1685">
      <formula>E33&gt;0</formula>
    </cfRule>
  </conditionalFormatting>
  <conditionalFormatting sqref="C33">
    <cfRule type="expression" dxfId="2031" priority="1684">
      <formula>E33&gt;0</formula>
    </cfRule>
  </conditionalFormatting>
  <conditionalFormatting sqref="C33">
    <cfRule type="expression" dxfId="2030" priority="1683">
      <formula>E33&gt;0</formula>
    </cfRule>
  </conditionalFormatting>
  <conditionalFormatting sqref="C33">
    <cfRule type="expression" dxfId="2029" priority="1682">
      <formula>E33&gt;0</formula>
    </cfRule>
  </conditionalFormatting>
  <conditionalFormatting sqref="C33">
    <cfRule type="expression" dxfId="2028" priority="1681">
      <formula>E33&gt;0</formula>
    </cfRule>
  </conditionalFormatting>
  <conditionalFormatting sqref="C33">
    <cfRule type="expression" dxfId="2027" priority="1680">
      <formula>E33&gt;0</formula>
    </cfRule>
  </conditionalFormatting>
  <conditionalFormatting sqref="C33">
    <cfRule type="expression" dxfId="2026" priority="1679">
      <formula>E33&gt;0</formula>
    </cfRule>
  </conditionalFormatting>
  <conditionalFormatting sqref="C33">
    <cfRule type="expression" dxfId="2025" priority="1678">
      <formula>E33&gt;0</formula>
    </cfRule>
  </conditionalFormatting>
  <conditionalFormatting sqref="C33">
    <cfRule type="expression" dxfId="2024" priority="1677">
      <formula>E33&gt;0</formula>
    </cfRule>
  </conditionalFormatting>
  <conditionalFormatting sqref="C33">
    <cfRule type="expression" dxfId="2023" priority="1676">
      <formula>E33&gt;0</formula>
    </cfRule>
  </conditionalFormatting>
  <conditionalFormatting sqref="C33">
    <cfRule type="expression" dxfId="2022" priority="1675">
      <formula>E33&gt;0</formula>
    </cfRule>
  </conditionalFormatting>
  <conditionalFormatting sqref="C33">
    <cfRule type="expression" dxfId="2021" priority="1674">
      <formula>E33&gt;0</formula>
    </cfRule>
  </conditionalFormatting>
  <conditionalFormatting sqref="C33">
    <cfRule type="expression" dxfId="2020" priority="1673">
      <formula>E33&gt;0</formula>
    </cfRule>
  </conditionalFormatting>
  <conditionalFormatting sqref="C33">
    <cfRule type="expression" dxfId="2019" priority="1672">
      <formula>E33&gt;0</formula>
    </cfRule>
  </conditionalFormatting>
  <conditionalFormatting sqref="C33">
    <cfRule type="expression" dxfId="2018" priority="1671">
      <formula>E33&gt;0</formula>
    </cfRule>
  </conditionalFormatting>
  <conditionalFormatting sqref="C33">
    <cfRule type="expression" dxfId="2017" priority="1670">
      <formula>E33&gt;0</formula>
    </cfRule>
  </conditionalFormatting>
  <conditionalFormatting sqref="C33">
    <cfRule type="expression" dxfId="2016" priority="1669">
      <formula>E33&gt;0</formula>
    </cfRule>
  </conditionalFormatting>
  <conditionalFormatting sqref="C33">
    <cfRule type="expression" dxfId="2015" priority="1668">
      <formula>E33&gt;0</formula>
    </cfRule>
  </conditionalFormatting>
  <conditionalFormatting sqref="C33">
    <cfRule type="expression" dxfId="2014" priority="1667">
      <formula>E33&gt;0</formula>
    </cfRule>
  </conditionalFormatting>
  <conditionalFormatting sqref="C33">
    <cfRule type="expression" dxfId="2013" priority="1666">
      <formula>E33&gt;0</formula>
    </cfRule>
  </conditionalFormatting>
  <conditionalFormatting sqref="C33">
    <cfRule type="expression" dxfId="2012" priority="1665">
      <formula>E33&gt;0</formula>
    </cfRule>
  </conditionalFormatting>
  <conditionalFormatting sqref="C33">
    <cfRule type="expression" dxfId="2011" priority="1664">
      <formula>E33&gt;0</formula>
    </cfRule>
  </conditionalFormatting>
  <conditionalFormatting sqref="C33">
    <cfRule type="expression" dxfId="2010" priority="1663">
      <formula>E33&gt;0</formula>
    </cfRule>
  </conditionalFormatting>
  <conditionalFormatting sqref="C33">
    <cfRule type="expression" dxfId="2009" priority="1662">
      <formula>E33&gt;0</formula>
    </cfRule>
  </conditionalFormatting>
  <conditionalFormatting sqref="C33">
    <cfRule type="expression" dxfId="2008" priority="1661">
      <formula>E33&gt;0</formula>
    </cfRule>
  </conditionalFormatting>
  <conditionalFormatting sqref="C33">
    <cfRule type="expression" dxfId="2007" priority="1660">
      <formula>E33&gt;0</formula>
    </cfRule>
  </conditionalFormatting>
  <conditionalFormatting sqref="C33">
    <cfRule type="expression" dxfId="2006" priority="1659">
      <formula>E33&gt;0</formula>
    </cfRule>
  </conditionalFormatting>
  <conditionalFormatting sqref="C33">
    <cfRule type="expression" dxfId="2005" priority="1658">
      <formula>E33&gt;0</formula>
    </cfRule>
  </conditionalFormatting>
  <conditionalFormatting sqref="C33">
    <cfRule type="expression" dxfId="2004" priority="1657">
      <formula>E33&gt;0</formula>
    </cfRule>
  </conditionalFormatting>
  <conditionalFormatting sqref="C33">
    <cfRule type="expression" dxfId="2003" priority="1656">
      <formula>E33&gt;0</formula>
    </cfRule>
  </conditionalFormatting>
  <conditionalFormatting sqref="C33">
    <cfRule type="expression" dxfId="2002" priority="1655">
      <formula>E33&gt;0</formula>
    </cfRule>
  </conditionalFormatting>
  <conditionalFormatting sqref="C33">
    <cfRule type="expression" dxfId="2001" priority="1654">
      <formula>E33&gt;0</formula>
    </cfRule>
  </conditionalFormatting>
  <conditionalFormatting sqref="C33">
    <cfRule type="expression" dxfId="2000" priority="1653">
      <formula>E33&gt;0</formula>
    </cfRule>
  </conditionalFormatting>
  <conditionalFormatting sqref="C33">
    <cfRule type="expression" dxfId="1999" priority="1652">
      <formula>E33&gt;0</formula>
    </cfRule>
  </conditionalFormatting>
  <conditionalFormatting sqref="C33">
    <cfRule type="expression" dxfId="1998" priority="1651">
      <formula>E33&gt;0</formula>
    </cfRule>
  </conditionalFormatting>
  <conditionalFormatting sqref="C33">
    <cfRule type="expression" dxfId="1997" priority="1650">
      <formula>E33&gt;0</formula>
    </cfRule>
  </conditionalFormatting>
  <conditionalFormatting sqref="C33">
    <cfRule type="expression" dxfId="1996" priority="1649">
      <formula>E33&gt;0</formula>
    </cfRule>
  </conditionalFormatting>
  <conditionalFormatting sqref="C33">
    <cfRule type="expression" dxfId="1995" priority="1648">
      <formula>E33&gt;0</formula>
    </cfRule>
  </conditionalFormatting>
  <conditionalFormatting sqref="C33">
    <cfRule type="expression" dxfId="1994" priority="1647">
      <formula>E33&gt;0</formula>
    </cfRule>
  </conditionalFormatting>
  <conditionalFormatting sqref="C33">
    <cfRule type="expression" dxfId="1993" priority="1646">
      <formula>E33&gt;0</formula>
    </cfRule>
  </conditionalFormatting>
  <conditionalFormatting sqref="C33">
    <cfRule type="expression" dxfId="1992" priority="1645">
      <formula>E33&gt;0</formula>
    </cfRule>
  </conditionalFormatting>
  <conditionalFormatting sqref="C33">
    <cfRule type="expression" dxfId="1991" priority="1644">
      <formula>E33&gt;0</formula>
    </cfRule>
  </conditionalFormatting>
  <conditionalFormatting sqref="C33">
    <cfRule type="expression" dxfId="1990" priority="1643">
      <formula>E33&gt;0</formula>
    </cfRule>
  </conditionalFormatting>
  <conditionalFormatting sqref="C33">
    <cfRule type="expression" dxfId="1989" priority="1642">
      <formula>E33&gt;0</formula>
    </cfRule>
  </conditionalFormatting>
  <conditionalFormatting sqref="C33">
    <cfRule type="expression" dxfId="1988" priority="1641">
      <formula>E33&gt;0</formula>
    </cfRule>
  </conditionalFormatting>
  <conditionalFormatting sqref="C33">
    <cfRule type="expression" dxfId="1987" priority="1640">
      <formula>E33&gt;0</formula>
    </cfRule>
  </conditionalFormatting>
  <conditionalFormatting sqref="C33">
    <cfRule type="expression" dxfId="1986" priority="1639">
      <formula>E33&gt;0</formula>
    </cfRule>
  </conditionalFormatting>
  <conditionalFormatting sqref="C33">
    <cfRule type="expression" dxfId="1985" priority="1638">
      <formula>E33&gt;0</formula>
    </cfRule>
  </conditionalFormatting>
  <conditionalFormatting sqref="C33">
    <cfRule type="expression" dxfId="1984" priority="1637">
      <formula>E33&gt;0</formula>
    </cfRule>
  </conditionalFormatting>
  <conditionalFormatting sqref="C33">
    <cfRule type="expression" dxfId="1983" priority="1636">
      <formula>E33&gt;0</formula>
    </cfRule>
  </conditionalFormatting>
  <conditionalFormatting sqref="C33">
    <cfRule type="expression" dxfId="1982" priority="1635">
      <formula>E33&gt;0</formula>
    </cfRule>
  </conditionalFormatting>
  <conditionalFormatting sqref="C33">
    <cfRule type="expression" dxfId="1981" priority="1634">
      <formula>E33&gt;0</formula>
    </cfRule>
  </conditionalFormatting>
  <conditionalFormatting sqref="C33">
    <cfRule type="expression" dxfId="1980" priority="1633">
      <formula>E33&gt;0</formula>
    </cfRule>
  </conditionalFormatting>
  <conditionalFormatting sqref="C33">
    <cfRule type="expression" dxfId="1979" priority="1632">
      <formula>E33&gt;0</formula>
    </cfRule>
  </conditionalFormatting>
  <conditionalFormatting sqref="C33">
    <cfRule type="expression" dxfId="1978" priority="1631">
      <formula>E33&gt;0</formula>
    </cfRule>
  </conditionalFormatting>
  <conditionalFormatting sqref="C33">
    <cfRule type="expression" dxfId="1977" priority="1630">
      <formula>E33&gt;0</formula>
    </cfRule>
  </conditionalFormatting>
  <conditionalFormatting sqref="C33">
    <cfRule type="expression" dxfId="1976" priority="1629">
      <formula>E33&gt;0</formula>
    </cfRule>
  </conditionalFormatting>
  <conditionalFormatting sqref="C33">
    <cfRule type="expression" dxfId="1975" priority="1628">
      <formula>E33&gt;0</formula>
    </cfRule>
  </conditionalFormatting>
  <conditionalFormatting sqref="C33">
    <cfRule type="expression" dxfId="1974" priority="1627">
      <formula>E33&gt;0</formula>
    </cfRule>
  </conditionalFormatting>
  <conditionalFormatting sqref="C33">
    <cfRule type="expression" dxfId="1973" priority="1626">
      <formula>E33&gt;0</formula>
    </cfRule>
  </conditionalFormatting>
  <conditionalFormatting sqref="C33">
    <cfRule type="expression" dxfId="1972" priority="1625">
      <formula>E33&gt;0</formula>
    </cfRule>
  </conditionalFormatting>
  <conditionalFormatting sqref="C33">
    <cfRule type="expression" dxfId="1971" priority="1624">
      <formula>E33&gt;0</formula>
    </cfRule>
  </conditionalFormatting>
  <conditionalFormatting sqref="C33">
    <cfRule type="expression" dxfId="1970" priority="1623">
      <formula>E33&gt;0</formula>
    </cfRule>
  </conditionalFormatting>
  <conditionalFormatting sqref="C33">
    <cfRule type="expression" dxfId="1969" priority="1622">
      <formula>E33&gt;0</formula>
    </cfRule>
  </conditionalFormatting>
  <conditionalFormatting sqref="C33">
    <cfRule type="expression" dxfId="1968" priority="1621">
      <formula>E33&gt;0</formula>
    </cfRule>
  </conditionalFormatting>
  <conditionalFormatting sqref="C33">
    <cfRule type="expression" dxfId="1967" priority="1620">
      <formula>E33&gt;0</formula>
    </cfRule>
  </conditionalFormatting>
  <conditionalFormatting sqref="C33">
    <cfRule type="expression" dxfId="1966" priority="1619">
      <formula>E33&gt;0</formula>
    </cfRule>
  </conditionalFormatting>
  <conditionalFormatting sqref="C33">
    <cfRule type="expression" dxfId="1965" priority="1618">
      <formula>E33&gt;0</formula>
    </cfRule>
  </conditionalFormatting>
  <conditionalFormatting sqref="C33">
    <cfRule type="expression" dxfId="1964" priority="1617">
      <formula>E33&gt;0</formula>
    </cfRule>
  </conditionalFormatting>
  <conditionalFormatting sqref="C33">
    <cfRule type="expression" dxfId="1963" priority="1616">
      <formula>E33&gt;0</formula>
    </cfRule>
  </conditionalFormatting>
  <conditionalFormatting sqref="C33">
    <cfRule type="expression" dxfId="1962" priority="1615">
      <formula>E33&gt;0</formula>
    </cfRule>
  </conditionalFormatting>
  <conditionalFormatting sqref="C33">
    <cfRule type="expression" dxfId="1961" priority="1614">
      <formula>E33&gt;0</formula>
    </cfRule>
  </conditionalFormatting>
  <conditionalFormatting sqref="C33">
    <cfRule type="expression" dxfId="1960" priority="1613">
      <formula>E33&gt;0</formula>
    </cfRule>
  </conditionalFormatting>
  <conditionalFormatting sqref="C33">
    <cfRule type="expression" dxfId="1959" priority="1612">
      <formula>E33&gt;0</formula>
    </cfRule>
  </conditionalFormatting>
  <conditionalFormatting sqref="C33">
    <cfRule type="expression" dxfId="1958" priority="1611">
      <formula>E33&gt;0</formula>
    </cfRule>
  </conditionalFormatting>
  <conditionalFormatting sqref="C33">
    <cfRule type="expression" dxfId="1957" priority="1610">
      <formula>E33&gt;0</formula>
    </cfRule>
  </conditionalFormatting>
  <conditionalFormatting sqref="C33">
    <cfRule type="expression" dxfId="1956" priority="1609">
      <formula>E33&gt;0</formula>
    </cfRule>
  </conditionalFormatting>
  <conditionalFormatting sqref="C33">
    <cfRule type="expression" dxfId="1955" priority="1608">
      <formula>E33&gt;0</formula>
    </cfRule>
  </conditionalFormatting>
  <conditionalFormatting sqref="C33">
    <cfRule type="expression" dxfId="1954" priority="1607">
      <formula>E33&gt;0</formula>
    </cfRule>
  </conditionalFormatting>
  <conditionalFormatting sqref="C33">
    <cfRule type="expression" dxfId="1953" priority="1606">
      <formula>E33&gt;0</formula>
    </cfRule>
  </conditionalFormatting>
  <conditionalFormatting sqref="C33">
    <cfRule type="expression" dxfId="1952" priority="1605">
      <formula>E33&gt;0</formula>
    </cfRule>
  </conditionalFormatting>
  <conditionalFormatting sqref="C33">
    <cfRule type="expression" dxfId="1951" priority="1604">
      <formula>E33&gt;0</formula>
    </cfRule>
  </conditionalFormatting>
  <conditionalFormatting sqref="C33">
    <cfRule type="expression" dxfId="1950" priority="1603">
      <formula>E33&gt;0</formula>
    </cfRule>
  </conditionalFormatting>
  <conditionalFormatting sqref="C33">
    <cfRule type="expression" dxfId="1949" priority="1602">
      <formula>E33&gt;0</formula>
    </cfRule>
  </conditionalFormatting>
  <conditionalFormatting sqref="C33">
    <cfRule type="expression" dxfId="1948" priority="1601">
      <formula>E33&gt;0</formula>
    </cfRule>
  </conditionalFormatting>
  <conditionalFormatting sqref="C33">
    <cfRule type="expression" dxfId="1947" priority="1600">
      <formula>E33&gt;0</formula>
    </cfRule>
  </conditionalFormatting>
  <conditionalFormatting sqref="C43">
    <cfRule type="expression" dxfId="1946" priority="1599">
      <formula>E43&gt;0</formula>
    </cfRule>
  </conditionalFormatting>
  <conditionalFormatting sqref="C43">
    <cfRule type="expression" dxfId="1945" priority="1598">
      <formula>E43&gt;0</formula>
    </cfRule>
  </conditionalFormatting>
  <conditionalFormatting sqref="C43">
    <cfRule type="expression" dxfId="1944" priority="1597">
      <formula>E43&gt;0</formula>
    </cfRule>
  </conditionalFormatting>
  <conditionalFormatting sqref="C43">
    <cfRule type="expression" dxfId="1943" priority="1596">
      <formula>E43&gt;0</formula>
    </cfRule>
  </conditionalFormatting>
  <conditionalFormatting sqref="C43">
    <cfRule type="expression" dxfId="1942" priority="1595">
      <formula>E43&gt;0</formula>
    </cfRule>
  </conditionalFormatting>
  <conditionalFormatting sqref="C43">
    <cfRule type="expression" dxfId="1941" priority="1594">
      <formula>E43&gt;0</formula>
    </cfRule>
  </conditionalFormatting>
  <conditionalFormatting sqref="C43">
    <cfRule type="expression" dxfId="1940" priority="1593">
      <formula>E43&gt;0</formula>
    </cfRule>
  </conditionalFormatting>
  <conditionalFormatting sqref="C43">
    <cfRule type="expression" dxfId="1939" priority="1592">
      <formula>E43&gt;0</formula>
    </cfRule>
  </conditionalFormatting>
  <conditionalFormatting sqref="C43">
    <cfRule type="expression" dxfId="1938" priority="1591">
      <formula>E43&gt;0</formula>
    </cfRule>
  </conditionalFormatting>
  <conditionalFormatting sqref="C43">
    <cfRule type="expression" dxfId="1937" priority="1590">
      <formula>E43&gt;0</formula>
    </cfRule>
  </conditionalFormatting>
  <conditionalFormatting sqref="C43">
    <cfRule type="expression" dxfId="1936" priority="1589">
      <formula>E43&gt;0</formula>
    </cfRule>
  </conditionalFormatting>
  <conditionalFormatting sqref="C43">
    <cfRule type="expression" dxfId="1935" priority="1588">
      <formula>E43&gt;0</formula>
    </cfRule>
  </conditionalFormatting>
  <conditionalFormatting sqref="C43">
    <cfRule type="expression" dxfId="1934" priority="1587">
      <formula>E43&gt;0</formula>
    </cfRule>
  </conditionalFormatting>
  <conditionalFormatting sqref="C43">
    <cfRule type="expression" dxfId="1933" priority="1586">
      <formula>E43&gt;0</formula>
    </cfRule>
  </conditionalFormatting>
  <conditionalFormatting sqref="C43">
    <cfRule type="expression" dxfId="1932" priority="1585">
      <formula>E43&gt;0</formula>
    </cfRule>
  </conditionalFormatting>
  <conditionalFormatting sqref="C43">
    <cfRule type="expression" dxfId="1931" priority="1584">
      <formula>E43&gt;0</formula>
    </cfRule>
  </conditionalFormatting>
  <conditionalFormatting sqref="C43">
    <cfRule type="expression" dxfId="1930" priority="1583">
      <formula>E43&gt;0</formula>
    </cfRule>
  </conditionalFormatting>
  <conditionalFormatting sqref="C43">
    <cfRule type="expression" dxfId="1929" priority="1582">
      <formula>E43&gt;0</formula>
    </cfRule>
  </conditionalFormatting>
  <conditionalFormatting sqref="C43">
    <cfRule type="expression" dxfId="1928" priority="1581">
      <formula>E43&gt;0</formula>
    </cfRule>
  </conditionalFormatting>
  <conditionalFormatting sqref="C43">
    <cfRule type="expression" dxfId="1927" priority="1580">
      <formula>E43&gt;0</formula>
    </cfRule>
  </conditionalFormatting>
  <conditionalFormatting sqref="C43">
    <cfRule type="expression" dxfId="1926" priority="1579">
      <formula>E43&gt;0</formula>
    </cfRule>
  </conditionalFormatting>
  <conditionalFormatting sqref="C43">
    <cfRule type="expression" dxfId="1925" priority="1578">
      <formula>E43&gt;0</formula>
    </cfRule>
  </conditionalFormatting>
  <conditionalFormatting sqref="C43">
    <cfRule type="expression" dxfId="1924" priority="1577">
      <formula>E43&gt;0</formula>
    </cfRule>
  </conditionalFormatting>
  <conditionalFormatting sqref="C43">
    <cfRule type="expression" dxfId="1923" priority="1576">
      <formula>E43&gt;0</formula>
    </cfRule>
  </conditionalFormatting>
  <conditionalFormatting sqref="C43">
    <cfRule type="expression" dxfId="1922" priority="1575">
      <formula>E43&gt;0</formula>
    </cfRule>
  </conditionalFormatting>
  <conditionalFormatting sqref="C43">
    <cfRule type="expression" dxfId="1921" priority="1574">
      <formula>E43&gt;0</formula>
    </cfRule>
  </conditionalFormatting>
  <conditionalFormatting sqref="C43">
    <cfRule type="expression" dxfId="1920" priority="1573">
      <formula>E43&gt;0</formula>
    </cfRule>
  </conditionalFormatting>
  <conditionalFormatting sqref="C43">
    <cfRule type="expression" dxfId="1919" priority="1572">
      <formula>E43&gt;0</formula>
    </cfRule>
  </conditionalFormatting>
  <conditionalFormatting sqref="C43">
    <cfRule type="expression" dxfId="1918" priority="1571">
      <formula>E43&gt;0</formula>
    </cfRule>
  </conditionalFormatting>
  <conditionalFormatting sqref="C43">
    <cfRule type="expression" dxfId="1917" priority="1570">
      <formula>E43&gt;0</formula>
    </cfRule>
  </conditionalFormatting>
  <conditionalFormatting sqref="C43">
    <cfRule type="expression" dxfId="1916" priority="1569">
      <formula>E43&gt;0</formula>
    </cfRule>
  </conditionalFormatting>
  <conditionalFormatting sqref="C43">
    <cfRule type="expression" dxfId="1915" priority="1568">
      <formula>E43&gt;0</formula>
    </cfRule>
  </conditionalFormatting>
  <conditionalFormatting sqref="C43">
    <cfRule type="expression" dxfId="1914" priority="1567">
      <formula>E43&gt;0</formula>
    </cfRule>
  </conditionalFormatting>
  <conditionalFormatting sqref="C43">
    <cfRule type="expression" dxfId="1913" priority="1566">
      <formula>E43&gt;0</formula>
    </cfRule>
  </conditionalFormatting>
  <conditionalFormatting sqref="C43">
    <cfRule type="expression" dxfId="1912" priority="1565">
      <formula>E43&gt;0</formula>
    </cfRule>
  </conditionalFormatting>
  <conditionalFormatting sqref="C43">
    <cfRule type="expression" dxfId="1911" priority="1564">
      <formula>E43&gt;0</formula>
    </cfRule>
  </conditionalFormatting>
  <conditionalFormatting sqref="C43">
    <cfRule type="expression" dxfId="1910" priority="1563">
      <formula>E43&gt;0</formula>
    </cfRule>
  </conditionalFormatting>
  <conditionalFormatting sqref="C43">
    <cfRule type="expression" dxfId="1909" priority="1562">
      <formula>E43&gt;0</formula>
    </cfRule>
  </conditionalFormatting>
  <conditionalFormatting sqref="C43">
    <cfRule type="expression" dxfId="1908" priority="1561">
      <formula>E43&gt;0</formula>
    </cfRule>
  </conditionalFormatting>
  <conditionalFormatting sqref="C43">
    <cfRule type="expression" dxfId="1907" priority="1560">
      <formula>E43&gt;0</formula>
    </cfRule>
  </conditionalFormatting>
  <conditionalFormatting sqref="C43">
    <cfRule type="expression" dxfId="1906" priority="1559">
      <formula>E43&gt;0</formula>
    </cfRule>
  </conditionalFormatting>
  <conditionalFormatting sqref="C43">
    <cfRule type="expression" dxfId="1905" priority="1558">
      <formula>E43&gt;0</formula>
    </cfRule>
  </conditionalFormatting>
  <conditionalFormatting sqref="C43">
    <cfRule type="expression" dxfId="1904" priority="1557">
      <formula>E43&gt;0</formula>
    </cfRule>
  </conditionalFormatting>
  <conditionalFormatting sqref="C43">
    <cfRule type="expression" dxfId="1903" priority="1556">
      <formula>E43&gt;0</formula>
    </cfRule>
  </conditionalFormatting>
  <conditionalFormatting sqref="C43">
    <cfRule type="expression" dxfId="1902" priority="1555">
      <formula>E43&gt;0</formula>
    </cfRule>
  </conditionalFormatting>
  <conditionalFormatting sqref="C43">
    <cfRule type="expression" dxfId="1901" priority="1554">
      <formula>E43&gt;0</formula>
    </cfRule>
  </conditionalFormatting>
  <conditionalFormatting sqref="C43">
    <cfRule type="expression" dxfId="1900" priority="1553">
      <formula>E43&gt;0</formula>
    </cfRule>
  </conditionalFormatting>
  <conditionalFormatting sqref="C43">
    <cfRule type="expression" dxfId="1899" priority="1552">
      <formula>E43&gt;0</formula>
    </cfRule>
  </conditionalFormatting>
  <conditionalFormatting sqref="C43">
    <cfRule type="expression" dxfId="1898" priority="1551">
      <formula>E43&gt;0</formula>
    </cfRule>
  </conditionalFormatting>
  <conditionalFormatting sqref="C43">
    <cfRule type="expression" dxfId="1897" priority="1550">
      <formula>E43&gt;0</formula>
    </cfRule>
  </conditionalFormatting>
  <conditionalFormatting sqref="C43">
    <cfRule type="expression" dxfId="1896" priority="1549">
      <formula>E43&gt;0</formula>
    </cfRule>
  </conditionalFormatting>
  <conditionalFormatting sqref="C43">
    <cfRule type="expression" dxfId="1895" priority="1548">
      <formula>E43&gt;0</formula>
    </cfRule>
  </conditionalFormatting>
  <conditionalFormatting sqref="C43">
    <cfRule type="expression" dxfId="1894" priority="1547">
      <formula>E43&gt;0</formula>
    </cfRule>
  </conditionalFormatting>
  <conditionalFormatting sqref="C43">
    <cfRule type="expression" dxfId="1893" priority="1546">
      <formula>E43&gt;0</formula>
    </cfRule>
  </conditionalFormatting>
  <conditionalFormatting sqref="C43">
    <cfRule type="expression" dxfId="1892" priority="1545">
      <formula>E43&gt;0</formula>
    </cfRule>
  </conditionalFormatting>
  <conditionalFormatting sqref="C43">
    <cfRule type="expression" dxfId="1891" priority="1544">
      <formula>E43&gt;0</formula>
    </cfRule>
  </conditionalFormatting>
  <conditionalFormatting sqref="C43">
    <cfRule type="expression" dxfId="1890" priority="1543">
      <formula>E43&gt;0</formula>
    </cfRule>
  </conditionalFormatting>
  <conditionalFormatting sqref="C43">
    <cfRule type="expression" dxfId="1889" priority="1542">
      <formula>E43&gt;0</formula>
    </cfRule>
  </conditionalFormatting>
  <conditionalFormatting sqref="C43">
    <cfRule type="expression" dxfId="1888" priority="1541">
      <formula>E43&gt;0</formula>
    </cfRule>
  </conditionalFormatting>
  <conditionalFormatting sqref="C43">
    <cfRule type="expression" dxfId="1887" priority="1540">
      <formula>E43&gt;0</formula>
    </cfRule>
  </conditionalFormatting>
  <conditionalFormatting sqref="C43">
    <cfRule type="expression" dxfId="1886" priority="1539">
      <formula>E43&gt;0</formula>
    </cfRule>
  </conditionalFormatting>
  <conditionalFormatting sqref="C43">
    <cfRule type="expression" dxfId="1885" priority="1538">
      <formula>E43&gt;0</formula>
    </cfRule>
  </conditionalFormatting>
  <conditionalFormatting sqref="C43">
    <cfRule type="expression" dxfId="1884" priority="1537">
      <formula>E43&gt;0</formula>
    </cfRule>
  </conditionalFormatting>
  <conditionalFormatting sqref="C43">
    <cfRule type="expression" dxfId="1883" priority="1536">
      <formula>E43&gt;0</formula>
    </cfRule>
  </conditionalFormatting>
  <conditionalFormatting sqref="C43">
    <cfRule type="expression" dxfId="1882" priority="1535">
      <formula>E43&gt;0</formula>
    </cfRule>
  </conditionalFormatting>
  <conditionalFormatting sqref="C43">
    <cfRule type="expression" dxfId="1881" priority="1534">
      <formula>E43&gt;0</formula>
    </cfRule>
  </conditionalFormatting>
  <conditionalFormatting sqref="C43">
    <cfRule type="expression" dxfId="1880" priority="1533">
      <formula>E43&gt;0</formula>
    </cfRule>
  </conditionalFormatting>
  <conditionalFormatting sqref="C43">
    <cfRule type="expression" dxfId="1879" priority="1532">
      <formula>E43&gt;0</formula>
    </cfRule>
  </conditionalFormatting>
  <conditionalFormatting sqref="C43">
    <cfRule type="expression" dxfId="1878" priority="1531">
      <formula>E43&gt;0</formula>
    </cfRule>
  </conditionalFormatting>
  <conditionalFormatting sqref="C43">
    <cfRule type="expression" dxfId="1877" priority="1530">
      <formula>E43&gt;0</formula>
    </cfRule>
  </conditionalFormatting>
  <conditionalFormatting sqref="C43">
    <cfRule type="expression" dxfId="1876" priority="1529">
      <formula>E43&gt;0</formula>
    </cfRule>
  </conditionalFormatting>
  <conditionalFormatting sqref="C43">
    <cfRule type="expression" dxfId="1875" priority="1528">
      <formula>E43&gt;0</formula>
    </cfRule>
  </conditionalFormatting>
  <conditionalFormatting sqref="C43">
    <cfRule type="expression" dxfId="1874" priority="1527">
      <formula>E43&gt;0</formula>
    </cfRule>
  </conditionalFormatting>
  <conditionalFormatting sqref="C43">
    <cfRule type="expression" dxfId="1873" priority="1526">
      <formula>E43&gt;0</formula>
    </cfRule>
  </conditionalFormatting>
  <conditionalFormatting sqref="C43">
    <cfRule type="expression" dxfId="1872" priority="1525">
      <formula>E43&gt;0</formula>
    </cfRule>
  </conditionalFormatting>
  <conditionalFormatting sqref="C43">
    <cfRule type="expression" dxfId="1871" priority="1524">
      <formula>E43&gt;0</formula>
    </cfRule>
  </conditionalFormatting>
  <conditionalFormatting sqref="C43">
    <cfRule type="expression" dxfId="1870" priority="1523">
      <formula>E43&gt;0</formula>
    </cfRule>
  </conditionalFormatting>
  <conditionalFormatting sqref="C43">
    <cfRule type="expression" dxfId="1869" priority="1522">
      <formula>E43&gt;0</formula>
    </cfRule>
  </conditionalFormatting>
  <conditionalFormatting sqref="C43">
    <cfRule type="expression" dxfId="1868" priority="1521">
      <formula>E43&gt;0</formula>
    </cfRule>
  </conditionalFormatting>
  <conditionalFormatting sqref="C43">
    <cfRule type="expression" dxfId="1867" priority="1520">
      <formula>E43&gt;0</formula>
    </cfRule>
  </conditionalFormatting>
  <conditionalFormatting sqref="C43">
    <cfRule type="expression" dxfId="1866" priority="1519">
      <formula>E43&gt;0</formula>
    </cfRule>
  </conditionalFormatting>
  <conditionalFormatting sqref="C43">
    <cfRule type="expression" dxfId="1865" priority="1518">
      <formula>E43&gt;0</formula>
    </cfRule>
  </conditionalFormatting>
  <conditionalFormatting sqref="C43">
    <cfRule type="expression" dxfId="1864" priority="1517">
      <formula>E43&gt;0</formula>
    </cfRule>
  </conditionalFormatting>
  <conditionalFormatting sqref="C43">
    <cfRule type="expression" dxfId="1863" priority="1516">
      <formula>E43&gt;0</formula>
    </cfRule>
  </conditionalFormatting>
  <conditionalFormatting sqref="C43">
    <cfRule type="expression" dxfId="1862" priority="1515">
      <formula>E43&gt;0</formula>
    </cfRule>
  </conditionalFormatting>
  <conditionalFormatting sqref="C43">
    <cfRule type="expression" dxfId="1861" priority="1514">
      <formula>E43&gt;0</formula>
    </cfRule>
  </conditionalFormatting>
  <conditionalFormatting sqref="C43">
    <cfRule type="expression" dxfId="1860" priority="1513">
      <formula>E43&gt;0</formula>
    </cfRule>
  </conditionalFormatting>
  <conditionalFormatting sqref="C43">
    <cfRule type="expression" dxfId="1859" priority="1512">
      <formula>E43&gt;0</formula>
    </cfRule>
  </conditionalFormatting>
  <conditionalFormatting sqref="C43">
    <cfRule type="expression" dxfId="1858" priority="1511">
      <formula>E43&gt;0</formula>
    </cfRule>
  </conditionalFormatting>
  <conditionalFormatting sqref="C43">
    <cfRule type="expression" dxfId="1857" priority="1510">
      <formula>E43&gt;0</formula>
    </cfRule>
  </conditionalFormatting>
  <conditionalFormatting sqref="C43">
    <cfRule type="expression" dxfId="1856" priority="1509">
      <formula>E43&gt;0</formula>
    </cfRule>
  </conditionalFormatting>
  <conditionalFormatting sqref="C43">
    <cfRule type="expression" dxfId="1855" priority="1508">
      <formula>E43&gt;0</formula>
    </cfRule>
  </conditionalFormatting>
  <conditionalFormatting sqref="C43">
    <cfRule type="expression" dxfId="1854" priority="1507">
      <formula>E43&gt;0</formula>
    </cfRule>
  </conditionalFormatting>
  <conditionalFormatting sqref="C43">
    <cfRule type="expression" dxfId="1853" priority="1506">
      <formula>E43&gt;0</formula>
    </cfRule>
  </conditionalFormatting>
  <conditionalFormatting sqref="C43">
    <cfRule type="expression" dxfId="1852" priority="1505">
      <formula>E43&gt;0</formula>
    </cfRule>
  </conditionalFormatting>
  <conditionalFormatting sqref="C43">
    <cfRule type="expression" dxfId="1851" priority="1504">
      <formula>E43&gt;0</formula>
    </cfRule>
  </conditionalFormatting>
  <conditionalFormatting sqref="C43">
    <cfRule type="expression" dxfId="1850" priority="1503">
      <formula>E43&gt;0</formula>
    </cfRule>
  </conditionalFormatting>
  <conditionalFormatting sqref="C43">
    <cfRule type="expression" dxfId="1849" priority="1502">
      <formula>E43&gt;0</formula>
    </cfRule>
  </conditionalFormatting>
  <conditionalFormatting sqref="C43">
    <cfRule type="expression" dxfId="1848" priority="1501">
      <formula>E43&gt;0</formula>
    </cfRule>
  </conditionalFormatting>
  <conditionalFormatting sqref="C43">
    <cfRule type="expression" dxfId="1847" priority="1500">
      <formula>E43&gt;0</formula>
    </cfRule>
  </conditionalFormatting>
  <conditionalFormatting sqref="C43">
    <cfRule type="expression" dxfId="1846" priority="1499">
      <formula>E43&gt;0</formula>
    </cfRule>
  </conditionalFormatting>
  <conditionalFormatting sqref="C43">
    <cfRule type="expression" dxfId="1845" priority="1498">
      <formula>E43&gt;0</formula>
    </cfRule>
  </conditionalFormatting>
  <conditionalFormatting sqref="C43">
    <cfRule type="expression" dxfId="1844" priority="1497">
      <formula>E43&gt;0</formula>
    </cfRule>
  </conditionalFormatting>
  <conditionalFormatting sqref="C43">
    <cfRule type="expression" dxfId="1843" priority="1496">
      <formula>E43&gt;0</formula>
    </cfRule>
  </conditionalFormatting>
  <conditionalFormatting sqref="C43">
    <cfRule type="expression" dxfId="1842" priority="1495">
      <formula>E43&gt;0</formula>
    </cfRule>
  </conditionalFormatting>
  <conditionalFormatting sqref="C43">
    <cfRule type="expression" dxfId="1841" priority="1494">
      <formula>E43&gt;0</formula>
    </cfRule>
  </conditionalFormatting>
  <conditionalFormatting sqref="C43">
    <cfRule type="expression" dxfId="1840" priority="1493">
      <formula>E43&gt;0</formula>
    </cfRule>
  </conditionalFormatting>
  <conditionalFormatting sqref="C43">
    <cfRule type="expression" dxfId="1839" priority="1492">
      <formula>E43&gt;0</formula>
    </cfRule>
  </conditionalFormatting>
  <conditionalFormatting sqref="C43">
    <cfRule type="expression" dxfId="1838" priority="1491">
      <formula>E43&gt;0</formula>
    </cfRule>
  </conditionalFormatting>
  <conditionalFormatting sqref="C43">
    <cfRule type="expression" dxfId="1837" priority="1490">
      <formula>E43&gt;0</formula>
    </cfRule>
  </conditionalFormatting>
  <conditionalFormatting sqref="C43">
    <cfRule type="expression" dxfId="1836" priority="1489">
      <formula>E43&gt;0</formula>
    </cfRule>
  </conditionalFormatting>
  <conditionalFormatting sqref="C43">
    <cfRule type="expression" dxfId="1835" priority="1488">
      <formula>E43&gt;0</formula>
    </cfRule>
  </conditionalFormatting>
  <conditionalFormatting sqref="C43">
    <cfRule type="expression" dxfId="1834" priority="1487">
      <formula>E43&gt;0</formula>
    </cfRule>
  </conditionalFormatting>
  <conditionalFormatting sqref="C43">
    <cfRule type="expression" dxfId="1833" priority="1486">
      <formula>E43&gt;0</formula>
    </cfRule>
  </conditionalFormatting>
  <conditionalFormatting sqref="C43">
    <cfRule type="expression" dxfId="1832" priority="1485">
      <formula>E43&gt;0</formula>
    </cfRule>
  </conditionalFormatting>
  <conditionalFormatting sqref="C43">
    <cfRule type="expression" dxfId="1831" priority="1484">
      <formula>E43&gt;0</formula>
    </cfRule>
  </conditionalFormatting>
  <conditionalFormatting sqref="C43">
    <cfRule type="expression" dxfId="1830" priority="1483">
      <formula>E43&gt;0</formula>
    </cfRule>
  </conditionalFormatting>
  <conditionalFormatting sqref="C43">
    <cfRule type="expression" dxfId="1829" priority="1482">
      <formula>E43&gt;0</formula>
    </cfRule>
  </conditionalFormatting>
  <conditionalFormatting sqref="C43">
    <cfRule type="expression" dxfId="1828" priority="1481">
      <formula>E43&gt;0</formula>
    </cfRule>
  </conditionalFormatting>
  <conditionalFormatting sqref="C43">
    <cfRule type="expression" dxfId="1827" priority="1480">
      <formula>E43&gt;0</formula>
    </cfRule>
  </conditionalFormatting>
  <conditionalFormatting sqref="C43">
    <cfRule type="expression" dxfId="1826" priority="1479">
      <formula>E43&gt;0</formula>
    </cfRule>
  </conditionalFormatting>
  <conditionalFormatting sqref="C43">
    <cfRule type="expression" dxfId="1825" priority="1478">
      <formula>E43&gt;0</formula>
    </cfRule>
  </conditionalFormatting>
  <conditionalFormatting sqref="C43">
    <cfRule type="expression" dxfId="1824" priority="1477">
      <formula>E43&gt;0</formula>
    </cfRule>
  </conditionalFormatting>
  <conditionalFormatting sqref="C43">
    <cfRule type="expression" dxfId="1823" priority="1476">
      <formula>E43&gt;0</formula>
    </cfRule>
  </conditionalFormatting>
  <conditionalFormatting sqref="C43">
    <cfRule type="expression" dxfId="1822" priority="1475">
      <formula>E43&gt;0</formula>
    </cfRule>
  </conditionalFormatting>
  <conditionalFormatting sqref="C43">
    <cfRule type="expression" dxfId="1821" priority="1474">
      <formula>E43&gt;0</formula>
    </cfRule>
  </conditionalFormatting>
  <conditionalFormatting sqref="C43">
    <cfRule type="expression" dxfId="1820" priority="1473">
      <formula>E43&gt;0</formula>
    </cfRule>
  </conditionalFormatting>
  <conditionalFormatting sqref="C43">
    <cfRule type="expression" dxfId="1819" priority="1472">
      <formula>E43&gt;0</formula>
    </cfRule>
  </conditionalFormatting>
  <conditionalFormatting sqref="C43">
    <cfRule type="expression" dxfId="1818" priority="1471">
      <formula>E43&gt;0</formula>
    </cfRule>
  </conditionalFormatting>
  <conditionalFormatting sqref="C43">
    <cfRule type="expression" dxfId="1817" priority="1470">
      <formula>E43&gt;0</formula>
    </cfRule>
  </conditionalFormatting>
  <conditionalFormatting sqref="C43">
    <cfRule type="expression" dxfId="1816" priority="1469">
      <formula>E43&gt;0</formula>
    </cfRule>
  </conditionalFormatting>
  <conditionalFormatting sqref="C43">
    <cfRule type="expression" dxfId="1815" priority="1468">
      <formula>E43&gt;0</formula>
    </cfRule>
  </conditionalFormatting>
  <conditionalFormatting sqref="C43">
    <cfRule type="expression" dxfId="1814" priority="1467">
      <formula>E43&gt;0</formula>
    </cfRule>
  </conditionalFormatting>
  <conditionalFormatting sqref="C43">
    <cfRule type="expression" dxfId="1813" priority="1466">
      <formula>E43&gt;0</formula>
    </cfRule>
  </conditionalFormatting>
  <conditionalFormatting sqref="C43">
    <cfRule type="expression" dxfId="1812" priority="1465">
      <formula>E43&gt;0</formula>
    </cfRule>
  </conditionalFormatting>
  <conditionalFormatting sqref="C43">
    <cfRule type="expression" dxfId="1811" priority="1464">
      <formula>E43&gt;0</formula>
    </cfRule>
  </conditionalFormatting>
  <conditionalFormatting sqref="C43">
    <cfRule type="expression" dxfId="1810" priority="1463">
      <formula>E43&gt;0</formula>
    </cfRule>
  </conditionalFormatting>
  <conditionalFormatting sqref="C43">
    <cfRule type="expression" dxfId="1809" priority="1462">
      <formula>E43&gt;0</formula>
    </cfRule>
  </conditionalFormatting>
  <conditionalFormatting sqref="C43">
    <cfRule type="expression" dxfId="1808" priority="1461">
      <formula>E43&gt;0</formula>
    </cfRule>
  </conditionalFormatting>
  <conditionalFormatting sqref="C43">
    <cfRule type="expression" dxfId="1807" priority="1460">
      <formula>E43&gt;0</formula>
    </cfRule>
  </conditionalFormatting>
  <conditionalFormatting sqref="C43">
    <cfRule type="expression" dxfId="1806" priority="1459">
      <formula>E43&gt;0</formula>
    </cfRule>
  </conditionalFormatting>
  <conditionalFormatting sqref="C43">
    <cfRule type="expression" dxfId="1805" priority="1458">
      <formula>E43&gt;0</formula>
    </cfRule>
  </conditionalFormatting>
  <conditionalFormatting sqref="C43">
    <cfRule type="expression" dxfId="1804" priority="1457">
      <formula>E43&gt;0</formula>
    </cfRule>
  </conditionalFormatting>
  <conditionalFormatting sqref="C43">
    <cfRule type="expression" dxfId="1803" priority="1456">
      <formula>E43&gt;0</formula>
    </cfRule>
  </conditionalFormatting>
  <conditionalFormatting sqref="C43">
    <cfRule type="expression" dxfId="1802" priority="1455">
      <formula>E43&gt;0</formula>
    </cfRule>
  </conditionalFormatting>
  <conditionalFormatting sqref="C43">
    <cfRule type="expression" dxfId="1801" priority="1454">
      <formula>E43&gt;0</formula>
    </cfRule>
  </conditionalFormatting>
  <conditionalFormatting sqref="C43">
    <cfRule type="expression" dxfId="1800" priority="1453">
      <formula>E43&gt;0</formula>
    </cfRule>
  </conditionalFormatting>
  <conditionalFormatting sqref="C43">
    <cfRule type="expression" dxfId="1799" priority="1452">
      <formula>E43&gt;0</formula>
    </cfRule>
  </conditionalFormatting>
  <conditionalFormatting sqref="C43">
    <cfRule type="expression" dxfId="1798" priority="1451">
      <formula>E43&gt;0</formula>
    </cfRule>
  </conditionalFormatting>
  <conditionalFormatting sqref="C43">
    <cfRule type="expression" dxfId="1797" priority="1450">
      <formula>E43&gt;0</formula>
    </cfRule>
  </conditionalFormatting>
  <conditionalFormatting sqref="C43">
    <cfRule type="expression" dxfId="1796" priority="1449">
      <formula>E43&gt;0</formula>
    </cfRule>
  </conditionalFormatting>
  <conditionalFormatting sqref="C43">
    <cfRule type="expression" dxfId="1795" priority="1448">
      <formula>E43&gt;0</formula>
    </cfRule>
  </conditionalFormatting>
  <conditionalFormatting sqref="C43">
    <cfRule type="expression" dxfId="1794" priority="1447">
      <formula>E43&gt;0</formula>
    </cfRule>
  </conditionalFormatting>
  <conditionalFormatting sqref="C43">
    <cfRule type="expression" dxfId="1793" priority="1446">
      <formula>E43&gt;0</formula>
    </cfRule>
  </conditionalFormatting>
  <conditionalFormatting sqref="C43">
    <cfRule type="expression" dxfId="1792" priority="1445">
      <formula>E43&gt;0</formula>
    </cfRule>
  </conditionalFormatting>
  <conditionalFormatting sqref="C43">
    <cfRule type="expression" dxfId="1791" priority="1444">
      <formula>E43&gt;0</formula>
    </cfRule>
  </conditionalFormatting>
  <conditionalFormatting sqref="C43">
    <cfRule type="expression" dxfId="1790" priority="1443">
      <formula>E43&gt;0</formula>
    </cfRule>
  </conditionalFormatting>
  <conditionalFormatting sqref="C43">
    <cfRule type="expression" dxfId="1789" priority="1442">
      <formula>E43&gt;0</formula>
    </cfRule>
  </conditionalFormatting>
  <conditionalFormatting sqref="C43">
    <cfRule type="expression" dxfId="1788" priority="1441">
      <formula>E43&gt;0</formula>
    </cfRule>
  </conditionalFormatting>
  <conditionalFormatting sqref="C43">
    <cfRule type="expression" dxfId="1787" priority="1440">
      <formula>E43&gt;0</formula>
    </cfRule>
  </conditionalFormatting>
  <conditionalFormatting sqref="C43">
    <cfRule type="expression" dxfId="1786" priority="1439">
      <formula>E43&gt;0</formula>
    </cfRule>
  </conditionalFormatting>
  <conditionalFormatting sqref="C43">
    <cfRule type="expression" dxfId="1785" priority="1438">
      <formula>E43&gt;0</formula>
    </cfRule>
  </conditionalFormatting>
  <conditionalFormatting sqref="C43">
    <cfRule type="expression" dxfId="1784" priority="1437">
      <formula>E43&gt;0</formula>
    </cfRule>
  </conditionalFormatting>
  <conditionalFormatting sqref="C43">
    <cfRule type="expression" dxfId="1783" priority="1436">
      <formula>E43&gt;0</formula>
    </cfRule>
  </conditionalFormatting>
  <conditionalFormatting sqref="C43">
    <cfRule type="expression" dxfId="1782" priority="1435">
      <formula>E43&gt;0</formula>
    </cfRule>
  </conditionalFormatting>
  <conditionalFormatting sqref="C43">
    <cfRule type="expression" dxfId="1781" priority="1434">
      <formula>E43&gt;0</formula>
    </cfRule>
  </conditionalFormatting>
  <conditionalFormatting sqref="C43">
    <cfRule type="expression" dxfId="1780" priority="1433">
      <formula>E43&gt;0</formula>
    </cfRule>
  </conditionalFormatting>
  <conditionalFormatting sqref="C43">
    <cfRule type="expression" dxfId="1779" priority="1432">
      <formula>E43&gt;0</formula>
    </cfRule>
  </conditionalFormatting>
  <conditionalFormatting sqref="C43">
    <cfRule type="expression" dxfId="1778" priority="1431">
      <formula>E43&gt;0</formula>
    </cfRule>
  </conditionalFormatting>
  <conditionalFormatting sqref="C43">
    <cfRule type="expression" dxfId="1777" priority="1430">
      <formula>E43&gt;0</formula>
    </cfRule>
  </conditionalFormatting>
  <conditionalFormatting sqref="C43">
    <cfRule type="expression" dxfId="1776" priority="1429">
      <formula>E43&gt;0</formula>
    </cfRule>
  </conditionalFormatting>
  <conditionalFormatting sqref="C43">
    <cfRule type="expression" dxfId="1775" priority="1428">
      <formula>E43&gt;0</formula>
    </cfRule>
  </conditionalFormatting>
  <conditionalFormatting sqref="C43">
    <cfRule type="expression" dxfId="1774" priority="1427">
      <formula>E43&gt;0</formula>
    </cfRule>
  </conditionalFormatting>
  <conditionalFormatting sqref="C43">
    <cfRule type="expression" dxfId="1773" priority="1426">
      <formula>E43&gt;0</formula>
    </cfRule>
  </conditionalFormatting>
  <conditionalFormatting sqref="C43">
    <cfRule type="expression" dxfId="1772" priority="1425">
      <formula>E43&gt;0</formula>
    </cfRule>
  </conditionalFormatting>
  <conditionalFormatting sqref="C43">
    <cfRule type="expression" dxfId="1771" priority="1424">
      <formula>E43&gt;0</formula>
    </cfRule>
  </conditionalFormatting>
  <conditionalFormatting sqref="C43">
    <cfRule type="expression" dxfId="1770" priority="1423">
      <formula>E43&gt;0</formula>
    </cfRule>
  </conditionalFormatting>
  <conditionalFormatting sqref="C43">
    <cfRule type="expression" dxfId="1769" priority="1422">
      <formula>E43&gt;0</formula>
    </cfRule>
  </conditionalFormatting>
  <conditionalFormatting sqref="C43">
    <cfRule type="expression" dxfId="1768" priority="1421">
      <formula>E43&gt;0</formula>
    </cfRule>
  </conditionalFormatting>
  <conditionalFormatting sqref="C43">
    <cfRule type="expression" dxfId="1767" priority="1420">
      <formula>E43&gt;0</formula>
    </cfRule>
  </conditionalFormatting>
  <conditionalFormatting sqref="C43">
    <cfRule type="expression" dxfId="1766" priority="1419">
      <formula>E43&gt;0</formula>
    </cfRule>
  </conditionalFormatting>
  <conditionalFormatting sqref="C43">
    <cfRule type="expression" dxfId="1765" priority="1418">
      <formula>E43&gt;0</formula>
    </cfRule>
  </conditionalFormatting>
  <conditionalFormatting sqref="C43">
    <cfRule type="expression" dxfId="1764" priority="1417">
      <formula>E43&gt;0</formula>
    </cfRule>
  </conditionalFormatting>
  <conditionalFormatting sqref="C43">
    <cfRule type="expression" dxfId="1763" priority="1416">
      <formula>E43&gt;0</formula>
    </cfRule>
  </conditionalFormatting>
  <conditionalFormatting sqref="C43">
    <cfRule type="expression" dxfId="1762" priority="1415">
      <formula>E43&gt;0</formula>
    </cfRule>
  </conditionalFormatting>
  <conditionalFormatting sqref="C43">
    <cfRule type="expression" dxfId="1761" priority="1414">
      <formula>E43&gt;0</formula>
    </cfRule>
  </conditionalFormatting>
  <conditionalFormatting sqref="C43">
    <cfRule type="expression" dxfId="1760" priority="1413">
      <formula>E43&gt;0</formula>
    </cfRule>
  </conditionalFormatting>
  <conditionalFormatting sqref="C43">
    <cfRule type="expression" dxfId="1759" priority="1412">
      <formula>E43&gt;0</formula>
    </cfRule>
  </conditionalFormatting>
  <conditionalFormatting sqref="C43">
    <cfRule type="expression" dxfId="1758" priority="1411">
      <formula>E43&gt;0</formula>
    </cfRule>
  </conditionalFormatting>
  <conditionalFormatting sqref="C43">
    <cfRule type="expression" dxfId="1757" priority="1410">
      <formula>E43&gt;0</formula>
    </cfRule>
  </conditionalFormatting>
  <conditionalFormatting sqref="C43">
    <cfRule type="expression" dxfId="1756" priority="1409">
      <formula>E43&gt;0</formula>
    </cfRule>
  </conditionalFormatting>
  <conditionalFormatting sqref="C43">
    <cfRule type="expression" dxfId="1755" priority="1408">
      <formula>E43&gt;0</formula>
    </cfRule>
  </conditionalFormatting>
  <conditionalFormatting sqref="C43">
    <cfRule type="expression" dxfId="1754" priority="1407">
      <formula>E43&gt;0</formula>
    </cfRule>
  </conditionalFormatting>
  <conditionalFormatting sqref="C43">
    <cfRule type="expression" dxfId="1753" priority="1406">
      <formula>E43&gt;0</formula>
    </cfRule>
  </conditionalFormatting>
  <conditionalFormatting sqref="C43">
    <cfRule type="expression" dxfId="1752" priority="1405">
      <formula>E43&gt;0</formula>
    </cfRule>
  </conditionalFormatting>
  <conditionalFormatting sqref="C43">
    <cfRule type="expression" dxfId="1751" priority="1404">
      <formula>E43&gt;0</formula>
    </cfRule>
  </conditionalFormatting>
  <conditionalFormatting sqref="C43">
    <cfRule type="expression" dxfId="1750" priority="1403">
      <formula>E43&gt;0</formula>
    </cfRule>
  </conditionalFormatting>
  <conditionalFormatting sqref="C43">
    <cfRule type="expression" dxfId="1749" priority="1402">
      <formula>E43&gt;0</formula>
    </cfRule>
  </conditionalFormatting>
  <conditionalFormatting sqref="C43">
    <cfRule type="expression" dxfId="1748" priority="1401">
      <formula>E43&gt;0</formula>
    </cfRule>
  </conditionalFormatting>
  <conditionalFormatting sqref="C43">
    <cfRule type="expression" dxfId="1747" priority="1400">
      <formula>E43&gt;0</formula>
    </cfRule>
  </conditionalFormatting>
  <conditionalFormatting sqref="C43">
    <cfRule type="expression" dxfId="1746" priority="1399">
      <formula>E43&gt;0</formula>
    </cfRule>
  </conditionalFormatting>
  <conditionalFormatting sqref="C43">
    <cfRule type="expression" dxfId="1745" priority="1398">
      <formula>E43&gt;0</formula>
    </cfRule>
  </conditionalFormatting>
  <conditionalFormatting sqref="C43">
    <cfRule type="expression" dxfId="1744" priority="1397">
      <formula>E43&gt;0</formula>
    </cfRule>
  </conditionalFormatting>
  <conditionalFormatting sqref="C43">
    <cfRule type="expression" dxfId="1743" priority="1396">
      <formula>E43&gt;0</formula>
    </cfRule>
  </conditionalFormatting>
  <conditionalFormatting sqref="C43">
    <cfRule type="expression" dxfId="1742" priority="1395">
      <formula>E43&gt;0</formula>
    </cfRule>
  </conditionalFormatting>
  <conditionalFormatting sqref="C43">
    <cfRule type="expression" dxfId="1741" priority="1394">
      <formula>E43&gt;0</formula>
    </cfRule>
  </conditionalFormatting>
  <conditionalFormatting sqref="C43">
    <cfRule type="expression" dxfId="1740" priority="1393">
      <formula>E43&gt;0</formula>
    </cfRule>
  </conditionalFormatting>
  <conditionalFormatting sqref="C43">
    <cfRule type="expression" dxfId="1739" priority="1392">
      <formula>E43&gt;0</formula>
    </cfRule>
  </conditionalFormatting>
  <conditionalFormatting sqref="C43">
    <cfRule type="expression" dxfId="1738" priority="1391">
      <formula>E43&gt;0</formula>
    </cfRule>
  </conditionalFormatting>
  <conditionalFormatting sqref="C43">
    <cfRule type="expression" dxfId="1737" priority="1390">
      <formula>E43&gt;0</formula>
    </cfRule>
  </conditionalFormatting>
  <conditionalFormatting sqref="C43">
    <cfRule type="expression" dxfId="1736" priority="1389">
      <formula>E43&gt;0</formula>
    </cfRule>
  </conditionalFormatting>
  <conditionalFormatting sqref="C43">
    <cfRule type="expression" dxfId="1735" priority="1388">
      <formula>E43&gt;0</formula>
    </cfRule>
  </conditionalFormatting>
  <conditionalFormatting sqref="C43">
    <cfRule type="expression" dxfId="1734" priority="1387">
      <formula>E43&gt;0</formula>
    </cfRule>
  </conditionalFormatting>
  <conditionalFormatting sqref="C43">
    <cfRule type="expression" dxfId="1733" priority="1386">
      <formula>E43&gt;0</formula>
    </cfRule>
  </conditionalFormatting>
  <conditionalFormatting sqref="C43">
    <cfRule type="expression" dxfId="1732" priority="1385">
      <formula>E43&gt;0</formula>
    </cfRule>
  </conditionalFormatting>
  <conditionalFormatting sqref="C43">
    <cfRule type="expression" dxfId="1731" priority="1384">
      <formula>E43&gt;0</formula>
    </cfRule>
  </conditionalFormatting>
  <conditionalFormatting sqref="C43">
    <cfRule type="expression" dxfId="1730" priority="1383">
      <formula>E43&gt;0</formula>
    </cfRule>
  </conditionalFormatting>
  <conditionalFormatting sqref="C43">
    <cfRule type="expression" dxfId="1729" priority="1382">
      <formula>E43&gt;0</formula>
    </cfRule>
  </conditionalFormatting>
  <conditionalFormatting sqref="C43">
    <cfRule type="expression" dxfId="1728" priority="1381">
      <formula>E43&gt;0</formula>
    </cfRule>
  </conditionalFormatting>
  <conditionalFormatting sqref="C43">
    <cfRule type="expression" dxfId="1727" priority="1380">
      <formula>E43&gt;0</formula>
    </cfRule>
  </conditionalFormatting>
  <conditionalFormatting sqref="C43">
    <cfRule type="expression" dxfId="1726" priority="1379">
      <formula>E43&gt;0</formula>
    </cfRule>
  </conditionalFormatting>
  <conditionalFormatting sqref="C43">
    <cfRule type="expression" dxfId="1725" priority="1378">
      <formula>E43&gt;0</formula>
    </cfRule>
  </conditionalFormatting>
  <conditionalFormatting sqref="C43">
    <cfRule type="expression" dxfId="1724" priority="1377">
      <formula>E43&gt;0</formula>
    </cfRule>
  </conditionalFormatting>
  <conditionalFormatting sqref="C43">
    <cfRule type="expression" dxfId="1723" priority="1376">
      <formula>E43&gt;0</formula>
    </cfRule>
  </conditionalFormatting>
  <conditionalFormatting sqref="C43">
    <cfRule type="expression" dxfId="1722" priority="1375">
      <formula>E43&gt;0</formula>
    </cfRule>
  </conditionalFormatting>
  <conditionalFormatting sqref="C43">
    <cfRule type="expression" dxfId="1721" priority="1374">
      <formula>E43&gt;0</formula>
    </cfRule>
  </conditionalFormatting>
  <conditionalFormatting sqref="C43">
    <cfRule type="expression" dxfId="1720" priority="1373">
      <formula>E43&gt;0</formula>
    </cfRule>
  </conditionalFormatting>
  <conditionalFormatting sqref="C43">
    <cfRule type="expression" dxfId="1719" priority="1372">
      <formula>E43&gt;0</formula>
    </cfRule>
  </conditionalFormatting>
  <conditionalFormatting sqref="C43">
    <cfRule type="expression" dxfId="1718" priority="1371">
      <formula>E43&gt;0</formula>
    </cfRule>
  </conditionalFormatting>
  <conditionalFormatting sqref="C43">
    <cfRule type="expression" dxfId="1717" priority="1370">
      <formula>E43&gt;0</formula>
    </cfRule>
  </conditionalFormatting>
  <conditionalFormatting sqref="C43">
    <cfRule type="expression" dxfId="1716" priority="1369">
      <formula>E43&gt;0</formula>
    </cfRule>
  </conditionalFormatting>
  <conditionalFormatting sqref="C43">
    <cfRule type="expression" dxfId="1715" priority="1368">
      <formula>E43&gt;0</formula>
    </cfRule>
  </conditionalFormatting>
  <conditionalFormatting sqref="C43">
    <cfRule type="expression" dxfId="1714" priority="1367">
      <formula>E43&gt;0</formula>
    </cfRule>
  </conditionalFormatting>
  <conditionalFormatting sqref="C43">
    <cfRule type="expression" dxfId="1713" priority="1366">
      <formula>E43&gt;0</formula>
    </cfRule>
  </conditionalFormatting>
  <conditionalFormatting sqref="C43">
    <cfRule type="expression" dxfId="1712" priority="1365">
      <formula>E43&gt;0</formula>
    </cfRule>
  </conditionalFormatting>
  <conditionalFormatting sqref="C43">
    <cfRule type="expression" dxfId="1711" priority="1364">
      <formula>E43&gt;0</formula>
    </cfRule>
  </conditionalFormatting>
  <conditionalFormatting sqref="C43">
    <cfRule type="expression" dxfId="1710" priority="1363">
      <formula>E43&gt;0</formula>
    </cfRule>
  </conditionalFormatting>
  <conditionalFormatting sqref="C43">
    <cfRule type="expression" dxfId="1709" priority="1362">
      <formula>E43&gt;0</formula>
    </cfRule>
  </conditionalFormatting>
  <conditionalFormatting sqref="C43">
    <cfRule type="expression" dxfId="1708" priority="1361">
      <formula>E43&gt;0</formula>
    </cfRule>
  </conditionalFormatting>
  <conditionalFormatting sqref="C43">
    <cfRule type="expression" dxfId="1707" priority="1360">
      <formula>E43&gt;0</formula>
    </cfRule>
  </conditionalFormatting>
  <conditionalFormatting sqref="C43">
    <cfRule type="expression" dxfId="1706" priority="1359">
      <formula>E43&gt;0</formula>
    </cfRule>
  </conditionalFormatting>
  <conditionalFormatting sqref="C43">
    <cfRule type="expression" dxfId="1705" priority="1358">
      <formula>E43&gt;0</formula>
    </cfRule>
  </conditionalFormatting>
  <conditionalFormatting sqref="C43">
    <cfRule type="expression" dxfId="1704" priority="1357">
      <formula>E43&gt;0</formula>
    </cfRule>
  </conditionalFormatting>
  <conditionalFormatting sqref="C43">
    <cfRule type="expression" dxfId="1703" priority="1356">
      <formula>E43&gt;0</formula>
    </cfRule>
  </conditionalFormatting>
  <conditionalFormatting sqref="C43">
    <cfRule type="expression" dxfId="1702" priority="1355">
      <formula>E43&gt;0</formula>
    </cfRule>
  </conditionalFormatting>
  <conditionalFormatting sqref="C43">
    <cfRule type="expression" dxfId="1701" priority="1354">
      <formula>E43&gt;0</formula>
    </cfRule>
  </conditionalFormatting>
  <conditionalFormatting sqref="C43">
    <cfRule type="expression" dxfId="1700" priority="1353">
      <formula>E43&gt;0</formula>
    </cfRule>
  </conditionalFormatting>
  <conditionalFormatting sqref="C43">
    <cfRule type="expression" dxfId="1699" priority="1352">
      <formula>E43&gt;0</formula>
    </cfRule>
  </conditionalFormatting>
  <conditionalFormatting sqref="C43">
    <cfRule type="expression" dxfId="1698" priority="1351">
      <formula>E43&gt;0</formula>
    </cfRule>
  </conditionalFormatting>
  <conditionalFormatting sqref="C43">
    <cfRule type="expression" dxfId="1697" priority="1350">
      <formula>E43&gt;0</formula>
    </cfRule>
  </conditionalFormatting>
  <conditionalFormatting sqref="C43">
    <cfRule type="expression" dxfId="1696" priority="1349">
      <formula>E43&gt;0</formula>
    </cfRule>
  </conditionalFormatting>
  <conditionalFormatting sqref="C43">
    <cfRule type="expression" dxfId="1695" priority="1348">
      <formula>E43&gt;0</formula>
    </cfRule>
  </conditionalFormatting>
  <conditionalFormatting sqref="C43">
    <cfRule type="expression" dxfId="1694" priority="1347">
      <formula>E43&gt;0</formula>
    </cfRule>
  </conditionalFormatting>
  <conditionalFormatting sqref="C43">
    <cfRule type="expression" dxfId="1693" priority="1346">
      <formula>E43&gt;0</formula>
    </cfRule>
  </conditionalFormatting>
  <conditionalFormatting sqref="C43">
    <cfRule type="expression" dxfId="1692" priority="1345">
      <formula>E43&gt;0</formula>
    </cfRule>
  </conditionalFormatting>
  <conditionalFormatting sqref="C43">
    <cfRule type="expression" dxfId="1691" priority="1344">
      <formula>E43&gt;0</formula>
    </cfRule>
  </conditionalFormatting>
  <conditionalFormatting sqref="C43">
    <cfRule type="expression" dxfId="1690" priority="1343">
      <formula>E43&gt;0</formula>
    </cfRule>
  </conditionalFormatting>
  <conditionalFormatting sqref="C43">
    <cfRule type="expression" dxfId="1689" priority="1342">
      <formula>E43&gt;0</formula>
    </cfRule>
  </conditionalFormatting>
  <conditionalFormatting sqref="C43">
    <cfRule type="expression" dxfId="1688" priority="1341">
      <formula>E43&gt;0</formula>
    </cfRule>
  </conditionalFormatting>
  <conditionalFormatting sqref="C43">
    <cfRule type="expression" dxfId="1687" priority="1340">
      <formula>E43&gt;0</formula>
    </cfRule>
  </conditionalFormatting>
  <conditionalFormatting sqref="C43">
    <cfRule type="expression" dxfId="1686" priority="1339">
      <formula>E43&gt;0</formula>
    </cfRule>
  </conditionalFormatting>
  <conditionalFormatting sqref="C43">
    <cfRule type="expression" dxfId="1685" priority="1338">
      <formula>E43&gt;0</formula>
    </cfRule>
  </conditionalFormatting>
  <conditionalFormatting sqref="C43">
    <cfRule type="expression" dxfId="1684" priority="1337">
      <formula>E43&gt;0</formula>
    </cfRule>
  </conditionalFormatting>
  <conditionalFormatting sqref="C43">
    <cfRule type="expression" dxfId="1683" priority="1336">
      <formula>E43&gt;0</formula>
    </cfRule>
  </conditionalFormatting>
  <conditionalFormatting sqref="C43">
    <cfRule type="expression" dxfId="1682" priority="1335">
      <formula>E43&gt;0</formula>
    </cfRule>
  </conditionalFormatting>
  <conditionalFormatting sqref="C43">
    <cfRule type="expression" dxfId="1681" priority="1334">
      <formula>E43&gt;0</formula>
    </cfRule>
  </conditionalFormatting>
  <conditionalFormatting sqref="C43">
    <cfRule type="expression" dxfId="1680" priority="1333">
      <formula>E43&gt;0</formula>
    </cfRule>
  </conditionalFormatting>
  <conditionalFormatting sqref="C43">
    <cfRule type="expression" dxfId="1679" priority="1332">
      <formula>E43&gt;0</formula>
    </cfRule>
  </conditionalFormatting>
  <conditionalFormatting sqref="C43">
    <cfRule type="expression" dxfId="1678" priority="1331">
      <formula>E43&gt;0</formula>
    </cfRule>
  </conditionalFormatting>
  <conditionalFormatting sqref="C43">
    <cfRule type="expression" dxfId="1677" priority="1330">
      <formula>E43&gt;0</formula>
    </cfRule>
  </conditionalFormatting>
  <conditionalFormatting sqref="C43">
    <cfRule type="expression" dxfId="1676" priority="1329">
      <formula>E43&gt;0</formula>
    </cfRule>
  </conditionalFormatting>
  <conditionalFormatting sqref="C43">
    <cfRule type="expression" dxfId="1675" priority="1328">
      <formula>E43&gt;0</formula>
    </cfRule>
  </conditionalFormatting>
  <conditionalFormatting sqref="C43">
    <cfRule type="expression" dxfId="1674" priority="1327">
      <formula>E43&gt;0</formula>
    </cfRule>
  </conditionalFormatting>
  <conditionalFormatting sqref="C43">
    <cfRule type="expression" dxfId="1673" priority="1326">
      <formula>E43&gt;0</formula>
    </cfRule>
  </conditionalFormatting>
  <conditionalFormatting sqref="C43">
    <cfRule type="expression" dxfId="1672" priority="1325">
      <formula>E43&gt;0</formula>
    </cfRule>
  </conditionalFormatting>
  <conditionalFormatting sqref="C43">
    <cfRule type="expression" dxfId="1671" priority="1324">
      <formula>E43&gt;0</formula>
    </cfRule>
  </conditionalFormatting>
  <conditionalFormatting sqref="C43">
    <cfRule type="expression" dxfId="1670" priority="1323">
      <formula>E43&gt;0</formula>
    </cfRule>
  </conditionalFormatting>
  <conditionalFormatting sqref="C43">
    <cfRule type="expression" dxfId="1669" priority="1322">
      <formula>E43&gt;0</formula>
    </cfRule>
  </conditionalFormatting>
  <conditionalFormatting sqref="C43">
    <cfRule type="expression" dxfId="1668" priority="1321">
      <formula>E43&gt;0</formula>
    </cfRule>
  </conditionalFormatting>
  <conditionalFormatting sqref="C43">
    <cfRule type="expression" dxfId="1667" priority="1320">
      <formula>E43&gt;0</formula>
    </cfRule>
  </conditionalFormatting>
  <conditionalFormatting sqref="C43">
    <cfRule type="expression" dxfId="1666" priority="1319">
      <formula>E43&gt;0</formula>
    </cfRule>
  </conditionalFormatting>
  <conditionalFormatting sqref="C43">
    <cfRule type="expression" dxfId="1665" priority="1318">
      <formula>E43&gt;0</formula>
    </cfRule>
  </conditionalFormatting>
  <conditionalFormatting sqref="C43">
    <cfRule type="expression" dxfId="1664" priority="1317">
      <formula>E43&gt;0</formula>
    </cfRule>
  </conditionalFormatting>
  <conditionalFormatting sqref="C53">
    <cfRule type="expression" dxfId="1663" priority="1316">
      <formula>E53&gt;0</formula>
    </cfRule>
  </conditionalFormatting>
  <conditionalFormatting sqref="C53">
    <cfRule type="expression" dxfId="1662" priority="1315">
      <formula>E53&gt;0</formula>
    </cfRule>
  </conditionalFormatting>
  <conditionalFormatting sqref="C53">
    <cfRule type="expression" dxfId="1661" priority="1314">
      <formula>E53&gt;0</formula>
    </cfRule>
  </conditionalFormatting>
  <conditionalFormatting sqref="C53">
    <cfRule type="expression" dxfId="1660" priority="1313">
      <formula>E53&gt;0</formula>
    </cfRule>
  </conditionalFormatting>
  <conditionalFormatting sqref="C53">
    <cfRule type="expression" dxfId="1659" priority="1312">
      <formula>E53&gt;0</formula>
    </cfRule>
  </conditionalFormatting>
  <conditionalFormatting sqref="C53">
    <cfRule type="expression" dxfId="1658" priority="1311">
      <formula>E53&gt;0</formula>
    </cfRule>
  </conditionalFormatting>
  <conditionalFormatting sqref="C53">
    <cfRule type="expression" dxfId="1657" priority="1310">
      <formula>E53&gt;0</formula>
    </cfRule>
  </conditionalFormatting>
  <conditionalFormatting sqref="C53">
    <cfRule type="expression" dxfId="1656" priority="1309">
      <formula>E53&gt;0</formula>
    </cfRule>
  </conditionalFormatting>
  <conditionalFormatting sqref="C53">
    <cfRule type="expression" dxfId="1655" priority="1308">
      <formula>E53&gt;0</formula>
    </cfRule>
  </conditionalFormatting>
  <conditionalFormatting sqref="C53">
    <cfRule type="expression" dxfId="1654" priority="1307">
      <formula>E53&gt;0</formula>
    </cfRule>
  </conditionalFormatting>
  <conditionalFormatting sqref="C53">
    <cfRule type="expression" dxfId="1653" priority="1306">
      <formula>E53&gt;0</formula>
    </cfRule>
  </conditionalFormatting>
  <conditionalFormatting sqref="C53">
    <cfRule type="expression" dxfId="1652" priority="1305">
      <formula>E53&gt;0</formula>
    </cfRule>
  </conditionalFormatting>
  <conditionalFormatting sqref="C53">
    <cfRule type="expression" dxfId="1651" priority="1304">
      <formula>E53&gt;0</formula>
    </cfRule>
  </conditionalFormatting>
  <conditionalFormatting sqref="C53">
    <cfRule type="expression" dxfId="1650" priority="1303">
      <formula>E53&gt;0</formula>
    </cfRule>
  </conditionalFormatting>
  <conditionalFormatting sqref="C53">
    <cfRule type="expression" dxfId="1649" priority="1302">
      <formula>E53&gt;0</formula>
    </cfRule>
  </conditionalFormatting>
  <conditionalFormatting sqref="C53">
    <cfRule type="expression" dxfId="1648" priority="1301">
      <formula>E53&gt;0</formula>
    </cfRule>
  </conditionalFormatting>
  <conditionalFormatting sqref="C53">
    <cfRule type="expression" dxfId="1647" priority="1300">
      <formula>E53&gt;0</formula>
    </cfRule>
  </conditionalFormatting>
  <conditionalFormatting sqref="C53">
    <cfRule type="expression" dxfId="1646" priority="1299">
      <formula>E53&gt;0</formula>
    </cfRule>
  </conditionalFormatting>
  <conditionalFormatting sqref="C53">
    <cfRule type="expression" dxfId="1645" priority="1298">
      <formula>E53&gt;0</formula>
    </cfRule>
  </conditionalFormatting>
  <conditionalFormatting sqref="C53">
    <cfRule type="expression" dxfId="1644" priority="1297">
      <formula>E53&gt;0</formula>
    </cfRule>
  </conditionalFormatting>
  <conditionalFormatting sqref="C53">
    <cfRule type="expression" dxfId="1643" priority="1296">
      <formula>E53&gt;0</formula>
    </cfRule>
  </conditionalFormatting>
  <conditionalFormatting sqref="C53">
    <cfRule type="expression" dxfId="1642" priority="1295">
      <formula>E53&gt;0</formula>
    </cfRule>
  </conditionalFormatting>
  <conditionalFormatting sqref="C53">
    <cfRule type="expression" dxfId="1641" priority="1294">
      <formula>E53&gt;0</formula>
    </cfRule>
  </conditionalFormatting>
  <conditionalFormatting sqref="C53">
    <cfRule type="expression" dxfId="1640" priority="1293">
      <formula>E53&gt;0</formula>
    </cfRule>
  </conditionalFormatting>
  <conditionalFormatting sqref="C53">
    <cfRule type="expression" dxfId="1639" priority="1292">
      <formula>E53&gt;0</formula>
    </cfRule>
  </conditionalFormatting>
  <conditionalFormatting sqref="C53">
    <cfRule type="expression" dxfId="1638" priority="1291">
      <formula>E53&gt;0</formula>
    </cfRule>
  </conditionalFormatting>
  <conditionalFormatting sqref="C53">
    <cfRule type="expression" dxfId="1637" priority="1290">
      <formula>E53&gt;0</formula>
    </cfRule>
  </conditionalFormatting>
  <conditionalFormatting sqref="C53">
    <cfRule type="expression" dxfId="1636" priority="1289">
      <formula>E53&gt;0</formula>
    </cfRule>
  </conditionalFormatting>
  <conditionalFormatting sqref="C53">
    <cfRule type="expression" dxfId="1635" priority="1288">
      <formula>E53&gt;0</formula>
    </cfRule>
  </conditionalFormatting>
  <conditionalFormatting sqref="C53">
    <cfRule type="expression" dxfId="1634" priority="1287">
      <formula>E53&gt;0</formula>
    </cfRule>
  </conditionalFormatting>
  <conditionalFormatting sqref="C53">
    <cfRule type="expression" dxfId="1633" priority="1286">
      <formula>E53&gt;0</formula>
    </cfRule>
  </conditionalFormatting>
  <conditionalFormatting sqref="C53">
    <cfRule type="expression" dxfId="1632" priority="1285">
      <formula>E53&gt;0</formula>
    </cfRule>
  </conditionalFormatting>
  <conditionalFormatting sqref="C53">
    <cfRule type="expression" dxfId="1631" priority="1284">
      <formula>E53&gt;0</formula>
    </cfRule>
  </conditionalFormatting>
  <conditionalFormatting sqref="C53">
    <cfRule type="expression" dxfId="1630" priority="1283">
      <formula>E53&gt;0</formula>
    </cfRule>
  </conditionalFormatting>
  <conditionalFormatting sqref="C53">
    <cfRule type="expression" dxfId="1629" priority="1282">
      <formula>E53&gt;0</formula>
    </cfRule>
  </conditionalFormatting>
  <conditionalFormatting sqref="C53">
    <cfRule type="expression" dxfId="1628" priority="1281">
      <formula>E53&gt;0</formula>
    </cfRule>
  </conditionalFormatting>
  <conditionalFormatting sqref="C53">
    <cfRule type="expression" dxfId="1627" priority="1280">
      <formula>E53&gt;0</formula>
    </cfRule>
  </conditionalFormatting>
  <conditionalFormatting sqref="C53">
    <cfRule type="expression" dxfId="1626" priority="1279">
      <formula>E53&gt;0</formula>
    </cfRule>
  </conditionalFormatting>
  <conditionalFormatting sqref="C53">
    <cfRule type="expression" dxfId="1625" priority="1278">
      <formula>E53&gt;0</formula>
    </cfRule>
  </conditionalFormatting>
  <conditionalFormatting sqref="C53">
    <cfRule type="expression" dxfId="1624" priority="1277">
      <formula>E53&gt;0</formula>
    </cfRule>
  </conditionalFormatting>
  <conditionalFormatting sqref="C53">
    <cfRule type="expression" dxfId="1623" priority="1276">
      <formula>E53&gt;0</formula>
    </cfRule>
  </conditionalFormatting>
  <conditionalFormatting sqref="C53">
    <cfRule type="expression" dxfId="1622" priority="1275">
      <formula>E53&gt;0</formula>
    </cfRule>
  </conditionalFormatting>
  <conditionalFormatting sqref="C53">
    <cfRule type="expression" dxfId="1621" priority="1274">
      <formula>E53&gt;0</formula>
    </cfRule>
  </conditionalFormatting>
  <conditionalFormatting sqref="C53">
    <cfRule type="expression" dxfId="1620" priority="1273">
      <formula>E53&gt;0</formula>
    </cfRule>
  </conditionalFormatting>
  <conditionalFormatting sqref="C53">
    <cfRule type="expression" dxfId="1619" priority="1272">
      <formula>E53&gt;0</formula>
    </cfRule>
  </conditionalFormatting>
  <conditionalFormatting sqref="C53">
    <cfRule type="expression" dxfId="1618" priority="1271">
      <formula>E53&gt;0</formula>
    </cfRule>
  </conditionalFormatting>
  <conditionalFormatting sqref="C53">
    <cfRule type="expression" dxfId="1617" priority="1270">
      <formula>E53&gt;0</formula>
    </cfRule>
  </conditionalFormatting>
  <conditionalFormatting sqref="C53">
    <cfRule type="expression" dxfId="1616" priority="1269">
      <formula>E53&gt;0</formula>
    </cfRule>
  </conditionalFormatting>
  <conditionalFormatting sqref="C53">
    <cfRule type="expression" dxfId="1615" priority="1268">
      <formula>E53&gt;0</formula>
    </cfRule>
  </conditionalFormatting>
  <conditionalFormatting sqref="C53">
    <cfRule type="expression" dxfId="1614" priority="1267">
      <formula>E53&gt;0</formula>
    </cfRule>
  </conditionalFormatting>
  <conditionalFormatting sqref="C53">
    <cfRule type="expression" dxfId="1613" priority="1266">
      <formula>E53&gt;0</formula>
    </cfRule>
  </conditionalFormatting>
  <conditionalFormatting sqref="C53">
    <cfRule type="expression" dxfId="1612" priority="1265">
      <formula>E53&gt;0</formula>
    </cfRule>
  </conditionalFormatting>
  <conditionalFormatting sqref="C53">
    <cfRule type="expression" dxfId="1611" priority="1264">
      <formula>E53&gt;0</formula>
    </cfRule>
  </conditionalFormatting>
  <conditionalFormatting sqref="C53">
    <cfRule type="expression" dxfId="1610" priority="1263">
      <formula>E53&gt;0</formula>
    </cfRule>
  </conditionalFormatting>
  <conditionalFormatting sqref="C53">
    <cfRule type="expression" dxfId="1609" priority="1262">
      <formula>E53&gt;0</formula>
    </cfRule>
  </conditionalFormatting>
  <conditionalFormatting sqref="C53">
    <cfRule type="expression" dxfId="1608" priority="1261">
      <formula>E53&gt;0</formula>
    </cfRule>
  </conditionalFormatting>
  <conditionalFormatting sqref="C53">
    <cfRule type="expression" dxfId="1607" priority="1260">
      <formula>E53&gt;0</formula>
    </cfRule>
  </conditionalFormatting>
  <conditionalFormatting sqref="C53">
    <cfRule type="expression" dxfId="1606" priority="1259">
      <formula>E53&gt;0</formula>
    </cfRule>
  </conditionalFormatting>
  <conditionalFormatting sqref="C53">
    <cfRule type="expression" dxfId="1605" priority="1258">
      <formula>E53&gt;0</formula>
    </cfRule>
  </conditionalFormatting>
  <conditionalFormatting sqref="C53">
    <cfRule type="expression" dxfId="1604" priority="1257">
      <formula>E53&gt;0</formula>
    </cfRule>
  </conditionalFormatting>
  <conditionalFormatting sqref="C53">
    <cfRule type="expression" dxfId="1603" priority="1256">
      <formula>E53&gt;0</formula>
    </cfRule>
  </conditionalFormatting>
  <conditionalFormatting sqref="C53">
    <cfRule type="expression" dxfId="1602" priority="1255">
      <formula>E53&gt;0</formula>
    </cfRule>
  </conditionalFormatting>
  <conditionalFormatting sqref="C53">
    <cfRule type="expression" dxfId="1601" priority="1254">
      <formula>E53&gt;0</formula>
    </cfRule>
  </conditionalFormatting>
  <conditionalFormatting sqref="C53">
    <cfRule type="expression" dxfId="1600" priority="1253">
      <formula>E53&gt;0</formula>
    </cfRule>
  </conditionalFormatting>
  <conditionalFormatting sqref="C53">
    <cfRule type="expression" dxfId="1599" priority="1252">
      <formula>E53&gt;0</formula>
    </cfRule>
  </conditionalFormatting>
  <conditionalFormatting sqref="C53">
    <cfRule type="expression" dxfId="1598" priority="1251">
      <formula>E53&gt;0</formula>
    </cfRule>
  </conditionalFormatting>
  <conditionalFormatting sqref="C53">
    <cfRule type="expression" dxfId="1597" priority="1250">
      <formula>E53&gt;0</formula>
    </cfRule>
  </conditionalFormatting>
  <conditionalFormatting sqref="C53">
    <cfRule type="expression" dxfId="1596" priority="1249">
      <formula>E53&gt;0</formula>
    </cfRule>
  </conditionalFormatting>
  <conditionalFormatting sqref="C53">
    <cfRule type="expression" dxfId="1595" priority="1248">
      <formula>E53&gt;0</formula>
    </cfRule>
  </conditionalFormatting>
  <conditionalFormatting sqref="C53">
    <cfRule type="expression" dxfId="1594" priority="1247">
      <formula>E53&gt;0</formula>
    </cfRule>
  </conditionalFormatting>
  <conditionalFormatting sqref="C53">
    <cfRule type="expression" dxfId="1593" priority="1246">
      <formula>E53&gt;0</formula>
    </cfRule>
  </conditionalFormatting>
  <conditionalFormatting sqref="C53">
    <cfRule type="expression" dxfId="1592" priority="1245">
      <formula>E53&gt;0</formula>
    </cfRule>
  </conditionalFormatting>
  <conditionalFormatting sqref="C53">
    <cfRule type="expression" dxfId="1591" priority="1244">
      <formula>E53&gt;0</formula>
    </cfRule>
  </conditionalFormatting>
  <conditionalFormatting sqref="C53">
    <cfRule type="expression" dxfId="1590" priority="1243">
      <formula>E53&gt;0</formula>
    </cfRule>
  </conditionalFormatting>
  <conditionalFormatting sqref="C53">
    <cfRule type="expression" dxfId="1589" priority="1242">
      <formula>E53&gt;0</formula>
    </cfRule>
  </conditionalFormatting>
  <conditionalFormatting sqref="C53">
    <cfRule type="expression" dxfId="1588" priority="1241">
      <formula>E53&gt;0</formula>
    </cfRule>
  </conditionalFormatting>
  <conditionalFormatting sqref="C53">
    <cfRule type="expression" dxfId="1587" priority="1240">
      <formula>E53&gt;0</formula>
    </cfRule>
  </conditionalFormatting>
  <conditionalFormatting sqref="C53">
    <cfRule type="expression" dxfId="1586" priority="1239">
      <formula>E53&gt;0</formula>
    </cfRule>
  </conditionalFormatting>
  <conditionalFormatting sqref="C53">
    <cfRule type="expression" dxfId="1585" priority="1238">
      <formula>E53&gt;0</formula>
    </cfRule>
  </conditionalFormatting>
  <conditionalFormatting sqref="C53">
    <cfRule type="expression" dxfId="1584" priority="1237">
      <formula>E53&gt;0</formula>
    </cfRule>
  </conditionalFormatting>
  <conditionalFormatting sqref="C53">
    <cfRule type="expression" dxfId="1583" priority="1236">
      <formula>E53&gt;0</formula>
    </cfRule>
  </conditionalFormatting>
  <conditionalFormatting sqref="C53">
    <cfRule type="expression" dxfId="1582" priority="1235">
      <formula>E53&gt;0</formula>
    </cfRule>
  </conditionalFormatting>
  <conditionalFormatting sqref="C53">
    <cfRule type="expression" dxfId="1581" priority="1234">
      <formula>E53&gt;0</formula>
    </cfRule>
  </conditionalFormatting>
  <conditionalFormatting sqref="C53">
    <cfRule type="expression" dxfId="1580" priority="1233">
      <formula>E53&gt;0</formula>
    </cfRule>
  </conditionalFormatting>
  <conditionalFormatting sqref="C53">
    <cfRule type="expression" dxfId="1579" priority="1232">
      <formula>E53&gt;0</formula>
    </cfRule>
  </conditionalFormatting>
  <conditionalFormatting sqref="C53">
    <cfRule type="expression" dxfId="1578" priority="1231">
      <formula>E53&gt;0</formula>
    </cfRule>
  </conditionalFormatting>
  <conditionalFormatting sqref="C53">
    <cfRule type="expression" dxfId="1577" priority="1230">
      <formula>E53&gt;0</formula>
    </cfRule>
  </conditionalFormatting>
  <conditionalFormatting sqref="C53">
    <cfRule type="expression" dxfId="1576" priority="1229">
      <formula>E53&gt;0</formula>
    </cfRule>
  </conditionalFormatting>
  <conditionalFormatting sqref="C53">
    <cfRule type="expression" dxfId="1575" priority="1228">
      <formula>E53&gt;0</formula>
    </cfRule>
  </conditionalFormatting>
  <conditionalFormatting sqref="C53">
    <cfRule type="expression" dxfId="1574" priority="1227">
      <formula>E53&gt;0</formula>
    </cfRule>
  </conditionalFormatting>
  <conditionalFormatting sqref="C53">
    <cfRule type="expression" dxfId="1573" priority="1226">
      <formula>E53&gt;0</formula>
    </cfRule>
  </conditionalFormatting>
  <conditionalFormatting sqref="C53">
    <cfRule type="expression" dxfId="1572" priority="1225">
      <formula>E53&gt;0</formula>
    </cfRule>
  </conditionalFormatting>
  <conditionalFormatting sqref="C53">
    <cfRule type="expression" dxfId="1571" priority="1224">
      <formula>E53&gt;0</formula>
    </cfRule>
  </conditionalFormatting>
  <conditionalFormatting sqref="C53">
    <cfRule type="expression" dxfId="1570" priority="1223">
      <formula>E53&gt;0</formula>
    </cfRule>
  </conditionalFormatting>
  <conditionalFormatting sqref="C53">
    <cfRule type="expression" dxfId="1569" priority="1222">
      <formula>E53&gt;0</formula>
    </cfRule>
  </conditionalFormatting>
  <conditionalFormatting sqref="C53">
    <cfRule type="expression" dxfId="1568" priority="1221">
      <formula>E53&gt;0</formula>
    </cfRule>
  </conditionalFormatting>
  <conditionalFormatting sqref="C53">
    <cfRule type="expression" dxfId="1567" priority="1220">
      <formula>E53&gt;0</formula>
    </cfRule>
  </conditionalFormatting>
  <conditionalFormatting sqref="C53">
    <cfRule type="expression" dxfId="1566" priority="1219">
      <formula>E53&gt;0</formula>
    </cfRule>
  </conditionalFormatting>
  <conditionalFormatting sqref="C53">
    <cfRule type="expression" dxfId="1565" priority="1218">
      <formula>E53&gt;0</formula>
    </cfRule>
  </conditionalFormatting>
  <conditionalFormatting sqref="C53">
    <cfRule type="expression" dxfId="1564" priority="1217">
      <formula>E53&gt;0</formula>
    </cfRule>
  </conditionalFormatting>
  <conditionalFormatting sqref="C53">
    <cfRule type="expression" dxfId="1563" priority="1216">
      <formula>E53&gt;0</formula>
    </cfRule>
  </conditionalFormatting>
  <conditionalFormatting sqref="C53">
    <cfRule type="expression" dxfId="1562" priority="1215">
      <formula>E53&gt;0</formula>
    </cfRule>
  </conditionalFormatting>
  <conditionalFormatting sqref="C53">
    <cfRule type="expression" dxfId="1561" priority="1214">
      <formula>E53&gt;0</formula>
    </cfRule>
  </conditionalFormatting>
  <conditionalFormatting sqref="C53">
    <cfRule type="expression" dxfId="1560" priority="1213">
      <formula>E53&gt;0</formula>
    </cfRule>
  </conditionalFormatting>
  <conditionalFormatting sqref="C53">
    <cfRule type="expression" dxfId="1559" priority="1212">
      <formula>E53&gt;0</formula>
    </cfRule>
  </conditionalFormatting>
  <conditionalFormatting sqref="C53">
    <cfRule type="expression" dxfId="1558" priority="1211">
      <formula>E53&gt;0</formula>
    </cfRule>
  </conditionalFormatting>
  <conditionalFormatting sqref="C53">
    <cfRule type="expression" dxfId="1557" priority="1210">
      <formula>E53&gt;0</formula>
    </cfRule>
  </conditionalFormatting>
  <conditionalFormatting sqref="C53">
    <cfRule type="expression" dxfId="1556" priority="1209">
      <formula>E53&gt;0</formula>
    </cfRule>
  </conditionalFormatting>
  <conditionalFormatting sqref="C53">
    <cfRule type="expression" dxfId="1555" priority="1208">
      <formula>E53&gt;0</formula>
    </cfRule>
  </conditionalFormatting>
  <conditionalFormatting sqref="C53">
    <cfRule type="expression" dxfId="1554" priority="1207">
      <formula>E53&gt;0</formula>
    </cfRule>
  </conditionalFormatting>
  <conditionalFormatting sqref="C53">
    <cfRule type="expression" dxfId="1553" priority="1206">
      <formula>E53&gt;0</formula>
    </cfRule>
  </conditionalFormatting>
  <conditionalFormatting sqref="C53">
    <cfRule type="expression" dxfId="1552" priority="1205">
      <formula>E53&gt;0</formula>
    </cfRule>
  </conditionalFormatting>
  <conditionalFormatting sqref="C53">
    <cfRule type="expression" dxfId="1551" priority="1204">
      <formula>E53&gt;0</formula>
    </cfRule>
  </conditionalFormatting>
  <conditionalFormatting sqref="C53">
    <cfRule type="expression" dxfId="1550" priority="1203">
      <formula>E53&gt;0</formula>
    </cfRule>
  </conditionalFormatting>
  <conditionalFormatting sqref="C53">
    <cfRule type="expression" dxfId="1549" priority="1202">
      <formula>E53&gt;0</formula>
    </cfRule>
  </conditionalFormatting>
  <conditionalFormatting sqref="C53">
    <cfRule type="expression" dxfId="1548" priority="1201">
      <formula>E53&gt;0</formula>
    </cfRule>
  </conditionalFormatting>
  <conditionalFormatting sqref="C53">
    <cfRule type="expression" dxfId="1547" priority="1200">
      <formula>E53&gt;0</formula>
    </cfRule>
  </conditionalFormatting>
  <conditionalFormatting sqref="C53">
    <cfRule type="expression" dxfId="1546" priority="1199">
      <formula>E53&gt;0</formula>
    </cfRule>
  </conditionalFormatting>
  <conditionalFormatting sqref="C53">
    <cfRule type="expression" dxfId="1545" priority="1198">
      <formula>E53&gt;0</formula>
    </cfRule>
  </conditionalFormatting>
  <conditionalFormatting sqref="C53">
    <cfRule type="expression" dxfId="1544" priority="1197">
      <formula>E53&gt;0</formula>
    </cfRule>
  </conditionalFormatting>
  <conditionalFormatting sqref="C53">
    <cfRule type="expression" dxfId="1543" priority="1196">
      <formula>E53&gt;0</formula>
    </cfRule>
  </conditionalFormatting>
  <conditionalFormatting sqref="C53">
    <cfRule type="expression" dxfId="1542" priority="1195">
      <formula>E53&gt;0</formula>
    </cfRule>
  </conditionalFormatting>
  <conditionalFormatting sqref="C53">
    <cfRule type="expression" dxfId="1541" priority="1194">
      <formula>E53&gt;0</formula>
    </cfRule>
  </conditionalFormatting>
  <conditionalFormatting sqref="C53">
    <cfRule type="expression" dxfId="1540" priority="1193">
      <formula>E53&gt;0</formula>
    </cfRule>
  </conditionalFormatting>
  <conditionalFormatting sqref="C53">
    <cfRule type="expression" dxfId="1539" priority="1192">
      <formula>E53&gt;0</formula>
    </cfRule>
  </conditionalFormatting>
  <conditionalFormatting sqref="C53">
    <cfRule type="expression" dxfId="1538" priority="1191">
      <formula>E53&gt;0</formula>
    </cfRule>
  </conditionalFormatting>
  <conditionalFormatting sqref="C53">
    <cfRule type="expression" dxfId="1537" priority="1190">
      <formula>E53&gt;0</formula>
    </cfRule>
  </conditionalFormatting>
  <conditionalFormatting sqref="C53">
    <cfRule type="expression" dxfId="1536" priority="1189">
      <formula>E53&gt;0</formula>
    </cfRule>
  </conditionalFormatting>
  <conditionalFormatting sqref="C53">
    <cfRule type="expression" dxfId="1535" priority="1188">
      <formula>E53&gt;0</formula>
    </cfRule>
  </conditionalFormatting>
  <conditionalFormatting sqref="C53">
    <cfRule type="expression" dxfId="1534" priority="1187">
      <formula>E53&gt;0</formula>
    </cfRule>
  </conditionalFormatting>
  <conditionalFormatting sqref="C53">
    <cfRule type="expression" dxfId="1533" priority="1186">
      <formula>E53&gt;0</formula>
    </cfRule>
  </conditionalFormatting>
  <conditionalFormatting sqref="C53">
    <cfRule type="expression" dxfId="1532" priority="1185">
      <formula>E53&gt;0</formula>
    </cfRule>
  </conditionalFormatting>
  <conditionalFormatting sqref="C53">
    <cfRule type="expression" dxfId="1531" priority="1184">
      <formula>E53&gt;0</formula>
    </cfRule>
  </conditionalFormatting>
  <conditionalFormatting sqref="C53">
    <cfRule type="expression" dxfId="1530" priority="1183">
      <formula>E53&gt;0</formula>
    </cfRule>
  </conditionalFormatting>
  <conditionalFormatting sqref="C53">
    <cfRule type="expression" dxfId="1529" priority="1182">
      <formula>E53&gt;0</formula>
    </cfRule>
  </conditionalFormatting>
  <conditionalFormatting sqref="C53">
    <cfRule type="expression" dxfId="1528" priority="1181">
      <formula>E53&gt;0</formula>
    </cfRule>
  </conditionalFormatting>
  <conditionalFormatting sqref="C53">
    <cfRule type="expression" dxfId="1527" priority="1180">
      <formula>E53&gt;0</formula>
    </cfRule>
  </conditionalFormatting>
  <conditionalFormatting sqref="C53">
    <cfRule type="expression" dxfId="1526" priority="1179">
      <formula>E53&gt;0</formula>
    </cfRule>
  </conditionalFormatting>
  <conditionalFormatting sqref="C53">
    <cfRule type="expression" dxfId="1525" priority="1178">
      <formula>E53&gt;0</formula>
    </cfRule>
  </conditionalFormatting>
  <conditionalFormatting sqref="C53">
    <cfRule type="expression" dxfId="1524" priority="1177">
      <formula>E53&gt;0</formula>
    </cfRule>
  </conditionalFormatting>
  <conditionalFormatting sqref="C53">
    <cfRule type="expression" dxfId="1523" priority="1176">
      <formula>E53&gt;0</formula>
    </cfRule>
  </conditionalFormatting>
  <conditionalFormatting sqref="C53">
    <cfRule type="expression" dxfId="1522" priority="1175">
      <formula>E53&gt;0</formula>
    </cfRule>
  </conditionalFormatting>
  <conditionalFormatting sqref="C53">
    <cfRule type="expression" dxfId="1521" priority="1174">
      <formula>E53&gt;0</formula>
    </cfRule>
  </conditionalFormatting>
  <conditionalFormatting sqref="C53">
    <cfRule type="expression" dxfId="1520" priority="1173">
      <formula>E53&gt;0</formula>
    </cfRule>
  </conditionalFormatting>
  <conditionalFormatting sqref="C53">
    <cfRule type="expression" dxfId="1519" priority="1172">
      <formula>E53&gt;0</formula>
    </cfRule>
  </conditionalFormatting>
  <conditionalFormatting sqref="C53">
    <cfRule type="expression" dxfId="1518" priority="1171">
      <formula>E53&gt;0</formula>
    </cfRule>
  </conditionalFormatting>
  <conditionalFormatting sqref="C53">
    <cfRule type="expression" dxfId="1517" priority="1170">
      <formula>E53&gt;0</formula>
    </cfRule>
  </conditionalFormatting>
  <conditionalFormatting sqref="C53">
    <cfRule type="expression" dxfId="1516" priority="1169">
      <formula>E53&gt;0</formula>
    </cfRule>
  </conditionalFormatting>
  <conditionalFormatting sqref="C53">
    <cfRule type="expression" dxfId="1515" priority="1168">
      <formula>E53&gt;0</formula>
    </cfRule>
  </conditionalFormatting>
  <conditionalFormatting sqref="C53">
    <cfRule type="expression" dxfId="1514" priority="1167">
      <formula>E53&gt;0</formula>
    </cfRule>
  </conditionalFormatting>
  <conditionalFormatting sqref="C53">
    <cfRule type="expression" dxfId="1513" priority="1166">
      <formula>E53&gt;0</formula>
    </cfRule>
  </conditionalFormatting>
  <conditionalFormatting sqref="C53">
    <cfRule type="expression" dxfId="1512" priority="1165">
      <formula>E53&gt;0</formula>
    </cfRule>
  </conditionalFormatting>
  <conditionalFormatting sqref="C53">
    <cfRule type="expression" dxfId="1511" priority="1164">
      <formula>E53&gt;0</formula>
    </cfRule>
  </conditionalFormatting>
  <conditionalFormatting sqref="C53">
    <cfRule type="expression" dxfId="1510" priority="1163">
      <formula>E53&gt;0</formula>
    </cfRule>
  </conditionalFormatting>
  <conditionalFormatting sqref="C53">
    <cfRule type="expression" dxfId="1509" priority="1162">
      <formula>E53&gt;0</formula>
    </cfRule>
  </conditionalFormatting>
  <conditionalFormatting sqref="C53">
    <cfRule type="expression" dxfId="1508" priority="1161">
      <formula>E53&gt;0</formula>
    </cfRule>
  </conditionalFormatting>
  <conditionalFormatting sqref="C53">
    <cfRule type="expression" dxfId="1507" priority="1160">
      <formula>E53&gt;0</formula>
    </cfRule>
  </conditionalFormatting>
  <conditionalFormatting sqref="C53">
    <cfRule type="expression" dxfId="1506" priority="1159">
      <formula>E53&gt;0</formula>
    </cfRule>
  </conditionalFormatting>
  <conditionalFormatting sqref="C53">
    <cfRule type="expression" dxfId="1505" priority="1158">
      <formula>E53&gt;0</formula>
    </cfRule>
  </conditionalFormatting>
  <conditionalFormatting sqref="C53">
    <cfRule type="expression" dxfId="1504" priority="1157">
      <formula>E53&gt;0</formula>
    </cfRule>
  </conditionalFormatting>
  <conditionalFormatting sqref="C53">
    <cfRule type="expression" dxfId="1503" priority="1156">
      <formula>E53&gt;0</formula>
    </cfRule>
  </conditionalFormatting>
  <conditionalFormatting sqref="C53">
    <cfRule type="expression" dxfId="1502" priority="1155">
      <formula>E53&gt;0</formula>
    </cfRule>
  </conditionalFormatting>
  <conditionalFormatting sqref="C53">
    <cfRule type="expression" dxfId="1501" priority="1154">
      <formula>E53&gt;0</formula>
    </cfRule>
  </conditionalFormatting>
  <conditionalFormatting sqref="C53">
    <cfRule type="expression" dxfId="1500" priority="1153">
      <formula>E53&gt;0</formula>
    </cfRule>
  </conditionalFormatting>
  <conditionalFormatting sqref="C53">
    <cfRule type="expression" dxfId="1499" priority="1152">
      <formula>E53&gt;0</formula>
    </cfRule>
  </conditionalFormatting>
  <conditionalFormatting sqref="C53">
    <cfRule type="expression" dxfId="1498" priority="1151">
      <formula>E53&gt;0</formula>
    </cfRule>
  </conditionalFormatting>
  <conditionalFormatting sqref="C53">
    <cfRule type="expression" dxfId="1497" priority="1150">
      <formula>E53&gt;0</formula>
    </cfRule>
  </conditionalFormatting>
  <conditionalFormatting sqref="C53">
    <cfRule type="expression" dxfId="1496" priority="1149">
      <formula>E53&gt;0</formula>
    </cfRule>
  </conditionalFormatting>
  <conditionalFormatting sqref="C53">
    <cfRule type="expression" dxfId="1495" priority="1148">
      <formula>E53&gt;0</formula>
    </cfRule>
  </conditionalFormatting>
  <conditionalFormatting sqref="C53">
    <cfRule type="expression" dxfId="1494" priority="1147">
      <formula>E53&gt;0</formula>
    </cfRule>
  </conditionalFormatting>
  <conditionalFormatting sqref="C53">
    <cfRule type="expression" dxfId="1493" priority="1146">
      <formula>E53&gt;0</formula>
    </cfRule>
  </conditionalFormatting>
  <conditionalFormatting sqref="C53">
    <cfRule type="expression" dxfId="1492" priority="1145">
      <formula>E53&gt;0</formula>
    </cfRule>
  </conditionalFormatting>
  <conditionalFormatting sqref="C53">
    <cfRule type="expression" dxfId="1491" priority="1144">
      <formula>E53&gt;0</formula>
    </cfRule>
  </conditionalFormatting>
  <conditionalFormatting sqref="C53">
    <cfRule type="expression" dxfId="1490" priority="1143">
      <formula>E53&gt;0</formula>
    </cfRule>
  </conditionalFormatting>
  <conditionalFormatting sqref="C53">
    <cfRule type="expression" dxfId="1489" priority="1142">
      <formula>E53&gt;0</formula>
    </cfRule>
  </conditionalFormatting>
  <conditionalFormatting sqref="C53">
    <cfRule type="expression" dxfId="1488" priority="1141">
      <formula>E53&gt;0</formula>
    </cfRule>
  </conditionalFormatting>
  <conditionalFormatting sqref="C53">
    <cfRule type="expression" dxfId="1487" priority="1140">
      <formula>E53&gt;0</formula>
    </cfRule>
  </conditionalFormatting>
  <conditionalFormatting sqref="C53">
    <cfRule type="expression" dxfId="1486" priority="1139">
      <formula>E53&gt;0</formula>
    </cfRule>
  </conditionalFormatting>
  <conditionalFormatting sqref="C53">
    <cfRule type="expression" dxfId="1485" priority="1138">
      <formula>E53&gt;0</formula>
    </cfRule>
  </conditionalFormatting>
  <conditionalFormatting sqref="C53">
    <cfRule type="expression" dxfId="1484" priority="1137">
      <formula>E53&gt;0</formula>
    </cfRule>
  </conditionalFormatting>
  <conditionalFormatting sqref="C53">
    <cfRule type="expression" dxfId="1483" priority="1136">
      <formula>E53&gt;0</formula>
    </cfRule>
  </conditionalFormatting>
  <conditionalFormatting sqref="C53">
    <cfRule type="expression" dxfId="1482" priority="1135">
      <formula>E53&gt;0</formula>
    </cfRule>
  </conditionalFormatting>
  <conditionalFormatting sqref="C53">
    <cfRule type="expression" dxfId="1481" priority="1134">
      <formula>E53&gt;0</formula>
    </cfRule>
  </conditionalFormatting>
  <conditionalFormatting sqref="C53">
    <cfRule type="expression" dxfId="1480" priority="1133">
      <formula>E53&gt;0</formula>
    </cfRule>
  </conditionalFormatting>
  <conditionalFormatting sqref="C53">
    <cfRule type="expression" dxfId="1479" priority="1132">
      <formula>E53&gt;0</formula>
    </cfRule>
  </conditionalFormatting>
  <conditionalFormatting sqref="C53">
    <cfRule type="expression" dxfId="1478" priority="1131">
      <formula>E53&gt;0</formula>
    </cfRule>
  </conditionalFormatting>
  <conditionalFormatting sqref="C53">
    <cfRule type="expression" dxfId="1477" priority="1130">
      <formula>E53&gt;0</formula>
    </cfRule>
  </conditionalFormatting>
  <conditionalFormatting sqref="C53">
    <cfRule type="expression" dxfId="1476" priority="1129">
      <formula>E53&gt;0</formula>
    </cfRule>
  </conditionalFormatting>
  <conditionalFormatting sqref="C53">
    <cfRule type="expression" dxfId="1475" priority="1128">
      <formula>E53&gt;0</formula>
    </cfRule>
  </conditionalFormatting>
  <conditionalFormatting sqref="C53">
    <cfRule type="expression" dxfId="1474" priority="1127">
      <formula>E53&gt;0</formula>
    </cfRule>
  </conditionalFormatting>
  <conditionalFormatting sqref="C53">
    <cfRule type="expression" dxfId="1473" priority="1126">
      <formula>E53&gt;0</formula>
    </cfRule>
  </conditionalFormatting>
  <conditionalFormatting sqref="C53">
    <cfRule type="expression" dxfId="1472" priority="1125">
      <formula>E53&gt;0</formula>
    </cfRule>
  </conditionalFormatting>
  <conditionalFormatting sqref="C53">
    <cfRule type="expression" dxfId="1471" priority="1124">
      <formula>E53&gt;0</formula>
    </cfRule>
  </conditionalFormatting>
  <conditionalFormatting sqref="C53">
    <cfRule type="expression" dxfId="1470" priority="1123">
      <formula>E53&gt;0</formula>
    </cfRule>
  </conditionalFormatting>
  <conditionalFormatting sqref="C53">
    <cfRule type="expression" dxfId="1469" priority="1122">
      <formula>E53&gt;0</formula>
    </cfRule>
  </conditionalFormatting>
  <conditionalFormatting sqref="C53">
    <cfRule type="expression" dxfId="1468" priority="1121">
      <formula>E53&gt;0</formula>
    </cfRule>
  </conditionalFormatting>
  <conditionalFormatting sqref="C53">
    <cfRule type="expression" dxfId="1467" priority="1120">
      <formula>E53&gt;0</formula>
    </cfRule>
  </conditionalFormatting>
  <conditionalFormatting sqref="C53">
    <cfRule type="expression" dxfId="1466" priority="1119">
      <formula>E53&gt;0</formula>
    </cfRule>
  </conditionalFormatting>
  <conditionalFormatting sqref="C53">
    <cfRule type="expression" dxfId="1465" priority="1118">
      <formula>E53&gt;0</formula>
    </cfRule>
  </conditionalFormatting>
  <conditionalFormatting sqref="C53">
    <cfRule type="expression" dxfId="1464" priority="1117">
      <formula>E53&gt;0</formula>
    </cfRule>
  </conditionalFormatting>
  <conditionalFormatting sqref="C53">
    <cfRule type="expression" dxfId="1463" priority="1116">
      <formula>E53&gt;0</formula>
    </cfRule>
  </conditionalFormatting>
  <conditionalFormatting sqref="C53">
    <cfRule type="expression" dxfId="1462" priority="1115">
      <formula>E53&gt;0</formula>
    </cfRule>
  </conditionalFormatting>
  <conditionalFormatting sqref="C53">
    <cfRule type="expression" dxfId="1461" priority="1114">
      <formula>E53&gt;0</formula>
    </cfRule>
  </conditionalFormatting>
  <conditionalFormatting sqref="C53">
    <cfRule type="expression" dxfId="1460" priority="1113">
      <formula>E53&gt;0</formula>
    </cfRule>
  </conditionalFormatting>
  <conditionalFormatting sqref="C53">
    <cfRule type="expression" dxfId="1459" priority="1112">
      <formula>E53&gt;0</formula>
    </cfRule>
  </conditionalFormatting>
  <conditionalFormatting sqref="C53">
    <cfRule type="expression" dxfId="1458" priority="1111">
      <formula>E53&gt;0</formula>
    </cfRule>
  </conditionalFormatting>
  <conditionalFormatting sqref="C53">
    <cfRule type="expression" dxfId="1457" priority="1110">
      <formula>E53&gt;0</formula>
    </cfRule>
  </conditionalFormatting>
  <conditionalFormatting sqref="C53">
    <cfRule type="expression" dxfId="1456" priority="1109">
      <formula>E53&gt;0</formula>
    </cfRule>
  </conditionalFormatting>
  <conditionalFormatting sqref="C53">
    <cfRule type="expression" dxfId="1455" priority="1108">
      <formula>E53&gt;0</formula>
    </cfRule>
  </conditionalFormatting>
  <conditionalFormatting sqref="C53">
    <cfRule type="expression" dxfId="1454" priority="1107">
      <formula>E53&gt;0</formula>
    </cfRule>
  </conditionalFormatting>
  <conditionalFormatting sqref="C53">
    <cfRule type="expression" dxfId="1453" priority="1106">
      <formula>E53&gt;0</formula>
    </cfRule>
  </conditionalFormatting>
  <conditionalFormatting sqref="C53">
    <cfRule type="expression" dxfId="1452" priority="1105">
      <formula>E53&gt;0</formula>
    </cfRule>
  </conditionalFormatting>
  <conditionalFormatting sqref="C53">
    <cfRule type="expression" dxfId="1451" priority="1104">
      <formula>E53&gt;0</formula>
    </cfRule>
  </conditionalFormatting>
  <conditionalFormatting sqref="C53">
    <cfRule type="expression" dxfId="1450" priority="1103">
      <formula>E53&gt;0</formula>
    </cfRule>
  </conditionalFormatting>
  <conditionalFormatting sqref="C53">
    <cfRule type="expression" dxfId="1449" priority="1102">
      <formula>E53&gt;0</formula>
    </cfRule>
  </conditionalFormatting>
  <conditionalFormatting sqref="C53">
    <cfRule type="expression" dxfId="1448" priority="1101">
      <formula>E53&gt;0</formula>
    </cfRule>
  </conditionalFormatting>
  <conditionalFormatting sqref="C53">
    <cfRule type="expression" dxfId="1447" priority="1100">
      <formula>E53&gt;0</formula>
    </cfRule>
  </conditionalFormatting>
  <conditionalFormatting sqref="C53">
    <cfRule type="expression" dxfId="1446" priority="1099">
      <formula>E53&gt;0</formula>
    </cfRule>
  </conditionalFormatting>
  <conditionalFormatting sqref="C53">
    <cfRule type="expression" dxfId="1445" priority="1098">
      <formula>E53&gt;0</formula>
    </cfRule>
  </conditionalFormatting>
  <conditionalFormatting sqref="C53">
    <cfRule type="expression" dxfId="1444" priority="1097">
      <formula>E53&gt;0</formula>
    </cfRule>
  </conditionalFormatting>
  <conditionalFormatting sqref="C53">
    <cfRule type="expression" dxfId="1443" priority="1096">
      <formula>E53&gt;0</formula>
    </cfRule>
  </conditionalFormatting>
  <conditionalFormatting sqref="C53">
    <cfRule type="expression" dxfId="1442" priority="1095">
      <formula>E53&gt;0</formula>
    </cfRule>
  </conditionalFormatting>
  <conditionalFormatting sqref="C53">
    <cfRule type="expression" dxfId="1441" priority="1094">
      <formula>E53&gt;0</formula>
    </cfRule>
  </conditionalFormatting>
  <conditionalFormatting sqref="C53">
    <cfRule type="expression" dxfId="1440" priority="1093">
      <formula>E53&gt;0</formula>
    </cfRule>
  </conditionalFormatting>
  <conditionalFormatting sqref="C53">
    <cfRule type="expression" dxfId="1439" priority="1092">
      <formula>E53&gt;0</formula>
    </cfRule>
  </conditionalFormatting>
  <conditionalFormatting sqref="C53">
    <cfRule type="expression" dxfId="1438" priority="1091">
      <formula>E53&gt;0</formula>
    </cfRule>
  </conditionalFormatting>
  <conditionalFormatting sqref="C53">
    <cfRule type="expression" dxfId="1437" priority="1090">
      <formula>E53&gt;0</formula>
    </cfRule>
  </conditionalFormatting>
  <conditionalFormatting sqref="C53">
    <cfRule type="expression" dxfId="1436" priority="1089">
      <formula>E53&gt;0</formula>
    </cfRule>
  </conditionalFormatting>
  <conditionalFormatting sqref="C53">
    <cfRule type="expression" dxfId="1435" priority="1088">
      <formula>E53&gt;0</formula>
    </cfRule>
  </conditionalFormatting>
  <conditionalFormatting sqref="C53">
    <cfRule type="expression" dxfId="1434" priority="1087">
      <formula>E53&gt;0</formula>
    </cfRule>
  </conditionalFormatting>
  <conditionalFormatting sqref="C53">
    <cfRule type="expression" dxfId="1433" priority="1086">
      <formula>E53&gt;0</formula>
    </cfRule>
  </conditionalFormatting>
  <conditionalFormatting sqref="C53">
    <cfRule type="expression" dxfId="1432" priority="1085">
      <formula>E53&gt;0</formula>
    </cfRule>
  </conditionalFormatting>
  <conditionalFormatting sqref="C53">
    <cfRule type="expression" dxfId="1431" priority="1084">
      <formula>E53&gt;0</formula>
    </cfRule>
  </conditionalFormatting>
  <conditionalFormatting sqref="C53">
    <cfRule type="expression" dxfId="1430" priority="1083">
      <formula>E53&gt;0</formula>
    </cfRule>
  </conditionalFormatting>
  <conditionalFormatting sqref="C53">
    <cfRule type="expression" dxfId="1429" priority="1082">
      <formula>E53&gt;0</formula>
    </cfRule>
  </conditionalFormatting>
  <conditionalFormatting sqref="C53">
    <cfRule type="expression" dxfId="1428" priority="1081">
      <formula>E53&gt;0</formula>
    </cfRule>
  </conditionalFormatting>
  <conditionalFormatting sqref="C53">
    <cfRule type="expression" dxfId="1427" priority="1080">
      <formula>E53&gt;0</formula>
    </cfRule>
  </conditionalFormatting>
  <conditionalFormatting sqref="C53">
    <cfRule type="expression" dxfId="1426" priority="1079">
      <formula>E53&gt;0</formula>
    </cfRule>
  </conditionalFormatting>
  <conditionalFormatting sqref="C53">
    <cfRule type="expression" dxfId="1425" priority="1078">
      <formula>E53&gt;0</formula>
    </cfRule>
  </conditionalFormatting>
  <conditionalFormatting sqref="C53">
    <cfRule type="expression" dxfId="1424" priority="1077">
      <formula>E53&gt;0</formula>
    </cfRule>
  </conditionalFormatting>
  <conditionalFormatting sqref="C53">
    <cfRule type="expression" dxfId="1423" priority="1076">
      <formula>E53&gt;0</formula>
    </cfRule>
  </conditionalFormatting>
  <conditionalFormatting sqref="C53">
    <cfRule type="expression" dxfId="1422" priority="1075">
      <formula>E53&gt;0</formula>
    </cfRule>
  </conditionalFormatting>
  <conditionalFormatting sqref="C53">
    <cfRule type="expression" dxfId="1421" priority="1074">
      <formula>E53&gt;0</formula>
    </cfRule>
  </conditionalFormatting>
  <conditionalFormatting sqref="C53">
    <cfRule type="expression" dxfId="1420" priority="1073">
      <formula>E53&gt;0</formula>
    </cfRule>
  </conditionalFormatting>
  <conditionalFormatting sqref="C53">
    <cfRule type="expression" dxfId="1419" priority="1072">
      <formula>E53&gt;0</formula>
    </cfRule>
  </conditionalFormatting>
  <conditionalFormatting sqref="C53">
    <cfRule type="expression" dxfId="1418" priority="1071">
      <formula>E53&gt;0</formula>
    </cfRule>
  </conditionalFormatting>
  <conditionalFormatting sqref="C53">
    <cfRule type="expression" dxfId="1417" priority="1070">
      <formula>E53&gt;0</formula>
    </cfRule>
  </conditionalFormatting>
  <conditionalFormatting sqref="C53">
    <cfRule type="expression" dxfId="1416" priority="1069">
      <formula>E53&gt;0</formula>
    </cfRule>
  </conditionalFormatting>
  <conditionalFormatting sqref="C53">
    <cfRule type="expression" dxfId="1415" priority="1068">
      <formula>E53&gt;0</formula>
    </cfRule>
  </conditionalFormatting>
  <conditionalFormatting sqref="C53">
    <cfRule type="expression" dxfId="1414" priority="1067">
      <formula>E53&gt;0</formula>
    </cfRule>
  </conditionalFormatting>
  <conditionalFormatting sqref="C53">
    <cfRule type="expression" dxfId="1413" priority="1066">
      <formula>E53&gt;0</formula>
    </cfRule>
  </conditionalFormatting>
  <conditionalFormatting sqref="C53">
    <cfRule type="expression" dxfId="1412" priority="1065">
      <formula>E53&gt;0</formula>
    </cfRule>
  </conditionalFormatting>
  <conditionalFormatting sqref="C53">
    <cfRule type="expression" dxfId="1411" priority="1064">
      <formula>E53&gt;0</formula>
    </cfRule>
  </conditionalFormatting>
  <conditionalFormatting sqref="C53">
    <cfRule type="expression" dxfId="1410" priority="1063">
      <formula>E53&gt;0</formula>
    </cfRule>
  </conditionalFormatting>
  <conditionalFormatting sqref="C53">
    <cfRule type="expression" dxfId="1409" priority="1062">
      <formula>E53&gt;0</formula>
    </cfRule>
  </conditionalFormatting>
  <conditionalFormatting sqref="C53">
    <cfRule type="expression" dxfId="1408" priority="1061">
      <formula>E53&gt;0</formula>
    </cfRule>
  </conditionalFormatting>
  <conditionalFormatting sqref="C53">
    <cfRule type="expression" dxfId="1407" priority="1060">
      <formula>E53&gt;0</formula>
    </cfRule>
  </conditionalFormatting>
  <conditionalFormatting sqref="C53">
    <cfRule type="expression" dxfId="1406" priority="1059">
      <formula>E53&gt;0</formula>
    </cfRule>
  </conditionalFormatting>
  <conditionalFormatting sqref="C53">
    <cfRule type="expression" dxfId="1405" priority="1058">
      <formula>E53&gt;0</formula>
    </cfRule>
  </conditionalFormatting>
  <conditionalFormatting sqref="C53">
    <cfRule type="expression" dxfId="1404" priority="1057">
      <formula>E53&gt;0</formula>
    </cfRule>
  </conditionalFormatting>
  <conditionalFormatting sqref="C53">
    <cfRule type="expression" dxfId="1403" priority="1056">
      <formula>E53&gt;0</formula>
    </cfRule>
  </conditionalFormatting>
  <conditionalFormatting sqref="C53">
    <cfRule type="expression" dxfId="1402" priority="1055">
      <formula>E53&gt;0</formula>
    </cfRule>
  </conditionalFormatting>
  <conditionalFormatting sqref="C53">
    <cfRule type="expression" dxfId="1401" priority="1054">
      <formula>E53&gt;0</formula>
    </cfRule>
  </conditionalFormatting>
  <conditionalFormatting sqref="C53">
    <cfRule type="expression" dxfId="1400" priority="1053">
      <formula>E53&gt;0</formula>
    </cfRule>
  </conditionalFormatting>
  <conditionalFormatting sqref="C53">
    <cfRule type="expression" dxfId="1399" priority="1052">
      <formula>E53&gt;0</formula>
    </cfRule>
  </conditionalFormatting>
  <conditionalFormatting sqref="C53">
    <cfRule type="expression" dxfId="1398" priority="1051">
      <formula>E53&gt;0</formula>
    </cfRule>
  </conditionalFormatting>
  <conditionalFormatting sqref="C53">
    <cfRule type="expression" dxfId="1397" priority="1050">
      <formula>E53&gt;0</formula>
    </cfRule>
  </conditionalFormatting>
  <conditionalFormatting sqref="C53">
    <cfRule type="expression" dxfId="1396" priority="1049">
      <formula>E53&gt;0</formula>
    </cfRule>
  </conditionalFormatting>
  <conditionalFormatting sqref="C53">
    <cfRule type="expression" dxfId="1395" priority="1048">
      <formula>E53&gt;0</formula>
    </cfRule>
  </conditionalFormatting>
  <conditionalFormatting sqref="C53">
    <cfRule type="expression" dxfId="1394" priority="1047">
      <formula>E53&gt;0</formula>
    </cfRule>
  </conditionalFormatting>
  <conditionalFormatting sqref="C53">
    <cfRule type="expression" dxfId="1393" priority="1046">
      <formula>E53&gt;0</formula>
    </cfRule>
  </conditionalFormatting>
  <conditionalFormatting sqref="C53">
    <cfRule type="expression" dxfId="1392" priority="1045">
      <formula>E53&gt;0</formula>
    </cfRule>
  </conditionalFormatting>
  <conditionalFormatting sqref="C53">
    <cfRule type="expression" dxfId="1391" priority="1044">
      <formula>E53&gt;0</formula>
    </cfRule>
  </conditionalFormatting>
  <conditionalFormatting sqref="C53">
    <cfRule type="expression" dxfId="1390" priority="1043">
      <formula>E53&gt;0</formula>
    </cfRule>
  </conditionalFormatting>
  <conditionalFormatting sqref="C53">
    <cfRule type="expression" dxfId="1389" priority="1042">
      <formula>E53&gt;0</formula>
    </cfRule>
  </conditionalFormatting>
  <conditionalFormatting sqref="C53">
    <cfRule type="expression" dxfId="1388" priority="1041">
      <formula>E53&gt;0</formula>
    </cfRule>
  </conditionalFormatting>
  <conditionalFormatting sqref="C53">
    <cfRule type="expression" dxfId="1387" priority="1040">
      <formula>E53&gt;0</formula>
    </cfRule>
  </conditionalFormatting>
  <conditionalFormatting sqref="C53">
    <cfRule type="expression" dxfId="1386" priority="1039">
      <formula>E53&gt;0</formula>
    </cfRule>
  </conditionalFormatting>
  <conditionalFormatting sqref="C53">
    <cfRule type="expression" dxfId="1385" priority="1038">
      <formula>E53&gt;0</formula>
    </cfRule>
  </conditionalFormatting>
  <conditionalFormatting sqref="C53">
    <cfRule type="expression" dxfId="1384" priority="1037">
      <formula>E53&gt;0</formula>
    </cfRule>
  </conditionalFormatting>
  <conditionalFormatting sqref="C53">
    <cfRule type="expression" dxfId="1383" priority="1036">
      <formula>E53&gt;0</formula>
    </cfRule>
  </conditionalFormatting>
  <conditionalFormatting sqref="C53">
    <cfRule type="expression" dxfId="1382" priority="1035">
      <formula>E53&gt;0</formula>
    </cfRule>
  </conditionalFormatting>
  <conditionalFormatting sqref="C53">
    <cfRule type="expression" dxfId="1381" priority="1034">
      <formula>E53&gt;0</formula>
    </cfRule>
  </conditionalFormatting>
  <conditionalFormatting sqref="C53">
    <cfRule type="expression" dxfId="1380" priority="1033">
      <formula>E53&gt;0</formula>
    </cfRule>
  </conditionalFormatting>
  <conditionalFormatting sqref="C53">
    <cfRule type="expression" dxfId="1379" priority="1032">
      <formula>E53&gt;0</formula>
    </cfRule>
  </conditionalFormatting>
  <conditionalFormatting sqref="C53">
    <cfRule type="expression" dxfId="1378" priority="1031">
      <formula>E53&gt;0</formula>
    </cfRule>
  </conditionalFormatting>
  <conditionalFormatting sqref="C53">
    <cfRule type="expression" dxfId="1377" priority="1030">
      <formula>E53&gt;0</formula>
    </cfRule>
  </conditionalFormatting>
  <conditionalFormatting sqref="C53">
    <cfRule type="expression" dxfId="1376" priority="1029">
      <formula>E53&gt;0</formula>
    </cfRule>
  </conditionalFormatting>
  <conditionalFormatting sqref="C53">
    <cfRule type="expression" dxfId="1375" priority="1028">
      <formula>E53&gt;0</formula>
    </cfRule>
  </conditionalFormatting>
  <conditionalFormatting sqref="C53">
    <cfRule type="expression" dxfId="1374" priority="1027">
      <formula>E53&gt;0</formula>
    </cfRule>
  </conditionalFormatting>
  <conditionalFormatting sqref="C53">
    <cfRule type="expression" dxfId="1373" priority="1026">
      <formula>E53&gt;0</formula>
    </cfRule>
  </conditionalFormatting>
  <conditionalFormatting sqref="C53">
    <cfRule type="expression" dxfId="1372" priority="1025">
      <formula>E53&gt;0</formula>
    </cfRule>
  </conditionalFormatting>
  <conditionalFormatting sqref="C53">
    <cfRule type="expression" dxfId="1371" priority="1024">
      <formula>E53&gt;0</formula>
    </cfRule>
  </conditionalFormatting>
  <conditionalFormatting sqref="C53">
    <cfRule type="expression" dxfId="1370" priority="1023">
      <formula>E53&gt;0</formula>
    </cfRule>
  </conditionalFormatting>
  <conditionalFormatting sqref="C53">
    <cfRule type="expression" dxfId="1369" priority="1022">
      <formula>E53&gt;0</formula>
    </cfRule>
  </conditionalFormatting>
  <conditionalFormatting sqref="C53">
    <cfRule type="expression" dxfId="1368" priority="1021">
      <formula>E53&gt;0</formula>
    </cfRule>
  </conditionalFormatting>
  <conditionalFormatting sqref="C53">
    <cfRule type="expression" dxfId="1367" priority="1020">
      <formula>E53&gt;0</formula>
    </cfRule>
  </conditionalFormatting>
  <conditionalFormatting sqref="C53">
    <cfRule type="expression" dxfId="1366" priority="1019">
      <formula>E53&gt;0</formula>
    </cfRule>
  </conditionalFormatting>
  <conditionalFormatting sqref="C53">
    <cfRule type="expression" dxfId="1365" priority="1018">
      <formula>E53&gt;0</formula>
    </cfRule>
  </conditionalFormatting>
  <conditionalFormatting sqref="C53">
    <cfRule type="expression" dxfId="1364" priority="1017">
      <formula>E53&gt;0</formula>
    </cfRule>
  </conditionalFormatting>
  <conditionalFormatting sqref="C53">
    <cfRule type="expression" dxfId="1363" priority="1016">
      <formula>E53&gt;0</formula>
    </cfRule>
  </conditionalFormatting>
  <conditionalFormatting sqref="C53">
    <cfRule type="expression" dxfId="1362" priority="1015">
      <formula>E53&gt;0</formula>
    </cfRule>
  </conditionalFormatting>
  <conditionalFormatting sqref="C53">
    <cfRule type="expression" dxfId="1361" priority="1014">
      <formula>E53&gt;0</formula>
    </cfRule>
  </conditionalFormatting>
  <conditionalFormatting sqref="C53">
    <cfRule type="expression" dxfId="1360" priority="1013">
      <formula>E53&gt;0</formula>
    </cfRule>
  </conditionalFormatting>
  <conditionalFormatting sqref="C53">
    <cfRule type="expression" dxfId="1359" priority="1012">
      <formula>E53&gt;0</formula>
    </cfRule>
  </conditionalFormatting>
  <conditionalFormatting sqref="C53">
    <cfRule type="expression" dxfId="1358" priority="1011">
      <formula>E53&gt;0</formula>
    </cfRule>
  </conditionalFormatting>
  <conditionalFormatting sqref="C53">
    <cfRule type="expression" dxfId="1357" priority="1010">
      <formula>E53&gt;0</formula>
    </cfRule>
  </conditionalFormatting>
  <conditionalFormatting sqref="C53">
    <cfRule type="expression" dxfId="1356" priority="1009">
      <formula>E53&gt;0</formula>
    </cfRule>
  </conditionalFormatting>
  <conditionalFormatting sqref="C53">
    <cfRule type="expression" dxfId="1355" priority="1008">
      <formula>E53&gt;0</formula>
    </cfRule>
  </conditionalFormatting>
  <conditionalFormatting sqref="C53">
    <cfRule type="expression" dxfId="1354" priority="1007">
      <formula>E53&gt;0</formula>
    </cfRule>
  </conditionalFormatting>
  <conditionalFormatting sqref="C53">
    <cfRule type="expression" dxfId="1353" priority="1006">
      <formula>E53&gt;0</formula>
    </cfRule>
  </conditionalFormatting>
  <conditionalFormatting sqref="C53">
    <cfRule type="expression" dxfId="1352" priority="1005">
      <formula>E53&gt;0</formula>
    </cfRule>
  </conditionalFormatting>
  <conditionalFormatting sqref="C53">
    <cfRule type="expression" dxfId="1351" priority="1004">
      <formula>E53&gt;0</formula>
    </cfRule>
  </conditionalFormatting>
  <conditionalFormatting sqref="C53">
    <cfRule type="expression" dxfId="1350" priority="1003">
      <formula>E53&gt;0</formula>
    </cfRule>
  </conditionalFormatting>
  <conditionalFormatting sqref="C53">
    <cfRule type="expression" dxfId="1349" priority="1002">
      <formula>E53&gt;0</formula>
    </cfRule>
  </conditionalFormatting>
  <conditionalFormatting sqref="C53">
    <cfRule type="expression" dxfId="1348" priority="1001">
      <formula>E53&gt;0</formula>
    </cfRule>
  </conditionalFormatting>
  <conditionalFormatting sqref="C53">
    <cfRule type="expression" dxfId="1347" priority="1000">
      <formula>E53&gt;0</formula>
    </cfRule>
  </conditionalFormatting>
  <conditionalFormatting sqref="C53">
    <cfRule type="expression" dxfId="1346" priority="999">
      <formula>E53&gt;0</formula>
    </cfRule>
  </conditionalFormatting>
  <conditionalFormatting sqref="C53">
    <cfRule type="expression" dxfId="1345" priority="998">
      <formula>E53&gt;0</formula>
    </cfRule>
  </conditionalFormatting>
  <conditionalFormatting sqref="C53">
    <cfRule type="expression" dxfId="1344" priority="997">
      <formula>E53&gt;0</formula>
    </cfRule>
  </conditionalFormatting>
  <conditionalFormatting sqref="C53">
    <cfRule type="expression" dxfId="1343" priority="996">
      <formula>E53&gt;0</formula>
    </cfRule>
  </conditionalFormatting>
  <conditionalFormatting sqref="C53">
    <cfRule type="expression" dxfId="1342" priority="995">
      <formula>E53&gt;0</formula>
    </cfRule>
  </conditionalFormatting>
  <conditionalFormatting sqref="C53">
    <cfRule type="expression" dxfId="1341" priority="994">
      <formula>E53&gt;0</formula>
    </cfRule>
  </conditionalFormatting>
  <conditionalFormatting sqref="C53">
    <cfRule type="expression" dxfId="1340" priority="993">
      <formula>E53&gt;0</formula>
    </cfRule>
  </conditionalFormatting>
  <conditionalFormatting sqref="C53">
    <cfRule type="expression" dxfId="1339" priority="992">
      <formula>E53&gt;0</formula>
    </cfRule>
  </conditionalFormatting>
  <conditionalFormatting sqref="C53">
    <cfRule type="expression" dxfId="1338" priority="991">
      <formula>E53&gt;0</formula>
    </cfRule>
  </conditionalFormatting>
  <conditionalFormatting sqref="C53">
    <cfRule type="expression" dxfId="1337" priority="990">
      <formula>E53&gt;0</formula>
    </cfRule>
  </conditionalFormatting>
  <conditionalFormatting sqref="C53">
    <cfRule type="expression" dxfId="1336" priority="989">
      <formula>E53&gt;0</formula>
    </cfRule>
  </conditionalFormatting>
  <conditionalFormatting sqref="C53">
    <cfRule type="expression" dxfId="1335" priority="988">
      <formula>E53&gt;0</formula>
    </cfRule>
  </conditionalFormatting>
  <conditionalFormatting sqref="C53">
    <cfRule type="expression" dxfId="1334" priority="987">
      <formula>E53&gt;0</formula>
    </cfRule>
  </conditionalFormatting>
  <conditionalFormatting sqref="C53">
    <cfRule type="expression" dxfId="1333" priority="986">
      <formula>E53&gt;0</formula>
    </cfRule>
  </conditionalFormatting>
  <conditionalFormatting sqref="C53">
    <cfRule type="expression" dxfId="1332" priority="985">
      <formula>E53&gt;0</formula>
    </cfRule>
  </conditionalFormatting>
  <conditionalFormatting sqref="C53">
    <cfRule type="expression" dxfId="1331" priority="984">
      <formula>E53&gt;0</formula>
    </cfRule>
  </conditionalFormatting>
  <conditionalFormatting sqref="C53">
    <cfRule type="expression" dxfId="1330" priority="983">
      <formula>E53&gt;0</formula>
    </cfRule>
  </conditionalFormatting>
  <conditionalFormatting sqref="C53">
    <cfRule type="expression" dxfId="1329" priority="982">
      <formula>E53&gt;0</formula>
    </cfRule>
  </conditionalFormatting>
  <conditionalFormatting sqref="C53">
    <cfRule type="expression" dxfId="1328" priority="981">
      <formula>E53&gt;0</formula>
    </cfRule>
  </conditionalFormatting>
  <conditionalFormatting sqref="C53">
    <cfRule type="expression" dxfId="1327" priority="980">
      <formula>E53&gt;0</formula>
    </cfRule>
  </conditionalFormatting>
  <conditionalFormatting sqref="C53">
    <cfRule type="expression" dxfId="1326" priority="979">
      <formula>E53&gt;0</formula>
    </cfRule>
  </conditionalFormatting>
  <conditionalFormatting sqref="C53">
    <cfRule type="expression" dxfId="1325" priority="978">
      <formula>E53&gt;0</formula>
    </cfRule>
  </conditionalFormatting>
  <conditionalFormatting sqref="C53">
    <cfRule type="expression" dxfId="1324" priority="977">
      <formula>E53&gt;0</formula>
    </cfRule>
  </conditionalFormatting>
  <conditionalFormatting sqref="C53">
    <cfRule type="expression" dxfId="1323" priority="976">
      <formula>E53&gt;0</formula>
    </cfRule>
  </conditionalFormatting>
  <conditionalFormatting sqref="C53">
    <cfRule type="expression" dxfId="1322" priority="975">
      <formula>E53&gt;0</formula>
    </cfRule>
  </conditionalFormatting>
  <conditionalFormatting sqref="C53">
    <cfRule type="expression" dxfId="1321" priority="974">
      <formula>E53&gt;0</formula>
    </cfRule>
  </conditionalFormatting>
  <conditionalFormatting sqref="C53">
    <cfRule type="expression" dxfId="1320" priority="973">
      <formula>E53&gt;0</formula>
    </cfRule>
  </conditionalFormatting>
  <conditionalFormatting sqref="C53">
    <cfRule type="expression" dxfId="1319" priority="972">
      <formula>E53&gt;0</formula>
    </cfRule>
  </conditionalFormatting>
  <conditionalFormatting sqref="C53">
    <cfRule type="expression" dxfId="1318" priority="971">
      <formula>E53&gt;0</formula>
    </cfRule>
  </conditionalFormatting>
  <conditionalFormatting sqref="C53">
    <cfRule type="expression" dxfId="1317" priority="970">
      <formula>E53&gt;0</formula>
    </cfRule>
  </conditionalFormatting>
  <conditionalFormatting sqref="C53">
    <cfRule type="expression" dxfId="1316" priority="969">
      <formula>E53&gt;0</formula>
    </cfRule>
  </conditionalFormatting>
  <conditionalFormatting sqref="C53">
    <cfRule type="expression" dxfId="1315" priority="968">
      <formula>E53&gt;0</formula>
    </cfRule>
  </conditionalFormatting>
  <conditionalFormatting sqref="C53">
    <cfRule type="expression" dxfId="1314" priority="967">
      <formula>E53&gt;0</formula>
    </cfRule>
  </conditionalFormatting>
  <conditionalFormatting sqref="C53">
    <cfRule type="expression" dxfId="1313" priority="966">
      <formula>E53&gt;0</formula>
    </cfRule>
  </conditionalFormatting>
  <conditionalFormatting sqref="C53">
    <cfRule type="expression" dxfId="1312" priority="965">
      <formula>E53&gt;0</formula>
    </cfRule>
  </conditionalFormatting>
  <conditionalFormatting sqref="C53">
    <cfRule type="expression" dxfId="1311" priority="964">
      <formula>E53&gt;0</formula>
    </cfRule>
  </conditionalFormatting>
  <conditionalFormatting sqref="C53">
    <cfRule type="expression" dxfId="1310" priority="963">
      <formula>E53&gt;0</formula>
    </cfRule>
  </conditionalFormatting>
  <conditionalFormatting sqref="C53">
    <cfRule type="expression" dxfId="1309" priority="962">
      <formula>E53&gt;0</formula>
    </cfRule>
  </conditionalFormatting>
  <conditionalFormatting sqref="C53">
    <cfRule type="expression" dxfId="1308" priority="961">
      <formula>E53&gt;0</formula>
    </cfRule>
  </conditionalFormatting>
  <conditionalFormatting sqref="C53">
    <cfRule type="expression" dxfId="1307" priority="960">
      <formula>E53&gt;0</formula>
    </cfRule>
  </conditionalFormatting>
  <conditionalFormatting sqref="C53">
    <cfRule type="expression" dxfId="1306" priority="959">
      <formula>E53&gt;0</formula>
    </cfRule>
  </conditionalFormatting>
  <conditionalFormatting sqref="C53">
    <cfRule type="expression" dxfId="1305" priority="958">
      <formula>E53&gt;0</formula>
    </cfRule>
  </conditionalFormatting>
  <conditionalFormatting sqref="C53">
    <cfRule type="expression" dxfId="1304" priority="957">
      <formula>E53&gt;0</formula>
    </cfRule>
  </conditionalFormatting>
  <conditionalFormatting sqref="C53">
    <cfRule type="expression" dxfId="1303" priority="956">
      <formula>E53&gt;0</formula>
    </cfRule>
  </conditionalFormatting>
  <conditionalFormatting sqref="C53">
    <cfRule type="expression" dxfId="1302" priority="955">
      <formula>E53&gt;0</formula>
    </cfRule>
  </conditionalFormatting>
  <conditionalFormatting sqref="C53">
    <cfRule type="expression" dxfId="1301" priority="954">
      <formula>E53&gt;0</formula>
    </cfRule>
  </conditionalFormatting>
  <conditionalFormatting sqref="C53">
    <cfRule type="expression" dxfId="1300" priority="953">
      <formula>E53&gt;0</formula>
    </cfRule>
  </conditionalFormatting>
  <conditionalFormatting sqref="C53">
    <cfRule type="expression" dxfId="1299" priority="952">
      <formula>E53&gt;0</formula>
    </cfRule>
  </conditionalFormatting>
  <conditionalFormatting sqref="C53">
    <cfRule type="expression" dxfId="1298" priority="951">
      <formula>E53&gt;0</formula>
    </cfRule>
  </conditionalFormatting>
  <conditionalFormatting sqref="C53">
    <cfRule type="expression" dxfId="1297" priority="950">
      <formula>E53&gt;0</formula>
    </cfRule>
  </conditionalFormatting>
  <conditionalFormatting sqref="C53">
    <cfRule type="expression" dxfId="1296" priority="949">
      <formula>E53&gt;0</formula>
    </cfRule>
  </conditionalFormatting>
  <conditionalFormatting sqref="C53">
    <cfRule type="expression" dxfId="1295" priority="948">
      <formula>E53&gt;0</formula>
    </cfRule>
  </conditionalFormatting>
  <conditionalFormatting sqref="C53">
    <cfRule type="expression" dxfId="1294" priority="947">
      <formula>E53&gt;0</formula>
    </cfRule>
  </conditionalFormatting>
  <conditionalFormatting sqref="C53">
    <cfRule type="expression" dxfId="1293" priority="946">
      <formula>E53&gt;0</formula>
    </cfRule>
  </conditionalFormatting>
  <conditionalFormatting sqref="C53">
    <cfRule type="expression" dxfId="1292" priority="945">
      <formula>E53&gt;0</formula>
    </cfRule>
  </conditionalFormatting>
  <conditionalFormatting sqref="C53">
    <cfRule type="expression" dxfId="1291" priority="944">
      <formula>E53&gt;0</formula>
    </cfRule>
  </conditionalFormatting>
  <conditionalFormatting sqref="C53">
    <cfRule type="expression" dxfId="1290" priority="943">
      <formula>E53&gt;0</formula>
    </cfRule>
  </conditionalFormatting>
  <conditionalFormatting sqref="C53">
    <cfRule type="expression" dxfId="1289" priority="942">
      <formula>E53&gt;0</formula>
    </cfRule>
  </conditionalFormatting>
  <conditionalFormatting sqref="C53">
    <cfRule type="expression" dxfId="1288" priority="941">
      <formula>E53&gt;0</formula>
    </cfRule>
  </conditionalFormatting>
  <conditionalFormatting sqref="C53">
    <cfRule type="expression" dxfId="1287" priority="940">
      <formula>E53&gt;0</formula>
    </cfRule>
  </conditionalFormatting>
  <conditionalFormatting sqref="C53">
    <cfRule type="expression" dxfId="1286" priority="939">
      <formula>E53&gt;0</formula>
    </cfRule>
  </conditionalFormatting>
  <conditionalFormatting sqref="C53">
    <cfRule type="expression" dxfId="1285" priority="938">
      <formula>E53&gt;0</formula>
    </cfRule>
  </conditionalFormatting>
  <conditionalFormatting sqref="C53">
    <cfRule type="expression" dxfId="1284" priority="937">
      <formula>E53&gt;0</formula>
    </cfRule>
  </conditionalFormatting>
  <conditionalFormatting sqref="C53">
    <cfRule type="expression" dxfId="1283" priority="936">
      <formula>E53&gt;0</formula>
    </cfRule>
  </conditionalFormatting>
  <conditionalFormatting sqref="C53">
    <cfRule type="expression" dxfId="1282" priority="935">
      <formula>E53&gt;0</formula>
    </cfRule>
  </conditionalFormatting>
  <conditionalFormatting sqref="C53">
    <cfRule type="expression" dxfId="1281" priority="934">
      <formula>E53&gt;0</formula>
    </cfRule>
  </conditionalFormatting>
  <conditionalFormatting sqref="C53">
    <cfRule type="expression" dxfId="1280" priority="933">
      <formula>E53&gt;0</formula>
    </cfRule>
  </conditionalFormatting>
  <conditionalFormatting sqref="C53">
    <cfRule type="expression" dxfId="1279" priority="932">
      <formula>E53&gt;0</formula>
    </cfRule>
  </conditionalFormatting>
  <conditionalFormatting sqref="C53">
    <cfRule type="expression" dxfId="1278" priority="931">
      <formula>E53&gt;0</formula>
    </cfRule>
  </conditionalFormatting>
  <conditionalFormatting sqref="C53">
    <cfRule type="expression" dxfId="1277" priority="930">
      <formula>E53&gt;0</formula>
    </cfRule>
  </conditionalFormatting>
  <conditionalFormatting sqref="C53">
    <cfRule type="expression" dxfId="1276" priority="929">
      <formula>E53&gt;0</formula>
    </cfRule>
  </conditionalFormatting>
  <conditionalFormatting sqref="C53">
    <cfRule type="expression" dxfId="1275" priority="928">
      <formula>E53&gt;0</formula>
    </cfRule>
  </conditionalFormatting>
  <conditionalFormatting sqref="C53">
    <cfRule type="expression" dxfId="1274" priority="927">
      <formula>E53&gt;0</formula>
    </cfRule>
  </conditionalFormatting>
  <conditionalFormatting sqref="C53">
    <cfRule type="expression" dxfId="1273" priority="926">
      <formula>E53&gt;0</formula>
    </cfRule>
  </conditionalFormatting>
  <conditionalFormatting sqref="C53">
    <cfRule type="expression" dxfId="1272" priority="925">
      <formula>E53&gt;0</formula>
    </cfRule>
  </conditionalFormatting>
  <conditionalFormatting sqref="C53">
    <cfRule type="expression" dxfId="1271" priority="924">
      <formula>E53&gt;0</formula>
    </cfRule>
  </conditionalFormatting>
  <conditionalFormatting sqref="C53">
    <cfRule type="expression" dxfId="1270" priority="923">
      <formula>E53&gt;0</formula>
    </cfRule>
  </conditionalFormatting>
  <conditionalFormatting sqref="C53">
    <cfRule type="expression" dxfId="1269" priority="922">
      <formula>E53&gt;0</formula>
    </cfRule>
  </conditionalFormatting>
  <conditionalFormatting sqref="C53">
    <cfRule type="expression" dxfId="1268" priority="921">
      <formula>E53&gt;0</formula>
    </cfRule>
  </conditionalFormatting>
  <conditionalFormatting sqref="C53">
    <cfRule type="expression" dxfId="1267" priority="920">
      <formula>E53&gt;0</formula>
    </cfRule>
  </conditionalFormatting>
  <conditionalFormatting sqref="C53">
    <cfRule type="expression" dxfId="1266" priority="919">
      <formula>E53&gt;0</formula>
    </cfRule>
  </conditionalFormatting>
  <conditionalFormatting sqref="C53">
    <cfRule type="expression" dxfId="1265" priority="918">
      <formula>E53&gt;0</formula>
    </cfRule>
  </conditionalFormatting>
  <conditionalFormatting sqref="C53">
    <cfRule type="expression" dxfId="1264" priority="917">
      <formula>E53&gt;0</formula>
    </cfRule>
  </conditionalFormatting>
  <conditionalFormatting sqref="C53">
    <cfRule type="expression" dxfId="1263" priority="916">
      <formula>E53&gt;0</formula>
    </cfRule>
  </conditionalFormatting>
  <conditionalFormatting sqref="C53">
    <cfRule type="expression" dxfId="1262" priority="915">
      <formula>E53&gt;0</formula>
    </cfRule>
  </conditionalFormatting>
  <conditionalFormatting sqref="C53">
    <cfRule type="expression" dxfId="1261" priority="914">
      <formula>E53&gt;0</formula>
    </cfRule>
  </conditionalFormatting>
  <conditionalFormatting sqref="C53">
    <cfRule type="expression" dxfId="1260" priority="913">
      <formula>E53&gt;0</formula>
    </cfRule>
  </conditionalFormatting>
  <conditionalFormatting sqref="C53">
    <cfRule type="expression" dxfId="1259" priority="912">
      <formula>E53&gt;0</formula>
    </cfRule>
  </conditionalFormatting>
  <conditionalFormatting sqref="C53">
    <cfRule type="expression" dxfId="1258" priority="911">
      <formula>E53&gt;0</formula>
    </cfRule>
  </conditionalFormatting>
  <conditionalFormatting sqref="C53">
    <cfRule type="expression" dxfId="1257" priority="910">
      <formula>E53&gt;0</formula>
    </cfRule>
  </conditionalFormatting>
  <conditionalFormatting sqref="C53">
    <cfRule type="expression" dxfId="1256" priority="909">
      <formula>E53&gt;0</formula>
    </cfRule>
  </conditionalFormatting>
  <conditionalFormatting sqref="C53">
    <cfRule type="expression" dxfId="1255" priority="908">
      <formula>E53&gt;0</formula>
    </cfRule>
  </conditionalFormatting>
  <conditionalFormatting sqref="C53">
    <cfRule type="expression" dxfId="1254" priority="907">
      <formula>E53&gt;0</formula>
    </cfRule>
  </conditionalFormatting>
  <conditionalFormatting sqref="C53">
    <cfRule type="expression" dxfId="1253" priority="906">
      <formula>E53&gt;0</formula>
    </cfRule>
  </conditionalFormatting>
  <conditionalFormatting sqref="C53">
    <cfRule type="expression" dxfId="1252" priority="905">
      <formula>E53&gt;0</formula>
    </cfRule>
  </conditionalFormatting>
  <conditionalFormatting sqref="C53">
    <cfRule type="expression" dxfId="1251" priority="904">
      <formula>E53&gt;0</formula>
    </cfRule>
  </conditionalFormatting>
  <conditionalFormatting sqref="C53">
    <cfRule type="expression" dxfId="1250" priority="903">
      <formula>E53&gt;0</formula>
    </cfRule>
  </conditionalFormatting>
  <conditionalFormatting sqref="C53">
    <cfRule type="expression" dxfId="1249" priority="902">
      <formula>E53&gt;0</formula>
    </cfRule>
  </conditionalFormatting>
  <conditionalFormatting sqref="C53">
    <cfRule type="expression" dxfId="1248" priority="901">
      <formula>E53&gt;0</formula>
    </cfRule>
  </conditionalFormatting>
  <conditionalFormatting sqref="C53">
    <cfRule type="expression" dxfId="1247" priority="900">
      <formula>E53&gt;0</formula>
    </cfRule>
  </conditionalFormatting>
  <conditionalFormatting sqref="C53">
    <cfRule type="expression" dxfId="1246" priority="899">
      <formula>E53&gt;0</formula>
    </cfRule>
  </conditionalFormatting>
  <conditionalFormatting sqref="C53">
    <cfRule type="expression" dxfId="1245" priority="898">
      <formula>E53&gt;0</formula>
    </cfRule>
  </conditionalFormatting>
  <conditionalFormatting sqref="C53">
    <cfRule type="expression" dxfId="1244" priority="897">
      <formula>E53&gt;0</formula>
    </cfRule>
  </conditionalFormatting>
  <conditionalFormatting sqref="C53">
    <cfRule type="expression" dxfId="1243" priority="896">
      <formula>E53&gt;0</formula>
    </cfRule>
  </conditionalFormatting>
  <conditionalFormatting sqref="C53">
    <cfRule type="expression" dxfId="1242" priority="895">
      <formula>E53&gt;0</formula>
    </cfRule>
  </conditionalFormatting>
  <conditionalFormatting sqref="C53">
    <cfRule type="expression" dxfId="1241" priority="894">
      <formula>E53&gt;0</formula>
    </cfRule>
  </conditionalFormatting>
  <conditionalFormatting sqref="C53">
    <cfRule type="expression" dxfId="1240" priority="893">
      <formula>E53&gt;0</formula>
    </cfRule>
  </conditionalFormatting>
  <conditionalFormatting sqref="C53">
    <cfRule type="expression" dxfId="1239" priority="892">
      <formula>E53&gt;0</formula>
    </cfRule>
  </conditionalFormatting>
  <conditionalFormatting sqref="C53">
    <cfRule type="expression" dxfId="1238" priority="891">
      <formula>E53&gt;0</formula>
    </cfRule>
  </conditionalFormatting>
  <conditionalFormatting sqref="C53">
    <cfRule type="expression" dxfId="1237" priority="890">
      <formula>E53&gt;0</formula>
    </cfRule>
  </conditionalFormatting>
  <conditionalFormatting sqref="C53">
    <cfRule type="expression" dxfId="1236" priority="889">
      <formula>E53&gt;0</formula>
    </cfRule>
  </conditionalFormatting>
  <conditionalFormatting sqref="C53">
    <cfRule type="expression" dxfId="1235" priority="888">
      <formula>E53&gt;0</formula>
    </cfRule>
  </conditionalFormatting>
  <conditionalFormatting sqref="C53">
    <cfRule type="expression" dxfId="1234" priority="887">
      <formula>E53&gt;0</formula>
    </cfRule>
  </conditionalFormatting>
  <conditionalFormatting sqref="C53">
    <cfRule type="expression" dxfId="1233" priority="886">
      <formula>E53&gt;0</formula>
    </cfRule>
  </conditionalFormatting>
  <conditionalFormatting sqref="C53">
    <cfRule type="expression" dxfId="1232" priority="885">
      <formula>E53&gt;0</formula>
    </cfRule>
  </conditionalFormatting>
  <conditionalFormatting sqref="C53">
    <cfRule type="expression" dxfId="1231" priority="884">
      <formula>E53&gt;0</formula>
    </cfRule>
  </conditionalFormatting>
  <conditionalFormatting sqref="C53">
    <cfRule type="expression" dxfId="1230" priority="883">
      <formula>E53&gt;0</formula>
    </cfRule>
  </conditionalFormatting>
  <conditionalFormatting sqref="C53">
    <cfRule type="expression" dxfId="1229" priority="882">
      <formula>E53&gt;0</formula>
    </cfRule>
  </conditionalFormatting>
  <conditionalFormatting sqref="C53">
    <cfRule type="expression" dxfId="1228" priority="881">
      <formula>E53&gt;0</formula>
    </cfRule>
  </conditionalFormatting>
  <conditionalFormatting sqref="C53">
    <cfRule type="expression" dxfId="1227" priority="880">
      <formula>E53&gt;0</formula>
    </cfRule>
  </conditionalFormatting>
  <conditionalFormatting sqref="C53">
    <cfRule type="expression" dxfId="1226" priority="879">
      <formula>E53&gt;0</formula>
    </cfRule>
  </conditionalFormatting>
  <conditionalFormatting sqref="C53">
    <cfRule type="expression" dxfId="1225" priority="878">
      <formula>E53&gt;0</formula>
    </cfRule>
  </conditionalFormatting>
  <conditionalFormatting sqref="C53">
    <cfRule type="expression" dxfId="1224" priority="877">
      <formula>E53&gt;0</formula>
    </cfRule>
  </conditionalFormatting>
  <conditionalFormatting sqref="C53">
    <cfRule type="expression" dxfId="1223" priority="876">
      <formula>E53&gt;0</formula>
    </cfRule>
  </conditionalFormatting>
  <conditionalFormatting sqref="C53">
    <cfRule type="expression" dxfId="1222" priority="875">
      <formula>E53&gt;0</formula>
    </cfRule>
  </conditionalFormatting>
  <conditionalFormatting sqref="C53">
    <cfRule type="expression" dxfId="1221" priority="874">
      <formula>E53&gt;0</formula>
    </cfRule>
  </conditionalFormatting>
  <conditionalFormatting sqref="C53">
    <cfRule type="expression" dxfId="1220" priority="873">
      <formula>E53&gt;0</formula>
    </cfRule>
  </conditionalFormatting>
  <conditionalFormatting sqref="C53">
    <cfRule type="expression" dxfId="1219" priority="872">
      <formula>E53&gt;0</formula>
    </cfRule>
  </conditionalFormatting>
  <conditionalFormatting sqref="C53">
    <cfRule type="expression" dxfId="1218" priority="871">
      <formula>E53&gt;0</formula>
    </cfRule>
  </conditionalFormatting>
  <conditionalFormatting sqref="C53">
    <cfRule type="expression" dxfId="1217" priority="870">
      <formula>E53&gt;0</formula>
    </cfRule>
  </conditionalFormatting>
  <conditionalFormatting sqref="C53">
    <cfRule type="expression" dxfId="1216" priority="869">
      <formula>E53&gt;0</formula>
    </cfRule>
  </conditionalFormatting>
  <conditionalFormatting sqref="C53">
    <cfRule type="expression" dxfId="1215" priority="868">
      <formula>E53&gt;0</formula>
    </cfRule>
  </conditionalFormatting>
  <conditionalFormatting sqref="C53">
    <cfRule type="expression" dxfId="1214" priority="867">
      <formula>E53&gt;0</formula>
    </cfRule>
  </conditionalFormatting>
  <conditionalFormatting sqref="C53">
    <cfRule type="expression" dxfId="1213" priority="866">
      <formula>E53&gt;0</formula>
    </cfRule>
  </conditionalFormatting>
  <conditionalFormatting sqref="C53">
    <cfRule type="expression" dxfId="1212" priority="865">
      <formula>E53&gt;0</formula>
    </cfRule>
  </conditionalFormatting>
  <conditionalFormatting sqref="C53">
    <cfRule type="expression" dxfId="1211" priority="864">
      <formula>E53&gt;0</formula>
    </cfRule>
  </conditionalFormatting>
  <conditionalFormatting sqref="C53">
    <cfRule type="expression" dxfId="1210" priority="863">
      <formula>E53&gt;0</formula>
    </cfRule>
  </conditionalFormatting>
  <conditionalFormatting sqref="C53">
    <cfRule type="expression" dxfId="1209" priority="862">
      <formula>E53&gt;0</formula>
    </cfRule>
  </conditionalFormatting>
  <conditionalFormatting sqref="C53">
    <cfRule type="expression" dxfId="1208" priority="861">
      <formula>E53&gt;0</formula>
    </cfRule>
  </conditionalFormatting>
  <conditionalFormatting sqref="C53">
    <cfRule type="expression" dxfId="1207" priority="860">
      <formula>E53&gt;0</formula>
    </cfRule>
  </conditionalFormatting>
  <conditionalFormatting sqref="C53">
    <cfRule type="expression" dxfId="1206" priority="859">
      <formula>E53&gt;0</formula>
    </cfRule>
  </conditionalFormatting>
  <conditionalFormatting sqref="C53">
    <cfRule type="expression" dxfId="1205" priority="858">
      <formula>E53&gt;0</formula>
    </cfRule>
  </conditionalFormatting>
  <conditionalFormatting sqref="C53">
    <cfRule type="expression" dxfId="1204" priority="857">
      <formula>E53&gt;0</formula>
    </cfRule>
  </conditionalFormatting>
  <conditionalFormatting sqref="C53">
    <cfRule type="expression" dxfId="1203" priority="856">
      <formula>E53&gt;0</formula>
    </cfRule>
  </conditionalFormatting>
  <conditionalFormatting sqref="C53">
    <cfRule type="expression" dxfId="1202" priority="855">
      <formula>E53&gt;0</formula>
    </cfRule>
  </conditionalFormatting>
  <conditionalFormatting sqref="C53">
    <cfRule type="expression" dxfId="1201" priority="854">
      <formula>E53&gt;0</formula>
    </cfRule>
  </conditionalFormatting>
  <conditionalFormatting sqref="C53">
    <cfRule type="expression" dxfId="1200" priority="853">
      <formula>E53&gt;0</formula>
    </cfRule>
  </conditionalFormatting>
  <conditionalFormatting sqref="C53">
    <cfRule type="expression" dxfId="1199" priority="852">
      <formula>E53&gt;0</formula>
    </cfRule>
  </conditionalFormatting>
  <conditionalFormatting sqref="C53">
    <cfRule type="expression" dxfId="1198" priority="851">
      <formula>E53&gt;0</formula>
    </cfRule>
  </conditionalFormatting>
  <conditionalFormatting sqref="C53">
    <cfRule type="expression" dxfId="1197" priority="850">
      <formula>E53&gt;0</formula>
    </cfRule>
  </conditionalFormatting>
  <conditionalFormatting sqref="C53">
    <cfRule type="expression" dxfId="1196" priority="849">
      <formula>E53&gt;0</formula>
    </cfRule>
  </conditionalFormatting>
  <conditionalFormatting sqref="C53">
    <cfRule type="expression" dxfId="1195" priority="848">
      <formula>E53&gt;0</formula>
    </cfRule>
  </conditionalFormatting>
  <conditionalFormatting sqref="C53">
    <cfRule type="expression" dxfId="1194" priority="847">
      <formula>E53&gt;0</formula>
    </cfRule>
  </conditionalFormatting>
  <conditionalFormatting sqref="C53">
    <cfRule type="expression" dxfId="1193" priority="846">
      <formula>E53&gt;0</formula>
    </cfRule>
  </conditionalFormatting>
  <conditionalFormatting sqref="C53">
    <cfRule type="expression" dxfId="1192" priority="845">
      <formula>E53&gt;0</formula>
    </cfRule>
  </conditionalFormatting>
  <conditionalFormatting sqref="C53">
    <cfRule type="expression" dxfId="1191" priority="844">
      <formula>E53&gt;0</formula>
    </cfRule>
  </conditionalFormatting>
  <conditionalFormatting sqref="C53">
    <cfRule type="expression" dxfId="1190" priority="843">
      <formula>E53&gt;0</formula>
    </cfRule>
  </conditionalFormatting>
  <conditionalFormatting sqref="C53">
    <cfRule type="expression" dxfId="1189" priority="842">
      <formula>E53&gt;0</formula>
    </cfRule>
  </conditionalFormatting>
  <conditionalFormatting sqref="C53">
    <cfRule type="expression" dxfId="1188" priority="841">
      <formula>E53&gt;0</formula>
    </cfRule>
  </conditionalFormatting>
  <conditionalFormatting sqref="C53">
    <cfRule type="expression" dxfId="1187" priority="840">
      <formula>E53&gt;0</formula>
    </cfRule>
  </conditionalFormatting>
  <conditionalFormatting sqref="C53">
    <cfRule type="expression" dxfId="1186" priority="839">
      <formula>E53&gt;0</formula>
    </cfRule>
  </conditionalFormatting>
  <conditionalFormatting sqref="C53">
    <cfRule type="expression" dxfId="1185" priority="838">
      <formula>E53&gt;0</formula>
    </cfRule>
  </conditionalFormatting>
  <conditionalFormatting sqref="C53">
    <cfRule type="expression" dxfId="1184" priority="837">
      <formula>E53&gt;0</formula>
    </cfRule>
  </conditionalFormatting>
  <conditionalFormatting sqref="C53">
    <cfRule type="expression" dxfId="1183" priority="836">
      <formula>E53&gt;0</formula>
    </cfRule>
  </conditionalFormatting>
  <conditionalFormatting sqref="C53">
    <cfRule type="expression" dxfId="1182" priority="835">
      <formula>E53&gt;0</formula>
    </cfRule>
  </conditionalFormatting>
  <conditionalFormatting sqref="C53">
    <cfRule type="expression" dxfId="1181" priority="834">
      <formula>E53&gt;0</formula>
    </cfRule>
  </conditionalFormatting>
  <conditionalFormatting sqref="C53">
    <cfRule type="expression" dxfId="1180" priority="833">
      <formula>E53&gt;0</formula>
    </cfRule>
  </conditionalFormatting>
  <conditionalFormatting sqref="C53">
    <cfRule type="expression" dxfId="1179" priority="832">
      <formula>E53&gt;0</formula>
    </cfRule>
  </conditionalFormatting>
  <conditionalFormatting sqref="C53">
    <cfRule type="expression" dxfId="1178" priority="831">
      <formula>E53&gt;0</formula>
    </cfRule>
  </conditionalFormatting>
  <conditionalFormatting sqref="C53">
    <cfRule type="expression" dxfId="1177" priority="830">
      <formula>E53&gt;0</formula>
    </cfRule>
  </conditionalFormatting>
  <conditionalFormatting sqref="C53">
    <cfRule type="expression" dxfId="1176" priority="829">
      <formula>E53&gt;0</formula>
    </cfRule>
  </conditionalFormatting>
  <conditionalFormatting sqref="C53">
    <cfRule type="expression" dxfId="1175" priority="828">
      <formula>E53&gt;0</formula>
    </cfRule>
  </conditionalFormatting>
  <conditionalFormatting sqref="C53">
    <cfRule type="expression" dxfId="1174" priority="827">
      <formula>E53&gt;0</formula>
    </cfRule>
  </conditionalFormatting>
  <conditionalFormatting sqref="C53">
    <cfRule type="expression" dxfId="1173" priority="826">
      <formula>E53&gt;0</formula>
    </cfRule>
  </conditionalFormatting>
  <conditionalFormatting sqref="C53">
    <cfRule type="expression" dxfId="1172" priority="825">
      <formula>E53&gt;0</formula>
    </cfRule>
  </conditionalFormatting>
  <conditionalFormatting sqref="C53">
    <cfRule type="expression" dxfId="1171" priority="824">
      <formula>E53&gt;0</formula>
    </cfRule>
  </conditionalFormatting>
  <conditionalFormatting sqref="C53">
    <cfRule type="expression" dxfId="1170" priority="823">
      <formula>E53&gt;0</formula>
    </cfRule>
  </conditionalFormatting>
  <conditionalFormatting sqref="C53">
    <cfRule type="expression" dxfId="1169" priority="822">
      <formula>E53&gt;0</formula>
    </cfRule>
  </conditionalFormatting>
  <conditionalFormatting sqref="C53">
    <cfRule type="expression" dxfId="1168" priority="821">
      <formula>E53&gt;0</formula>
    </cfRule>
  </conditionalFormatting>
  <conditionalFormatting sqref="C53">
    <cfRule type="expression" dxfId="1167" priority="820">
      <formula>E53&gt;0</formula>
    </cfRule>
  </conditionalFormatting>
  <conditionalFormatting sqref="C53">
    <cfRule type="expression" dxfId="1166" priority="819">
      <formula>E53&gt;0</formula>
    </cfRule>
  </conditionalFormatting>
  <conditionalFormatting sqref="C53">
    <cfRule type="expression" dxfId="1165" priority="818">
      <formula>E53&gt;0</formula>
    </cfRule>
  </conditionalFormatting>
  <conditionalFormatting sqref="C53">
    <cfRule type="expression" dxfId="1164" priority="817">
      <formula>E53&gt;0</formula>
    </cfRule>
  </conditionalFormatting>
  <conditionalFormatting sqref="C53">
    <cfRule type="expression" dxfId="1163" priority="816">
      <formula>E53&gt;0</formula>
    </cfRule>
  </conditionalFormatting>
  <conditionalFormatting sqref="C53">
    <cfRule type="expression" dxfId="1162" priority="815">
      <formula>E53&gt;0</formula>
    </cfRule>
  </conditionalFormatting>
  <conditionalFormatting sqref="C53">
    <cfRule type="expression" dxfId="1161" priority="814">
      <formula>E53&gt;0</formula>
    </cfRule>
  </conditionalFormatting>
  <conditionalFormatting sqref="C53">
    <cfRule type="expression" dxfId="1160" priority="813">
      <formula>E53&gt;0</formula>
    </cfRule>
  </conditionalFormatting>
  <conditionalFormatting sqref="C53">
    <cfRule type="expression" dxfId="1159" priority="812">
      <formula>E53&gt;0</formula>
    </cfRule>
  </conditionalFormatting>
  <conditionalFormatting sqref="C53">
    <cfRule type="expression" dxfId="1158" priority="811">
      <formula>E53&gt;0</formula>
    </cfRule>
  </conditionalFormatting>
  <conditionalFormatting sqref="C53">
    <cfRule type="expression" dxfId="1157" priority="810">
      <formula>E53&gt;0</formula>
    </cfRule>
  </conditionalFormatting>
  <conditionalFormatting sqref="C53">
    <cfRule type="expression" dxfId="1156" priority="809">
      <formula>E53&gt;0</formula>
    </cfRule>
  </conditionalFormatting>
  <conditionalFormatting sqref="C53">
    <cfRule type="expression" dxfId="1155" priority="808">
      <formula>E53&gt;0</formula>
    </cfRule>
  </conditionalFormatting>
  <conditionalFormatting sqref="C53">
    <cfRule type="expression" dxfId="1154" priority="807">
      <formula>E53&gt;0</formula>
    </cfRule>
  </conditionalFormatting>
  <conditionalFormatting sqref="C53">
    <cfRule type="expression" dxfId="1153" priority="806">
      <formula>E53&gt;0</formula>
    </cfRule>
  </conditionalFormatting>
  <conditionalFormatting sqref="C53">
    <cfRule type="expression" dxfId="1152" priority="805">
      <formula>E53&gt;0</formula>
    </cfRule>
  </conditionalFormatting>
  <conditionalFormatting sqref="C53">
    <cfRule type="expression" dxfId="1151" priority="804">
      <formula>E53&gt;0</formula>
    </cfRule>
  </conditionalFormatting>
  <conditionalFormatting sqref="C53">
    <cfRule type="expression" dxfId="1150" priority="803">
      <formula>E53&gt;0</formula>
    </cfRule>
  </conditionalFormatting>
  <conditionalFormatting sqref="C53">
    <cfRule type="expression" dxfId="1149" priority="802">
      <formula>E53&gt;0</formula>
    </cfRule>
  </conditionalFormatting>
  <conditionalFormatting sqref="C53">
    <cfRule type="expression" dxfId="1148" priority="801">
      <formula>E53&gt;0</formula>
    </cfRule>
  </conditionalFormatting>
  <conditionalFormatting sqref="C53">
    <cfRule type="expression" dxfId="1147" priority="800">
      <formula>E53&gt;0</formula>
    </cfRule>
  </conditionalFormatting>
  <conditionalFormatting sqref="C53">
    <cfRule type="expression" dxfId="1146" priority="799">
      <formula>E53&gt;0</formula>
    </cfRule>
  </conditionalFormatting>
  <conditionalFormatting sqref="C53">
    <cfRule type="expression" dxfId="1145" priority="798">
      <formula>E53&gt;0</formula>
    </cfRule>
  </conditionalFormatting>
  <conditionalFormatting sqref="C53">
    <cfRule type="expression" dxfId="1144" priority="797">
      <formula>E53&gt;0</formula>
    </cfRule>
  </conditionalFormatting>
  <conditionalFormatting sqref="C53">
    <cfRule type="expression" dxfId="1143" priority="796">
      <formula>E53&gt;0</formula>
    </cfRule>
  </conditionalFormatting>
  <conditionalFormatting sqref="C53">
    <cfRule type="expression" dxfId="1142" priority="795">
      <formula>E53&gt;0</formula>
    </cfRule>
  </conditionalFormatting>
  <conditionalFormatting sqref="C53">
    <cfRule type="expression" dxfId="1141" priority="794">
      <formula>E53&gt;0</formula>
    </cfRule>
  </conditionalFormatting>
  <conditionalFormatting sqref="C53">
    <cfRule type="expression" dxfId="1140" priority="793">
      <formula>E53&gt;0</formula>
    </cfRule>
  </conditionalFormatting>
  <conditionalFormatting sqref="C53">
    <cfRule type="expression" dxfId="1139" priority="792">
      <formula>E53&gt;0</formula>
    </cfRule>
  </conditionalFormatting>
  <conditionalFormatting sqref="C53">
    <cfRule type="expression" dxfId="1138" priority="791">
      <formula>E53&gt;0</formula>
    </cfRule>
  </conditionalFormatting>
  <conditionalFormatting sqref="C53">
    <cfRule type="expression" dxfId="1137" priority="790">
      <formula>E53&gt;0</formula>
    </cfRule>
  </conditionalFormatting>
  <conditionalFormatting sqref="C53">
    <cfRule type="expression" dxfId="1136" priority="789">
      <formula>E53&gt;0</formula>
    </cfRule>
  </conditionalFormatting>
  <conditionalFormatting sqref="C53">
    <cfRule type="expression" dxfId="1135" priority="788">
      <formula>E53&gt;0</formula>
    </cfRule>
  </conditionalFormatting>
  <conditionalFormatting sqref="C53">
    <cfRule type="expression" dxfId="1134" priority="787">
      <formula>E53&gt;0</formula>
    </cfRule>
  </conditionalFormatting>
  <conditionalFormatting sqref="C53">
    <cfRule type="expression" dxfId="1133" priority="786">
      <formula>E53&gt;0</formula>
    </cfRule>
  </conditionalFormatting>
  <conditionalFormatting sqref="C53">
    <cfRule type="expression" dxfId="1132" priority="785">
      <formula>E53&gt;0</formula>
    </cfRule>
  </conditionalFormatting>
  <conditionalFormatting sqref="C53">
    <cfRule type="expression" dxfId="1131" priority="784">
      <formula>E53&gt;0</formula>
    </cfRule>
  </conditionalFormatting>
  <conditionalFormatting sqref="C53">
    <cfRule type="expression" dxfId="1130" priority="783">
      <formula>E53&gt;0</formula>
    </cfRule>
  </conditionalFormatting>
  <conditionalFormatting sqref="C53">
    <cfRule type="expression" dxfId="1129" priority="782">
      <formula>E53&gt;0</formula>
    </cfRule>
  </conditionalFormatting>
  <conditionalFormatting sqref="C53">
    <cfRule type="expression" dxfId="1128" priority="781">
      <formula>E53&gt;0</formula>
    </cfRule>
  </conditionalFormatting>
  <conditionalFormatting sqref="C53">
    <cfRule type="expression" dxfId="1127" priority="780">
      <formula>E53&gt;0</formula>
    </cfRule>
  </conditionalFormatting>
  <conditionalFormatting sqref="C53">
    <cfRule type="expression" dxfId="1126" priority="779">
      <formula>E53&gt;0</formula>
    </cfRule>
  </conditionalFormatting>
  <conditionalFormatting sqref="C53">
    <cfRule type="expression" dxfId="1125" priority="778">
      <formula>E53&gt;0</formula>
    </cfRule>
  </conditionalFormatting>
  <conditionalFormatting sqref="C53">
    <cfRule type="expression" dxfId="1124" priority="777">
      <formula>E53&gt;0</formula>
    </cfRule>
  </conditionalFormatting>
  <conditionalFormatting sqref="C53">
    <cfRule type="expression" dxfId="1123" priority="776">
      <formula>E53&gt;0</formula>
    </cfRule>
  </conditionalFormatting>
  <conditionalFormatting sqref="C53">
    <cfRule type="expression" dxfId="1122" priority="775">
      <formula>E53&gt;0</formula>
    </cfRule>
  </conditionalFormatting>
  <conditionalFormatting sqref="C53">
    <cfRule type="expression" dxfId="1121" priority="774">
      <formula>E53&gt;0</formula>
    </cfRule>
  </conditionalFormatting>
  <conditionalFormatting sqref="C53">
    <cfRule type="expression" dxfId="1120" priority="773">
      <formula>E53&gt;0</formula>
    </cfRule>
  </conditionalFormatting>
  <conditionalFormatting sqref="C53">
    <cfRule type="expression" dxfId="1119" priority="772">
      <formula>E53&gt;0</formula>
    </cfRule>
  </conditionalFormatting>
  <conditionalFormatting sqref="C53">
    <cfRule type="expression" dxfId="1118" priority="771">
      <formula>E53&gt;0</formula>
    </cfRule>
  </conditionalFormatting>
  <conditionalFormatting sqref="C53">
    <cfRule type="expression" dxfId="1117" priority="770">
      <formula>E53&gt;0</formula>
    </cfRule>
  </conditionalFormatting>
  <conditionalFormatting sqref="C53">
    <cfRule type="expression" dxfId="1116" priority="769">
      <formula>E53&gt;0</formula>
    </cfRule>
  </conditionalFormatting>
  <conditionalFormatting sqref="C53">
    <cfRule type="expression" dxfId="1115" priority="768">
      <formula>E53&gt;0</formula>
    </cfRule>
  </conditionalFormatting>
  <conditionalFormatting sqref="C53">
    <cfRule type="expression" dxfId="1114" priority="767">
      <formula>E53&gt;0</formula>
    </cfRule>
  </conditionalFormatting>
  <conditionalFormatting sqref="C53">
    <cfRule type="expression" dxfId="1113" priority="766">
      <formula>E53&gt;0</formula>
    </cfRule>
  </conditionalFormatting>
  <conditionalFormatting sqref="C53">
    <cfRule type="expression" dxfId="1112" priority="765">
      <formula>E53&gt;0</formula>
    </cfRule>
  </conditionalFormatting>
  <conditionalFormatting sqref="C53">
    <cfRule type="expression" dxfId="1111" priority="764">
      <formula>E53&gt;0</formula>
    </cfRule>
  </conditionalFormatting>
  <conditionalFormatting sqref="C53">
    <cfRule type="expression" dxfId="1110" priority="763">
      <formula>E53&gt;0</formula>
    </cfRule>
  </conditionalFormatting>
  <conditionalFormatting sqref="C53">
    <cfRule type="expression" dxfId="1109" priority="762">
      <formula>E53&gt;0</formula>
    </cfRule>
  </conditionalFormatting>
  <conditionalFormatting sqref="C53">
    <cfRule type="expression" dxfId="1108" priority="761">
      <formula>E53&gt;0</formula>
    </cfRule>
  </conditionalFormatting>
  <conditionalFormatting sqref="C53">
    <cfRule type="expression" dxfId="1107" priority="760">
      <formula>E53&gt;0</formula>
    </cfRule>
  </conditionalFormatting>
  <conditionalFormatting sqref="C53">
    <cfRule type="expression" dxfId="1106" priority="759">
      <formula>E53&gt;0</formula>
    </cfRule>
  </conditionalFormatting>
  <conditionalFormatting sqref="C53">
    <cfRule type="expression" dxfId="1105" priority="758">
      <formula>E53&gt;0</formula>
    </cfRule>
  </conditionalFormatting>
  <conditionalFormatting sqref="C53">
    <cfRule type="expression" dxfId="1104" priority="757">
      <formula>E53&gt;0</formula>
    </cfRule>
  </conditionalFormatting>
  <conditionalFormatting sqref="C53">
    <cfRule type="expression" dxfId="1103" priority="756">
      <formula>E53&gt;0</formula>
    </cfRule>
  </conditionalFormatting>
  <conditionalFormatting sqref="C53">
    <cfRule type="expression" dxfId="1102" priority="755">
      <formula>E53&gt;0</formula>
    </cfRule>
  </conditionalFormatting>
  <conditionalFormatting sqref="C53">
    <cfRule type="expression" dxfId="1101" priority="754">
      <formula>E53&gt;0</formula>
    </cfRule>
  </conditionalFormatting>
  <conditionalFormatting sqref="C53">
    <cfRule type="expression" dxfId="1100" priority="753">
      <formula>E53&gt;0</formula>
    </cfRule>
  </conditionalFormatting>
  <conditionalFormatting sqref="C53">
    <cfRule type="expression" dxfId="1099" priority="752">
      <formula>E53&gt;0</formula>
    </cfRule>
  </conditionalFormatting>
  <conditionalFormatting sqref="C53">
    <cfRule type="expression" dxfId="1098" priority="751">
      <formula>E53&gt;0</formula>
    </cfRule>
  </conditionalFormatting>
  <conditionalFormatting sqref="C53">
    <cfRule type="expression" dxfId="1097" priority="750">
      <formula>E53&gt;0</formula>
    </cfRule>
  </conditionalFormatting>
  <conditionalFormatting sqref="C53">
    <cfRule type="expression" dxfId="1096" priority="749">
      <formula>E53&gt;0</formula>
    </cfRule>
  </conditionalFormatting>
  <conditionalFormatting sqref="C53">
    <cfRule type="expression" dxfId="1095" priority="748">
      <formula>E53&gt;0</formula>
    </cfRule>
  </conditionalFormatting>
  <conditionalFormatting sqref="C53">
    <cfRule type="expression" dxfId="1094" priority="747">
      <formula>E53&gt;0</formula>
    </cfRule>
  </conditionalFormatting>
  <conditionalFormatting sqref="C53">
    <cfRule type="expression" dxfId="1093" priority="746">
      <formula>E53&gt;0</formula>
    </cfRule>
  </conditionalFormatting>
  <conditionalFormatting sqref="C53">
    <cfRule type="expression" dxfId="1092" priority="745">
      <formula>E53&gt;0</formula>
    </cfRule>
  </conditionalFormatting>
  <conditionalFormatting sqref="C53">
    <cfRule type="expression" dxfId="1091" priority="744">
      <formula>E53&gt;0</formula>
    </cfRule>
  </conditionalFormatting>
  <conditionalFormatting sqref="C53">
    <cfRule type="expression" dxfId="1090" priority="743">
      <formula>E53&gt;0</formula>
    </cfRule>
  </conditionalFormatting>
  <conditionalFormatting sqref="C53">
    <cfRule type="expression" dxfId="1089" priority="742">
      <formula>E53&gt;0</formula>
    </cfRule>
  </conditionalFormatting>
  <conditionalFormatting sqref="C53">
    <cfRule type="expression" dxfId="1088" priority="741">
      <formula>E53&gt;0</formula>
    </cfRule>
  </conditionalFormatting>
  <conditionalFormatting sqref="C53">
    <cfRule type="expression" dxfId="1087" priority="740">
      <formula>E53&gt;0</formula>
    </cfRule>
  </conditionalFormatting>
  <conditionalFormatting sqref="C53">
    <cfRule type="expression" dxfId="1086" priority="739">
      <formula>E53&gt;0</formula>
    </cfRule>
  </conditionalFormatting>
  <conditionalFormatting sqref="C53">
    <cfRule type="expression" dxfId="1085" priority="738">
      <formula>E53&gt;0</formula>
    </cfRule>
  </conditionalFormatting>
  <conditionalFormatting sqref="C53">
    <cfRule type="expression" dxfId="1084" priority="737">
      <formula>E53&gt;0</formula>
    </cfRule>
  </conditionalFormatting>
  <conditionalFormatting sqref="C53">
    <cfRule type="expression" dxfId="1083" priority="736">
      <formula>E53&gt;0</formula>
    </cfRule>
  </conditionalFormatting>
  <conditionalFormatting sqref="C53">
    <cfRule type="expression" dxfId="1082" priority="735">
      <formula>E53&gt;0</formula>
    </cfRule>
  </conditionalFormatting>
  <conditionalFormatting sqref="C53">
    <cfRule type="expression" dxfId="1081" priority="734">
      <formula>E53&gt;0</formula>
    </cfRule>
  </conditionalFormatting>
  <conditionalFormatting sqref="C53">
    <cfRule type="expression" dxfId="1080" priority="733">
      <formula>E53&gt;0</formula>
    </cfRule>
  </conditionalFormatting>
  <conditionalFormatting sqref="C53">
    <cfRule type="expression" dxfId="1079" priority="732">
      <formula>E53&gt;0</formula>
    </cfRule>
  </conditionalFormatting>
  <conditionalFormatting sqref="C53">
    <cfRule type="expression" dxfId="1078" priority="731">
      <formula>E53&gt;0</formula>
    </cfRule>
  </conditionalFormatting>
  <conditionalFormatting sqref="C53">
    <cfRule type="expression" dxfId="1077" priority="730">
      <formula>E53&gt;0</formula>
    </cfRule>
  </conditionalFormatting>
  <conditionalFormatting sqref="C53">
    <cfRule type="expression" dxfId="1076" priority="729">
      <formula>E53&gt;0</formula>
    </cfRule>
  </conditionalFormatting>
  <conditionalFormatting sqref="C53">
    <cfRule type="expression" dxfId="1075" priority="728">
      <formula>E53&gt;0</formula>
    </cfRule>
  </conditionalFormatting>
  <conditionalFormatting sqref="C53">
    <cfRule type="expression" dxfId="1074" priority="727">
      <formula>E53&gt;0</formula>
    </cfRule>
  </conditionalFormatting>
  <conditionalFormatting sqref="C53">
    <cfRule type="expression" dxfId="1073" priority="726">
      <formula>E53&gt;0</formula>
    </cfRule>
  </conditionalFormatting>
  <conditionalFormatting sqref="C53">
    <cfRule type="expression" dxfId="1072" priority="725">
      <formula>E53&gt;0</formula>
    </cfRule>
  </conditionalFormatting>
  <conditionalFormatting sqref="C53">
    <cfRule type="expression" dxfId="1071" priority="724">
      <formula>E53&gt;0</formula>
    </cfRule>
  </conditionalFormatting>
  <conditionalFormatting sqref="C53">
    <cfRule type="expression" dxfId="1070" priority="723">
      <formula>E53&gt;0</formula>
    </cfRule>
  </conditionalFormatting>
  <conditionalFormatting sqref="C53">
    <cfRule type="expression" dxfId="1069" priority="722">
      <formula>E53&gt;0</formula>
    </cfRule>
  </conditionalFormatting>
  <conditionalFormatting sqref="C53">
    <cfRule type="expression" dxfId="1068" priority="721">
      <formula>E53&gt;0</formula>
    </cfRule>
  </conditionalFormatting>
  <conditionalFormatting sqref="C53">
    <cfRule type="expression" dxfId="1067" priority="720">
      <formula>E53&gt;0</formula>
    </cfRule>
  </conditionalFormatting>
  <conditionalFormatting sqref="C53">
    <cfRule type="expression" dxfId="1066" priority="719">
      <formula>E53&gt;0</formula>
    </cfRule>
  </conditionalFormatting>
  <conditionalFormatting sqref="C53">
    <cfRule type="expression" dxfId="1065" priority="718">
      <formula>E53&gt;0</formula>
    </cfRule>
  </conditionalFormatting>
  <conditionalFormatting sqref="C53">
    <cfRule type="expression" dxfId="1064" priority="717">
      <formula>E53&gt;0</formula>
    </cfRule>
  </conditionalFormatting>
  <conditionalFormatting sqref="C53">
    <cfRule type="expression" dxfId="1063" priority="716">
      <formula>E53&gt;0</formula>
    </cfRule>
  </conditionalFormatting>
  <conditionalFormatting sqref="C53">
    <cfRule type="expression" dxfId="1062" priority="715">
      <formula>E53&gt;0</formula>
    </cfRule>
  </conditionalFormatting>
  <conditionalFormatting sqref="C53">
    <cfRule type="expression" dxfId="1061" priority="714">
      <formula>E53&gt;0</formula>
    </cfRule>
  </conditionalFormatting>
  <conditionalFormatting sqref="C53">
    <cfRule type="expression" dxfId="1060" priority="713">
      <formula>E53&gt;0</formula>
    </cfRule>
  </conditionalFormatting>
  <conditionalFormatting sqref="C53">
    <cfRule type="expression" dxfId="1059" priority="712">
      <formula>E53&gt;0</formula>
    </cfRule>
  </conditionalFormatting>
  <conditionalFormatting sqref="C53">
    <cfRule type="expression" dxfId="1058" priority="711">
      <formula>E53&gt;0</formula>
    </cfRule>
  </conditionalFormatting>
  <conditionalFormatting sqref="C53">
    <cfRule type="expression" dxfId="1057" priority="710">
      <formula>E53&gt;0</formula>
    </cfRule>
  </conditionalFormatting>
  <conditionalFormatting sqref="C53">
    <cfRule type="expression" dxfId="1056" priority="709">
      <formula>E53&gt;0</formula>
    </cfRule>
  </conditionalFormatting>
  <conditionalFormatting sqref="C53">
    <cfRule type="expression" dxfId="1055" priority="708">
      <formula>E53&gt;0</formula>
    </cfRule>
  </conditionalFormatting>
  <conditionalFormatting sqref="C53">
    <cfRule type="expression" dxfId="1054" priority="707">
      <formula>E53&gt;0</formula>
    </cfRule>
  </conditionalFormatting>
  <conditionalFormatting sqref="C53">
    <cfRule type="expression" dxfId="1053" priority="706">
      <formula>E53&gt;0</formula>
    </cfRule>
  </conditionalFormatting>
  <conditionalFormatting sqref="C53">
    <cfRule type="expression" dxfId="1052" priority="705">
      <formula>E53&gt;0</formula>
    </cfRule>
  </conditionalFormatting>
  <conditionalFormatting sqref="C53">
    <cfRule type="expression" dxfId="1051" priority="704">
      <formula>E53&gt;0</formula>
    </cfRule>
  </conditionalFormatting>
  <conditionalFormatting sqref="C53">
    <cfRule type="expression" dxfId="1050" priority="703">
      <formula>E53&gt;0</formula>
    </cfRule>
  </conditionalFormatting>
  <conditionalFormatting sqref="C53">
    <cfRule type="expression" dxfId="1049" priority="702">
      <formula>E53&gt;0</formula>
    </cfRule>
  </conditionalFormatting>
  <conditionalFormatting sqref="C53">
    <cfRule type="expression" dxfId="1048" priority="701">
      <formula>E53&gt;0</formula>
    </cfRule>
  </conditionalFormatting>
  <conditionalFormatting sqref="C53">
    <cfRule type="expression" dxfId="1047" priority="700">
      <formula>E53&gt;0</formula>
    </cfRule>
  </conditionalFormatting>
  <conditionalFormatting sqref="C53">
    <cfRule type="expression" dxfId="1046" priority="699">
      <formula>E53&gt;0</formula>
    </cfRule>
  </conditionalFormatting>
  <conditionalFormatting sqref="C53">
    <cfRule type="expression" dxfId="1045" priority="698">
      <formula>E53&gt;0</formula>
    </cfRule>
  </conditionalFormatting>
  <conditionalFormatting sqref="C53">
    <cfRule type="expression" dxfId="1044" priority="697">
      <formula>E53&gt;0</formula>
    </cfRule>
  </conditionalFormatting>
  <conditionalFormatting sqref="C53">
    <cfRule type="expression" dxfId="1043" priority="696">
      <formula>E53&gt;0</formula>
    </cfRule>
  </conditionalFormatting>
  <conditionalFormatting sqref="C53">
    <cfRule type="expression" dxfId="1042" priority="695">
      <formula>E53&gt;0</formula>
    </cfRule>
  </conditionalFormatting>
  <conditionalFormatting sqref="C53">
    <cfRule type="expression" dxfId="1041" priority="694">
      <formula>E53&gt;0</formula>
    </cfRule>
  </conditionalFormatting>
  <conditionalFormatting sqref="C53">
    <cfRule type="expression" dxfId="1040" priority="693">
      <formula>E53&gt;0</formula>
    </cfRule>
  </conditionalFormatting>
  <conditionalFormatting sqref="C53">
    <cfRule type="expression" dxfId="1039" priority="692">
      <formula>E53&gt;0</formula>
    </cfRule>
  </conditionalFormatting>
  <conditionalFormatting sqref="C53">
    <cfRule type="expression" dxfId="1038" priority="691">
      <formula>E53&gt;0</formula>
    </cfRule>
  </conditionalFormatting>
  <conditionalFormatting sqref="C53">
    <cfRule type="expression" dxfId="1037" priority="690">
      <formula>E53&gt;0</formula>
    </cfRule>
  </conditionalFormatting>
  <conditionalFormatting sqref="C53">
    <cfRule type="expression" dxfId="1036" priority="689">
      <formula>E53&gt;0</formula>
    </cfRule>
  </conditionalFormatting>
  <conditionalFormatting sqref="C53">
    <cfRule type="expression" dxfId="1035" priority="688">
      <formula>E53&gt;0</formula>
    </cfRule>
  </conditionalFormatting>
  <conditionalFormatting sqref="C53">
    <cfRule type="expression" dxfId="1034" priority="687">
      <formula>E53&gt;0</formula>
    </cfRule>
  </conditionalFormatting>
  <conditionalFormatting sqref="C53">
    <cfRule type="expression" dxfId="1033" priority="686">
      <formula>E53&gt;0</formula>
    </cfRule>
  </conditionalFormatting>
  <conditionalFormatting sqref="C53">
    <cfRule type="expression" dxfId="1032" priority="685">
      <formula>E53&gt;0</formula>
    </cfRule>
  </conditionalFormatting>
  <conditionalFormatting sqref="C53">
    <cfRule type="expression" dxfId="1031" priority="684">
      <formula>E53&gt;0</formula>
    </cfRule>
  </conditionalFormatting>
  <conditionalFormatting sqref="C53">
    <cfRule type="expression" dxfId="1030" priority="683">
      <formula>E53&gt;0</formula>
    </cfRule>
  </conditionalFormatting>
  <conditionalFormatting sqref="C53">
    <cfRule type="expression" dxfId="1029" priority="682">
      <formula>E53&gt;0</formula>
    </cfRule>
  </conditionalFormatting>
  <conditionalFormatting sqref="C53">
    <cfRule type="expression" dxfId="1028" priority="681">
      <formula>E53&gt;0</formula>
    </cfRule>
  </conditionalFormatting>
  <conditionalFormatting sqref="C53">
    <cfRule type="expression" dxfId="1027" priority="680">
      <formula>E53&gt;0</formula>
    </cfRule>
  </conditionalFormatting>
  <conditionalFormatting sqref="C53">
    <cfRule type="expression" dxfId="1026" priority="679">
      <formula>E53&gt;0</formula>
    </cfRule>
  </conditionalFormatting>
  <conditionalFormatting sqref="C53">
    <cfRule type="expression" dxfId="1025" priority="678">
      <formula>E53&gt;0</formula>
    </cfRule>
  </conditionalFormatting>
  <conditionalFormatting sqref="C53">
    <cfRule type="expression" dxfId="1024" priority="677">
      <formula>E53&gt;0</formula>
    </cfRule>
  </conditionalFormatting>
  <conditionalFormatting sqref="C53">
    <cfRule type="expression" dxfId="1023" priority="676">
      <formula>E53&gt;0</formula>
    </cfRule>
  </conditionalFormatting>
  <conditionalFormatting sqref="C53">
    <cfRule type="expression" dxfId="1022" priority="675">
      <formula>E53&gt;0</formula>
    </cfRule>
  </conditionalFormatting>
  <conditionalFormatting sqref="C53">
    <cfRule type="expression" dxfId="1021" priority="674">
      <formula>E53&gt;0</formula>
    </cfRule>
  </conditionalFormatting>
  <conditionalFormatting sqref="C53">
    <cfRule type="expression" dxfId="1020" priority="673">
      <formula>E53&gt;0</formula>
    </cfRule>
  </conditionalFormatting>
  <conditionalFormatting sqref="C53">
    <cfRule type="expression" dxfId="1019" priority="672">
      <formula>E53&gt;0</formula>
    </cfRule>
  </conditionalFormatting>
  <conditionalFormatting sqref="C53">
    <cfRule type="expression" dxfId="1018" priority="671">
      <formula>E53&gt;0</formula>
    </cfRule>
  </conditionalFormatting>
  <conditionalFormatting sqref="C53">
    <cfRule type="expression" dxfId="1017" priority="670">
      <formula>E53&gt;0</formula>
    </cfRule>
  </conditionalFormatting>
  <conditionalFormatting sqref="C53">
    <cfRule type="expression" dxfId="1016" priority="669">
      <formula>E53&gt;0</formula>
    </cfRule>
  </conditionalFormatting>
  <conditionalFormatting sqref="C53">
    <cfRule type="expression" dxfId="1015" priority="668">
      <formula>E53&gt;0</formula>
    </cfRule>
  </conditionalFormatting>
  <conditionalFormatting sqref="C53">
    <cfRule type="expression" dxfId="1014" priority="667">
      <formula>E53&gt;0</formula>
    </cfRule>
  </conditionalFormatting>
  <conditionalFormatting sqref="C53">
    <cfRule type="expression" dxfId="1013" priority="666">
      <formula>E53&gt;0</formula>
    </cfRule>
  </conditionalFormatting>
  <conditionalFormatting sqref="C53">
    <cfRule type="expression" dxfId="1012" priority="665">
      <formula>E53&gt;0</formula>
    </cfRule>
  </conditionalFormatting>
  <conditionalFormatting sqref="C43">
    <cfRule type="expression" dxfId="1011" priority="664">
      <formula>E43&gt;0</formula>
    </cfRule>
  </conditionalFormatting>
  <conditionalFormatting sqref="C43">
    <cfRule type="expression" dxfId="1010" priority="663">
      <formula>E43&gt;0</formula>
    </cfRule>
  </conditionalFormatting>
  <conditionalFormatting sqref="C43">
    <cfRule type="expression" dxfId="1009" priority="662">
      <formula>E43&gt;0</formula>
    </cfRule>
  </conditionalFormatting>
  <conditionalFormatting sqref="C43">
    <cfRule type="expression" dxfId="1008" priority="661">
      <formula>E43&gt;0</formula>
    </cfRule>
  </conditionalFormatting>
  <conditionalFormatting sqref="C43">
    <cfRule type="expression" dxfId="1007" priority="660">
      <formula>E43&gt;0</formula>
    </cfRule>
  </conditionalFormatting>
  <conditionalFormatting sqref="C43">
    <cfRule type="expression" dxfId="1006" priority="659">
      <formula>E43&gt;0</formula>
    </cfRule>
  </conditionalFormatting>
  <conditionalFormatting sqref="C43">
    <cfRule type="expression" dxfId="1005" priority="658">
      <formula>E43&gt;0</formula>
    </cfRule>
  </conditionalFormatting>
  <conditionalFormatting sqref="C43">
    <cfRule type="expression" dxfId="1004" priority="657">
      <formula>E43&gt;0</formula>
    </cfRule>
  </conditionalFormatting>
  <conditionalFormatting sqref="C43">
    <cfRule type="expression" dxfId="1003" priority="656">
      <formula>E43&gt;0</formula>
    </cfRule>
  </conditionalFormatting>
  <conditionalFormatting sqref="C43">
    <cfRule type="expression" dxfId="1002" priority="655">
      <formula>E43&gt;0</formula>
    </cfRule>
  </conditionalFormatting>
  <conditionalFormatting sqref="C43">
    <cfRule type="expression" dxfId="1001" priority="654">
      <formula>E43&gt;0</formula>
    </cfRule>
  </conditionalFormatting>
  <conditionalFormatting sqref="C43">
    <cfRule type="expression" dxfId="1000" priority="653">
      <formula>E43&gt;0</formula>
    </cfRule>
  </conditionalFormatting>
  <conditionalFormatting sqref="C43">
    <cfRule type="expression" dxfId="999" priority="652">
      <formula>E43&gt;0</formula>
    </cfRule>
  </conditionalFormatting>
  <conditionalFormatting sqref="C43">
    <cfRule type="expression" dxfId="998" priority="651">
      <formula>E43&gt;0</formula>
    </cfRule>
  </conditionalFormatting>
  <conditionalFormatting sqref="C43">
    <cfRule type="expression" dxfId="997" priority="650">
      <formula>E43&gt;0</formula>
    </cfRule>
  </conditionalFormatting>
  <conditionalFormatting sqref="C43">
    <cfRule type="expression" dxfId="996" priority="649">
      <formula>E43&gt;0</formula>
    </cfRule>
  </conditionalFormatting>
  <conditionalFormatting sqref="C43">
    <cfRule type="expression" dxfId="995" priority="648">
      <formula>E43&gt;0</formula>
    </cfRule>
  </conditionalFormatting>
  <conditionalFormatting sqref="C43">
    <cfRule type="expression" dxfId="994" priority="647">
      <formula>E43&gt;0</formula>
    </cfRule>
  </conditionalFormatting>
  <conditionalFormatting sqref="C43">
    <cfRule type="expression" dxfId="993" priority="646">
      <formula>E43&gt;0</formula>
    </cfRule>
  </conditionalFormatting>
  <conditionalFormatting sqref="C43">
    <cfRule type="expression" dxfId="992" priority="645">
      <formula>E43&gt;0</formula>
    </cfRule>
  </conditionalFormatting>
  <conditionalFormatting sqref="C43">
    <cfRule type="expression" dxfId="991" priority="644">
      <formula>E43&gt;0</formula>
    </cfRule>
  </conditionalFormatting>
  <conditionalFormatting sqref="C43">
    <cfRule type="expression" dxfId="990" priority="643">
      <formula>E43&gt;0</formula>
    </cfRule>
  </conditionalFormatting>
  <conditionalFormatting sqref="C43">
    <cfRule type="expression" dxfId="989" priority="642">
      <formula>E43&gt;0</formula>
    </cfRule>
  </conditionalFormatting>
  <conditionalFormatting sqref="C43">
    <cfRule type="expression" dxfId="988" priority="641">
      <formula>E43&gt;0</formula>
    </cfRule>
  </conditionalFormatting>
  <conditionalFormatting sqref="C43">
    <cfRule type="expression" dxfId="987" priority="640">
      <formula>E43&gt;0</formula>
    </cfRule>
  </conditionalFormatting>
  <conditionalFormatting sqref="C43">
    <cfRule type="expression" dxfId="986" priority="639">
      <formula>E43&gt;0</formula>
    </cfRule>
  </conditionalFormatting>
  <conditionalFormatting sqref="C43">
    <cfRule type="expression" dxfId="985" priority="638">
      <formula>E43&gt;0</formula>
    </cfRule>
  </conditionalFormatting>
  <conditionalFormatting sqref="C43">
    <cfRule type="expression" dxfId="984" priority="637">
      <formula>E43&gt;0</formula>
    </cfRule>
  </conditionalFormatting>
  <conditionalFormatting sqref="C43">
    <cfRule type="expression" dxfId="983" priority="636">
      <formula>E43&gt;0</formula>
    </cfRule>
  </conditionalFormatting>
  <conditionalFormatting sqref="C43">
    <cfRule type="expression" dxfId="982" priority="635">
      <formula>E43&gt;0</formula>
    </cfRule>
  </conditionalFormatting>
  <conditionalFormatting sqref="C43">
    <cfRule type="expression" dxfId="981" priority="634">
      <formula>E43&gt;0</formula>
    </cfRule>
  </conditionalFormatting>
  <conditionalFormatting sqref="C43">
    <cfRule type="expression" dxfId="980" priority="633">
      <formula>E43&gt;0</formula>
    </cfRule>
  </conditionalFormatting>
  <conditionalFormatting sqref="C43">
    <cfRule type="expression" dxfId="979" priority="632">
      <formula>E43&gt;0</formula>
    </cfRule>
  </conditionalFormatting>
  <conditionalFormatting sqref="C43">
    <cfRule type="expression" dxfId="978" priority="631">
      <formula>E43&gt;0</formula>
    </cfRule>
  </conditionalFormatting>
  <conditionalFormatting sqref="C43">
    <cfRule type="expression" dxfId="977" priority="630">
      <formula>E43&gt;0</formula>
    </cfRule>
  </conditionalFormatting>
  <conditionalFormatting sqref="C43">
    <cfRule type="expression" dxfId="976" priority="629">
      <formula>E43&gt;0</formula>
    </cfRule>
  </conditionalFormatting>
  <conditionalFormatting sqref="C43">
    <cfRule type="expression" dxfId="975" priority="628">
      <formula>E43&gt;0</formula>
    </cfRule>
  </conditionalFormatting>
  <conditionalFormatting sqref="C43">
    <cfRule type="expression" dxfId="974" priority="627">
      <formula>E43&gt;0</formula>
    </cfRule>
  </conditionalFormatting>
  <conditionalFormatting sqref="C43">
    <cfRule type="expression" dxfId="973" priority="626">
      <formula>E43&gt;0</formula>
    </cfRule>
  </conditionalFormatting>
  <conditionalFormatting sqref="C43">
    <cfRule type="expression" dxfId="972" priority="625">
      <formula>E43&gt;0</formula>
    </cfRule>
  </conditionalFormatting>
  <conditionalFormatting sqref="C43">
    <cfRule type="expression" dxfId="971" priority="624">
      <formula>E43&gt;0</formula>
    </cfRule>
  </conditionalFormatting>
  <conditionalFormatting sqref="C43">
    <cfRule type="expression" dxfId="970" priority="623">
      <formula>E43&gt;0</formula>
    </cfRule>
  </conditionalFormatting>
  <conditionalFormatting sqref="C43">
    <cfRule type="expression" dxfId="969" priority="622">
      <formula>E43&gt;0</formula>
    </cfRule>
  </conditionalFormatting>
  <conditionalFormatting sqref="C43">
    <cfRule type="expression" dxfId="968" priority="621">
      <formula>E43&gt;0</formula>
    </cfRule>
  </conditionalFormatting>
  <conditionalFormatting sqref="C43">
    <cfRule type="expression" dxfId="967" priority="620">
      <formula>E43&gt;0</formula>
    </cfRule>
  </conditionalFormatting>
  <conditionalFormatting sqref="C43">
    <cfRule type="expression" dxfId="966" priority="619">
      <formula>E43&gt;0</formula>
    </cfRule>
  </conditionalFormatting>
  <conditionalFormatting sqref="C43">
    <cfRule type="expression" dxfId="965" priority="618">
      <formula>E43&gt;0</formula>
    </cfRule>
  </conditionalFormatting>
  <conditionalFormatting sqref="C43">
    <cfRule type="expression" dxfId="964" priority="617">
      <formula>E43&gt;0</formula>
    </cfRule>
  </conditionalFormatting>
  <conditionalFormatting sqref="C43">
    <cfRule type="expression" dxfId="963" priority="616">
      <formula>E43&gt;0</formula>
    </cfRule>
  </conditionalFormatting>
  <conditionalFormatting sqref="C43">
    <cfRule type="expression" dxfId="962" priority="615">
      <formula>E43&gt;0</formula>
    </cfRule>
  </conditionalFormatting>
  <conditionalFormatting sqref="C43">
    <cfRule type="expression" dxfId="961" priority="614">
      <formula>E43&gt;0</formula>
    </cfRule>
  </conditionalFormatting>
  <conditionalFormatting sqref="C43">
    <cfRule type="expression" dxfId="960" priority="613">
      <formula>E43&gt;0</formula>
    </cfRule>
  </conditionalFormatting>
  <conditionalFormatting sqref="C43">
    <cfRule type="expression" dxfId="959" priority="612">
      <formula>E43&gt;0</formula>
    </cfRule>
  </conditionalFormatting>
  <conditionalFormatting sqref="C43">
    <cfRule type="expression" dxfId="958" priority="611">
      <formula>E43&gt;0</formula>
    </cfRule>
  </conditionalFormatting>
  <conditionalFormatting sqref="C43">
    <cfRule type="expression" dxfId="957" priority="610">
      <formula>E43&gt;0</formula>
    </cfRule>
  </conditionalFormatting>
  <conditionalFormatting sqref="C43">
    <cfRule type="expression" dxfId="956" priority="609">
      <formula>E43&gt;0</formula>
    </cfRule>
  </conditionalFormatting>
  <conditionalFormatting sqref="C43">
    <cfRule type="expression" dxfId="955" priority="608">
      <formula>E43&gt;0</formula>
    </cfRule>
  </conditionalFormatting>
  <conditionalFormatting sqref="C43">
    <cfRule type="expression" dxfId="954" priority="607">
      <formula>E43&gt;0</formula>
    </cfRule>
  </conditionalFormatting>
  <conditionalFormatting sqref="C43">
    <cfRule type="expression" dxfId="953" priority="606">
      <formula>E43&gt;0</formula>
    </cfRule>
  </conditionalFormatting>
  <conditionalFormatting sqref="C43">
    <cfRule type="expression" dxfId="952" priority="605">
      <formula>E43&gt;0</formula>
    </cfRule>
  </conditionalFormatting>
  <conditionalFormatting sqref="C43">
    <cfRule type="expression" dxfId="951" priority="604">
      <formula>E43&gt;0</formula>
    </cfRule>
  </conditionalFormatting>
  <conditionalFormatting sqref="C43">
    <cfRule type="expression" dxfId="950" priority="603">
      <formula>E43&gt;0</formula>
    </cfRule>
  </conditionalFormatting>
  <conditionalFormatting sqref="C43">
    <cfRule type="expression" dxfId="949" priority="602">
      <formula>E43&gt;0</formula>
    </cfRule>
  </conditionalFormatting>
  <conditionalFormatting sqref="C43">
    <cfRule type="expression" dxfId="948" priority="601">
      <formula>E43&gt;0</formula>
    </cfRule>
  </conditionalFormatting>
  <conditionalFormatting sqref="C43">
    <cfRule type="expression" dxfId="947" priority="600">
      <formula>E43&gt;0</formula>
    </cfRule>
  </conditionalFormatting>
  <conditionalFormatting sqref="C43">
    <cfRule type="expression" dxfId="946" priority="599">
      <formula>E43&gt;0</formula>
    </cfRule>
  </conditionalFormatting>
  <conditionalFormatting sqref="C43">
    <cfRule type="expression" dxfId="945" priority="598">
      <formula>E43&gt;0</formula>
    </cfRule>
  </conditionalFormatting>
  <conditionalFormatting sqref="C43">
    <cfRule type="expression" dxfId="944" priority="597">
      <formula>E43&gt;0</formula>
    </cfRule>
  </conditionalFormatting>
  <conditionalFormatting sqref="C43">
    <cfRule type="expression" dxfId="943" priority="596">
      <formula>E43&gt;0</formula>
    </cfRule>
  </conditionalFormatting>
  <conditionalFormatting sqref="C43">
    <cfRule type="expression" dxfId="942" priority="595">
      <formula>E43&gt;0</formula>
    </cfRule>
  </conditionalFormatting>
  <conditionalFormatting sqref="C43">
    <cfRule type="expression" dxfId="941" priority="594">
      <formula>E43&gt;0</formula>
    </cfRule>
  </conditionalFormatting>
  <conditionalFormatting sqref="C43">
    <cfRule type="expression" dxfId="940" priority="593">
      <formula>E43&gt;0</formula>
    </cfRule>
  </conditionalFormatting>
  <conditionalFormatting sqref="C43">
    <cfRule type="expression" dxfId="939" priority="592">
      <formula>E43&gt;0</formula>
    </cfRule>
  </conditionalFormatting>
  <conditionalFormatting sqref="C43">
    <cfRule type="expression" dxfId="938" priority="591">
      <formula>E43&gt;0</formula>
    </cfRule>
  </conditionalFormatting>
  <conditionalFormatting sqref="C43">
    <cfRule type="expression" dxfId="937" priority="590">
      <formula>E43&gt;0</formula>
    </cfRule>
  </conditionalFormatting>
  <conditionalFormatting sqref="C43">
    <cfRule type="expression" dxfId="936" priority="589">
      <formula>E43&gt;0</formula>
    </cfRule>
  </conditionalFormatting>
  <conditionalFormatting sqref="C43">
    <cfRule type="expression" dxfId="935" priority="588">
      <formula>E43&gt;0</formula>
    </cfRule>
  </conditionalFormatting>
  <conditionalFormatting sqref="C43">
    <cfRule type="expression" dxfId="934" priority="587">
      <formula>E43&gt;0</formula>
    </cfRule>
  </conditionalFormatting>
  <conditionalFormatting sqref="C43">
    <cfRule type="expression" dxfId="933" priority="586">
      <formula>E43&gt;0</formula>
    </cfRule>
  </conditionalFormatting>
  <conditionalFormatting sqref="C43">
    <cfRule type="expression" dxfId="932" priority="585">
      <formula>E43&gt;0</formula>
    </cfRule>
  </conditionalFormatting>
  <conditionalFormatting sqref="C43">
    <cfRule type="expression" dxfId="931" priority="584">
      <formula>E43&gt;0</formula>
    </cfRule>
  </conditionalFormatting>
  <conditionalFormatting sqref="C43">
    <cfRule type="expression" dxfId="930" priority="583">
      <formula>E43&gt;0</formula>
    </cfRule>
  </conditionalFormatting>
  <conditionalFormatting sqref="C43">
    <cfRule type="expression" dxfId="929" priority="582">
      <formula>E43&gt;0</formula>
    </cfRule>
  </conditionalFormatting>
  <conditionalFormatting sqref="C43">
    <cfRule type="expression" dxfId="928" priority="581">
      <formula>E43&gt;0</formula>
    </cfRule>
  </conditionalFormatting>
  <conditionalFormatting sqref="C43">
    <cfRule type="expression" dxfId="927" priority="580">
      <formula>E43&gt;0</formula>
    </cfRule>
  </conditionalFormatting>
  <conditionalFormatting sqref="C43">
    <cfRule type="expression" dxfId="926" priority="579">
      <formula>E43&gt;0</formula>
    </cfRule>
  </conditionalFormatting>
  <conditionalFormatting sqref="C43">
    <cfRule type="expression" dxfId="925" priority="578">
      <formula>E43&gt;0</formula>
    </cfRule>
  </conditionalFormatting>
  <conditionalFormatting sqref="C43">
    <cfRule type="expression" dxfId="924" priority="577">
      <formula>E43&gt;0</formula>
    </cfRule>
  </conditionalFormatting>
  <conditionalFormatting sqref="C43">
    <cfRule type="expression" dxfId="923" priority="576">
      <formula>E43&gt;0</formula>
    </cfRule>
  </conditionalFormatting>
  <conditionalFormatting sqref="C43">
    <cfRule type="expression" dxfId="922" priority="575">
      <formula>E43&gt;0</formula>
    </cfRule>
  </conditionalFormatting>
  <conditionalFormatting sqref="C43">
    <cfRule type="expression" dxfId="921" priority="574">
      <formula>E43&gt;0</formula>
    </cfRule>
  </conditionalFormatting>
  <conditionalFormatting sqref="C43">
    <cfRule type="expression" dxfId="920" priority="573">
      <formula>E43&gt;0</formula>
    </cfRule>
  </conditionalFormatting>
  <conditionalFormatting sqref="C43">
    <cfRule type="expression" dxfId="919" priority="572">
      <formula>E43&gt;0</formula>
    </cfRule>
  </conditionalFormatting>
  <conditionalFormatting sqref="C43">
    <cfRule type="expression" dxfId="918" priority="571">
      <formula>E43&gt;0</formula>
    </cfRule>
  </conditionalFormatting>
  <conditionalFormatting sqref="C43">
    <cfRule type="expression" dxfId="917" priority="570">
      <formula>E43&gt;0</formula>
    </cfRule>
  </conditionalFormatting>
  <conditionalFormatting sqref="C43">
    <cfRule type="expression" dxfId="916" priority="569">
      <formula>E43&gt;0</formula>
    </cfRule>
  </conditionalFormatting>
  <conditionalFormatting sqref="C43">
    <cfRule type="expression" dxfId="915" priority="568">
      <formula>E43&gt;0</formula>
    </cfRule>
  </conditionalFormatting>
  <conditionalFormatting sqref="C43">
    <cfRule type="expression" dxfId="914" priority="567">
      <formula>E43&gt;0</formula>
    </cfRule>
  </conditionalFormatting>
  <conditionalFormatting sqref="C43">
    <cfRule type="expression" dxfId="913" priority="566">
      <formula>E43&gt;0</formula>
    </cfRule>
  </conditionalFormatting>
  <conditionalFormatting sqref="C43">
    <cfRule type="expression" dxfId="912" priority="565">
      <formula>E43&gt;0</formula>
    </cfRule>
  </conditionalFormatting>
  <conditionalFormatting sqref="C43">
    <cfRule type="expression" dxfId="911" priority="564">
      <formula>E43&gt;0</formula>
    </cfRule>
  </conditionalFormatting>
  <conditionalFormatting sqref="C43">
    <cfRule type="expression" dxfId="910" priority="563">
      <formula>E43&gt;0</formula>
    </cfRule>
  </conditionalFormatting>
  <conditionalFormatting sqref="C43">
    <cfRule type="expression" dxfId="909" priority="562">
      <formula>E43&gt;0</formula>
    </cfRule>
  </conditionalFormatting>
  <conditionalFormatting sqref="C43">
    <cfRule type="expression" dxfId="908" priority="561">
      <formula>E43&gt;0</formula>
    </cfRule>
  </conditionalFormatting>
  <conditionalFormatting sqref="C43">
    <cfRule type="expression" dxfId="907" priority="560">
      <formula>E43&gt;0</formula>
    </cfRule>
  </conditionalFormatting>
  <conditionalFormatting sqref="C43">
    <cfRule type="expression" dxfId="906" priority="559">
      <formula>E43&gt;0</formula>
    </cfRule>
  </conditionalFormatting>
  <conditionalFormatting sqref="C43">
    <cfRule type="expression" dxfId="905" priority="558">
      <formula>E43&gt;0</formula>
    </cfRule>
  </conditionalFormatting>
  <conditionalFormatting sqref="C43">
    <cfRule type="expression" dxfId="904" priority="557">
      <formula>E43&gt;0</formula>
    </cfRule>
  </conditionalFormatting>
  <conditionalFormatting sqref="C43">
    <cfRule type="expression" dxfId="903" priority="556">
      <formula>E43&gt;0</formula>
    </cfRule>
  </conditionalFormatting>
  <conditionalFormatting sqref="C43">
    <cfRule type="expression" dxfId="902" priority="555">
      <formula>E43&gt;0</formula>
    </cfRule>
  </conditionalFormatting>
  <conditionalFormatting sqref="C43">
    <cfRule type="expression" dxfId="901" priority="554">
      <formula>E43&gt;0</formula>
    </cfRule>
  </conditionalFormatting>
  <conditionalFormatting sqref="C43">
    <cfRule type="expression" dxfId="900" priority="553">
      <formula>E43&gt;0</formula>
    </cfRule>
  </conditionalFormatting>
  <conditionalFormatting sqref="C43">
    <cfRule type="expression" dxfId="899" priority="552">
      <formula>E43&gt;0</formula>
    </cfRule>
  </conditionalFormatting>
  <conditionalFormatting sqref="C43">
    <cfRule type="expression" dxfId="898" priority="551">
      <formula>E43&gt;0</formula>
    </cfRule>
  </conditionalFormatting>
  <conditionalFormatting sqref="C43">
    <cfRule type="expression" dxfId="897" priority="550">
      <formula>E43&gt;0</formula>
    </cfRule>
  </conditionalFormatting>
  <conditionalFormatting sqref="C43">
    <cfRule type="expression" dxfId="896" priority="549">
      <formula>E43&gt;0</formula>
    </cfRule>
  </conditionalFormatting>
  <conditionalFormatting sqref="C43">
    <cfRule type="expression" dxfId="895" priority="548">
      <formula>E43&gt;0</formula>
    </cfRule>
  </conditionalFormatting>
  <conditionalFormatting sqref="C43">
    <cfRule type="expression" dxfId="894" priority="547">
      <formula>E43&gt;0</formula>
    </cfRule>
  </conditionalFormatting>
  <conditionalFormatting sqref="C43">
    <cfRule type="expression" dxfId="893" priority="546">
      <formula>E43&gt;0</formula>
    </cfRule>
  </conditionalFormatting>
  <conditionalFormatting sqref="C43">
    <cfRule type="expression" dxfId="892" priority="545">
      <formula>E43&gt;0</formula>
    </cfRule>
  </conditionalFormatting>
  <conditionalFormatting sqref="C43">
    <cfRule type="expression" dxfId="891" priority="544">
      <formula>E43&gt;0</formula>
    </cfRule>
  </conditionalFormatting>
  <conditionalFormatting sqref="C43">
    <cfRule type="expression" dxfId="890" priority="543">
      <formula>E43&gt;0</formula>
    </cfRule>
  </conditionalFormatting>
  <conditionalFormatting sqref="C43">
    <cfRule type="expression" dxfId="889" priority="542">
      <formula>E43&gt;0</formula>
    </cfRule>
  </conditionalFormatting>
  <conditionalFormatting sqref="C43">
    <cfRule type="expression" dxfId="888" priority="541">
      <formula>E43&gt;0</formula>
    </cfRule>
  </conditionalFormatting>
  <conditionalFormatting sqref="C43">
    <cfRule type="expression" dxfId="887" priority="540">
      <formula>E43&gt;0</formula>
    </cfRule>
  </conditionalFormatting>
  <conditionalFormatting sqref="C43">
    <cfRule type="expression" dxfId="886" priority="539">
      <formula>E43&gt;0</formula>
    </cfRule>
  </conditionalFormatting>
  <conditionalFormatting sqref="C43">
    <cfRule type="expression" dxfId="885" priority="538">
      <formula>E43&gt;0</formula>
    </cfRule>
  </conditionalFormatting>
  <conditionalFormatting sqref="C43">
    <cfRule type="expression" dxfId="884" priority="537">
      <formula>E43&gt;0</formula>
    </cfRule>
  </conditionalFormatting>
  <conditionalFormatting sqref="C43">
    <cfRule type="expression" dxfId="883" priority="536">
      <formula>E43&gt;0</formula>
    </cfRule>
  </conditionalFormatting>
  <conditionalFormatting sqref="C43">
    <cfRule type="expression" dxfId="882" priority="535">
      <formula>E43&gt;0</formula>
    </cfRule>
  </conditionalFormatting>
  <conditionalFormatting sqref="C43">
    <cfRule type="expression" dxfId="881" priority="534">
      <formula>E43&gt;0</formula>
    </cfRule>
  </conditionalFormatting>
  <conditionalFormatting sqref="C43">
    <cfRule type="expression" dxfId="880" priority="533">
      <formula>E43&gt;0</formula>
    </cfRule>
  </conditionalFormatting>
  <conditionalFormatting sqref="C43">
    <cfRule type="expression" dxfId="879" priority="532">
      <formula>E43&gt;0</formula>
    </cfRule>
  </conditionalFormatting>
  <conditionalFormatting sqref="C43">
    <cfRule type="expression" dxfId="878" priority="531">
      <formula>E43&gt;0</formula>
    </cfRule>
  </conditionalFormatting>
  <conditionalFormatting sqref="C43">
    <cfRule type="expression" dxfId="877" priority="530">
      <formula>E43&gt;0</formula>
    </cfRule>
  </conditionalFormatting>
  <conditionalFormatting sqref="C43">
    <cfRule type="expression" dxfId="876" priority="529">
      <formula>E43&gt;0</formula>
    </cfRule>
  </conditionalFormatting>
  <conditionalFormatting sqref="C43">
    <cfRule type="expression" dxfId="875" priority="528">
      <formula>E43&gt;0</formula>
    </cfRule>
  </conditionalFormatting>
  <conditionalFormatting sqref="C43">
    <cfRule type="expression" dxfId="874" priority="527">
      <formula>E43&gt;0</formula>
    </cfRule>
  </conditionalFormatting>
  <conditionalFormatting sqref="C43">
    <cfRule type="expression" dxfId="873" priority="526">
      <formula>E43&gt;0</formula>
    </cfRule>
  </conditionalFormatting>
  <conditionalFormatting sqref="C43">
    <cfRule type="expression" dxfId="872" priority="525">
      <formula>E43&gt;0</formula>
    </cfRule>
  </conditionalFormatting>
  <conditionalFormatting sqref="C43">
    <cfRule type="expression" dxfId="871" priority="524">
      <formula>E43&gt;0</formula>
    </cfRule>
  </conditionalFormatting>
  <conditionalFormatting sqref="C43">
    <cfRule type="expression" dxfId="870" priority="523">
      <formula>E43&gt;0</formula>
    </cfRule>
  </conditionalFormatting>
  <conditionalFormatting sqref="C43">
    <cfRule type="expression" dxfId="869" priority="522">
      <formula>E43&gt;0</formula>
    </cfRule>
  </conditionalFormatting>
  <conditionalFormatting sqref="C43">
    <cfRule type="expression" dxfId="868" priority="521">
      <formula>E43&gt;0</formula>
    </cfRule>
  </conditionalFormatting>
  <conditionalFormatting sqref="C43">
    <cfRule type="expression" dxfId="867" priority="520">
      <formula>E43&gt;0</formula>
    </cfRule>
  </conditionalFormatting>
  <conditionalFormatting sqref="C43">
    <cfRule type="expression" dxfId="866" priority="519">
      <formula>E43&gt;0</formula>
    </cfRule>
  </conditionalFormatting>
  <conditionalFormatting sqref="C43">
    <cfRule type="expression" dxfId="865" priority="518">
      <formula>E43&gt;0</formula>
    </cfRule>
  </conditionalFormatting>
  <conditionalFormatting sqref="C43">
    <cfRule type="expression" dxfId="864" priority="517">
      <formula>E43&gt;0</formula>
    </cfRule>
  </conditionalFormatting>
  <conditionalFormatting sqref="C43">
    <cfRule type="expression" dxfId="863" priority="516">
      <formula>E43&gt;0</formula>
    </cfRule>
  </conditionalFormatting>
  <conditionalFormatting sqref="C43">
    <cfRule type="expression" dxfId="862" priority="515">
      <formula>E43&gt;0</formula>
    </cfRule>
  </conditionalFormatting>
  <conditionalFormatting sqref="C43">
    <cfRule type="expression" dxfId="861" priority="514">
      <formula>E43&gt;0</formula>
    </cfRule>
  </conditionalFormatting>
  <conditionalFormatting sqref="C43">
    <cfRule type="expression" dxfId="860" priority="513">
      <formula>E43&gt;0</formula>
    </cfRule>
  </conditionalFormatting>
  <conditionalFormatting sqref="C43">
    <cfRule type="expression" dxfId="859" priority="512">
      <formula>E43&gt;0</formula>
    </cfRule>
  </conditionalFormatting>
  <conditionalFormatting sqref="C43">
    <cfRule type="expression" dxfId="858" priority="511">
      <formula>E43&gt;0</formula>
    </cfRule>
  </conditionalFormatting>
  <conditionalFormatting sqref="C43">
    <cfRule type="expression" dxfId="857" priority="510">
      <formula>E43&gt;0</formula>
    </cfRule>
  </conditionalFormatting>
  <conditionalFormatting sqref="C43">
    <cfRule type="expression" dxfId="856" priority="509">
      <formula>E43&gt;0</formula>
    </cfRule>
  </conditionalFormatting>
  <conditionalFormatting sqref="C43">
    <cfRule type="expression" dxfId="855" priority="508">
      <formula>E43&gt;0</formula>
    </cfRule>
  </conditionalFormatting>
  <conditionalFormatting sqref="C43">
    <cfRule type="expression" dxfId="854" priority="507">
      <formula>E43&gt;0</formula>
    </cfRule>
  </conditionalFormatting>
  <conditionalFormatting sqref="C43">
    <cfRule type="expression" dxfId="853" priority="506">
      <formula>E43&gt;0</formula>
    </cfRule>
  </conditionalFormatting>
  <conditionalFormatting sqref="C43">
    <cfRule type="expression" dxfId="852" priority="505">
      <formula>E43&gt;0</formula>
    </cfRule>
  </conditionalFormatting>
  <conditionalFormatting sqref="C43">
    <cfRule type="expression" dxfId="851" priority="504">
      <formula>E43&gt;0</formula>
    </cfRule>
  </conditionalFormatting>
  <conditionalFormatting sqref="C43">
    <cfRule type="expression" dxfId="850" priority="503">
      <formula>E43&gt;0</formula>
    </cfRule>
  </conditionalFormatting>
  <conditionalFormatting sqref="C43">
    <cfRule type="expression" dxfId="849" priority="502">
      <formula>E43&gt;0</formula>
    </cfRule>
  </conditionalFormatting>
  <conditionalFormatting sqref="C43">
    <cfRule type="expression" dxfId="848" priority="501">
      <formula>E43&gt;0</formula>
    </cfRule>
  </conditionalFormatting>
  <conditionalFormatting sqref="C43">
    <cfRule type="expression" dxfId="847" priority="500">
      <formula>E43&gt;0</formula>
    </cfRule>
  </conditionalFormatting>
  <conditionalFormatting sqref="C43">
    <cfRule type="expression" dxfId="846" priority="499">
      <formula>E43&gt;0</formula>
    </cfRule>
  </conditionalFormatting>
  <conditionalFormatting sqref="C43">
    <cfRule type="expression" dxfId="845" priority="498">
      <formula>E43&gt;0</formula>
    </cfRule>
  </conditionalFormatting>
  <conditionalFormatting sqref="C43">
    <cfRule type="expression" dxfId="844" priority="497">
      <formula>E43&gt;0</formula>
    </cfRule>
  </conditionalFormatting>
  <conditionalFormatting sqref="C43">
    <cfRule type="expression" dxfId="843" priority="496">
      <formula>E43&gt;0</formula>
    </cfRule>
  </conditionalFormatting>
  <conditionalFormatting sqref="C43">
    <cfRule type="expression" dxfId="842" priority="495">
      <formula>E43&gt;0</formula>
    </cfRule>
  </conditionalFormatting>
  <conditionalFormatting sqref="C43">
    <cfRule type="expression" dxfId="841" priority="494">
      <formula>E43&gt;0</formula>
    </cfRule>
  </conditionalFormatting>
  <conditionalFormatting sqref="C43">
    <cfRule type="expression" dxfId="840" priority="493">
      <formula>E43&gt;0</formula>
    </cfRule>
  </conditionalFormatting>
  <conditionalFormatting sqref="C43">
    <cfRule type="expression" dxfId="839" priority="492">
      <formula>E43&gt;0</formula>
    </cfRule>
  </conditionalFormatting>
  <conditionalFormatting sqref="C43">
    <cfRule type="expression" dxfId="838" priority="491">
      <formula>E43&gt;0</formula>
    </cfRule>
  </conditionalFormatting>
  <conditionalFormatting sqref="C43">
    <cfRule type="expression" dxfId="837" priority="490">
      <formula>E43&gt;0</formula>
    </cfRule>
  </conditionalFormatting>
  <conditionalFormatting sqref="C43">
    <cfRule type="expression" dxfId="836" priority="489">
      <formula>E43&gt;0</formula>
    </cfRule>
  </conditionalFormatting>
  <conditionalFormatting sqref="C43">
    <cfRule type="expression" dxfId="835" priority="488">
      <formula>E43&gt;0</formula>
    </cfRule>
  </conditionalFormatting>
  <conditionalFormatting sqref="C43">
    <cfRule type="expression" dxfId="834" priority="487">
      <formula>E43&gt;0</formula>
    </cfRule>
  </conditionalFormatting>
  <conditionalFormatting sqref="C43">
    <cfRule type="expression" dxfId="833" priority="486">
      <formula>E43&gt;0</formula>
    </cfRule>
  </conditionalFormatting>
  <conditionalFormatting sqref="C43">
    <cfRule type="expression" dxfId="832" priority="485">
      <formula>E43&gt;0</formula>
    </cfRule>
  </conditionalFormatting>
  <conditionalFormatting sqref="C43">
    <cfRule type="expression" dxfId="831" priority="484">
      <formula>E43&gt;0</formula>
    </cfRule>
  </conditionalFormatting>
  <conditionalFormatting sqref="C43">
    <cfRule type="expression" dxfId="830" priority="483">
      <formula>E43&gt;0</formula>
    </cfRule>
  </conditionalFormatting>
  <conditionalFormatting sqref="C43">
    <cfRule type="expression" dxfId="829" priority="482">
      <formula>E43&gt;0</formula>
    </cfRule>
  </conditionalFormatting>
  <conditionalFormatting sqref="C43">
    <cfRule type="expression" dxfId="828" priority="481">
      <formula>E43&gt;0</formula>
    </cfRule>
  </conditionalFormatting>
  <conditionalFormatting sqref="C43">
    <cfRule type="expression" dxfId="827" priority="480">
      <formula>E43&gt;0</formula>
    </cfRule>
  </conditionalFormatting>
  <conditionalFormatting sqref="C43">
    <cfRule type="expression" dxfId="826" priority="479">
      <formula>E43&gt;0</formula>
    </cfRule>
  </conditionalFormatting>
  <conditionalFormatting sqref="C43">
    <cfRule type="expression" dxfId="825" priority="478">
      <formula>E43&gt;0</formula>
    </cfRule>
  </conditionalFormatting>
  <conditionalFormatting sqref="C43">
    <cfRule type="expression" dxfId="824" priority="477">
      <formula>E43&gt;0</formula>
    </cfRule>
  </conditionalFormatting>
  <conditionalFormatting sqref="C43">
    <cfRule type="expression" dxfId="823" priority="476">
      <formula>E43&gt;0</formula>
    </cfRule>
  </conditionalFormatting>
  <conditionalFormatting sqref="C43">
    <cfRule type="expression" dxfId="822" priority="475">
      <formula>E43&gt;0</formula>
    </cfRule>
  </conditionalFormatting>
  <conditionalFormatting sqref="C43">
    <cfRule type="expression" dxfId="821" priority="474">
      <formula>E43&gt;0</formula>
    </cfRule>
  </conditionalFormatting>
  <conditionalFormatting sqref="C43">
    <cfRule type="expression" dxfId="820" priority="473">
      <formula>E43&gt;0</formula>
    </cfRule>
  </conditionalFormatting>
  <conditionalFormatting sqref="C43">
    <cfRule type="expression" dxfId="819" priority="472">
      <formula>E43&gt;0</formula>
    </cfRule>
  </conditionalFormatting>
  <conditionalFormatting sqref="C43">
    <cfRule type="expression" dxfId="818" priority="471">
      <formula>E43&gt;0</formula>
    </cfRule>
  </conditionalFormatting>
  <conditionalFormatting sqref="C43">
    <cfRule type="expression" dxfId="817" priority="470">
      <formula>E43&gt;0</formula>
    </cfRule>
  </conditionalFormatting>
  <conditionalFormatting sqref="C43">
    <cfRule type="expression" dxfId="816" priority="469">
      <formula>E43&gt;0</formula>
    </cfRule>
  </conditionalFormatting>
  <conditionalFormatting sqref="C43">
    <cfRule type="expression" dxfId="815" priority="468">
      <formula>E43&gt;0</formula>
    </cfRule>
  </conditionalFormatting>
  <conditionalFormatting sqref="C43">
    <cfRule type="expression" dxfId="814" priority="467">
      <formula>E43&gt;0</formula>
    </cfRule>
  </conditionalFormatting>
  <conditionalFormatting sqref="C43">
    <cfRule type="expression" dxfId="813" priority="466">
      <formula>E43&gt;0</formula>
    </cfRule>
  </conditionalFormatting>
  <conditionalFormatting sqref="C43">
    <cfRule type="expression" dxfId="812" priority="465">
      <formula>E43&gt;0</formula>
    </cfRule>
  </conditionalFormatting>
  <conditionalFormatting sqref="C43">
    <cfRule type="expression" dxfId="811" priority="464">
      <formula>E43&gt;0</formula>
    </cfRule>
  </conditionalFormatting>
  <conditionalFormatting sqref="C43">
    <cfRule type="expression" dxfId="810" priority="463">
      <formula>E43&gt;0</formula>
    </cfRule>
  </conditionalFormatting>
  <conditionalFormatting sqref="C43">
    <cfRule type="expression" dxfId="809" priority="462">
      <formula>E43&gt;0</formula>
    </cfRule>
  </conditionalFormatting>
  <conditionalFormatting sqref="C43">
    <cfRule type="expression" dxfId="808" priority="461">
      <formula>E43&gt;0</formula>
    </cfRule>
  </conditionalFormatting>
  <conditionalFormatting sqref="C43">
    <cfRule type="expression" dxfId="807" priority="460">
      <formula>E43&gt;0</formula>
    </cfRule>
  </conditionalFormatting>
  <conditionalFormatting sqref="C43">
    <cfRule type="expression" dxfId="806" priority="459">
      <formula>E43&gt;0</formula>
    </cfRule>
  </conditionalFormatting>
  <conditionalFormatting sqref="C43">
    <cfRule type="expression" dxfId="805" priority="458">
      <formula>E43&gt;0</formula>
    </cfRule>
  </conditionalFormatting>
  <conditionalFormatting sqref="C43">
    <cfRule type="expression" dxfId="804" priority="457">
      <formula>E43&gt;0</formula>
    </cfRule>
  </conditionalFormatting>
  <conditionalFormatting sqref="C43">
    <cfRule type="expression" dxfId="803" priority="456">
      <formula>E43&gt;0</formula>
    </cfRule>
  </conditionalFormatting>
  <conditionalFormatting sqref="C43">
    <cfRule type="expression" dxfId="802" priority="455">
      <formula>E43&gt;0</formula>
    </cfRule>
  </conditionalFormatting>
  <conditionalFormatting sqref="C43">
    <cfRule type="expression" dxfId="801" priority="454">
      <formula>E43&gt;0</formula>
    </cfRule>
  </conditionalFormatting>
  <conditionalFormatting sqref="C43">
    <cfRule type="expression" dxfId="800" priority="453">
      <formula>E43&gt;0</formula>
    </cfRule>
  </conditionalFormatting>
  <conditionalFormatting sqref="C43">
    <cfRule type="expression" dxfId="799" priority="452">
      <formula>E43&gt;0</formula>
    </cfRule>
  </conditionalFormatting>
  <conditionalFormatting sqref="C43">
    <cfRule type="expression" dxfId="798" priority="451">
      <formula>E43&gt;0</formula>
    </cfRule>
  </conditionalFormatting>
  <conditionalFormatting sqref="C43">
    <cfRule type="expression" dxfId="797" priority="450">
      <formula>E43&gt;0</formula>
    </cfRule>
  </conditionalFormatting>
  <conditionalFormatting sqref="C43">
    <cfRule type="expression" dxfId="796" priority="449">
      <formula>E43&gt;0</formula>
    </cfRule>
  </conditionalFormatting>
  <conditionalFormatting sqref="C43">
    <cfRule type="expression" dxfId="795" priority="448">
      <formula>E43&gt;0</formula>
    </cfRule>
  </conditionalFormatting>
  <conditionalFormatting sqref="C43">
    <cfRule type="expression" dxfId="794" priority="447">
      <formula>E43&gt;0</formula>
    </cfRule>
  </conditionalFormatting>
  <conditionalFormatting sqref="C43">
    <cfRule type="expression" dxfId="793" priority="446">
      <formula>E43&gt;0</formula>
    </cfRule>
  </conditionalFormatting>
  <conditionalFormatting sqref="C43">
    <cfRule type="expression" dxfId="792" priority="445">
      <formula>E43&gt;0</formula>
    </cfRule>
  </conditionalFormatting>
  <conditionalFormatting sqref="C43">
    <cfRule type="expression" dxfId="791" priority="444">
      <formula>E43&gt;0</formula>
    </cfRule>
  </conditionalFormatting>
  <conditionalFormatting sqref="C43">
    <cfRule type="expression" dxfId="790" priority="443">
      <formula>E43&gt;0</formula>
    </cfRule>
  </conditionalFormatting>
  <conditionalFormatting sqref="C43">
    <cfRule type="expression" dxfId="789" priority="442">
      <formula>E43&gt;0</formula>
    </cfRule>
  </conditionalFormatting>
  <conditionalFormatting sqref="C43">
    <cfRule type="expression" dxfId="788" priority="441">
      <formula>E43&gt;0</formula>
    </cfRule>
  </conditionalFormatting>
  <conditionalFormatting sqref="C43">
    <cfRule type="expression" dxfId="787" priority="440">
      <formula>E43&gt;0</formula>
    </cfRule>
  </conditionalFormatting>
  <conditionalFormatting sqref="C43">
    <cfRule type="expression" dxfId="786" priority="439">
      <formula>E43&gt;0</formula>
    </cfRule>
  </conditionalFormatting>
  <conditionalFormatting sqref="C43">
    <cfRule type="expression" dxfId="785" priority="438">
      <formula>E43&gt;0</formula>
    </cfRule>
  </conditionalFormatting>
  <conditionalFormatting sqref="C43">
    <cfRule type="expression" dxfId="784" priority="437">
      <formula>E43&gt;0</formula>
    </cfRule>
  </conditionalFormatting>
  <conditionalFormatting sqref="C43">
    <cfRule type="expression" dxfId="783" priority="436">
      <formula>E43&gt;0</formula>
    </cfRule>
  </conditionalFormatting>
  <conditionalFormatting sqref="C43">
    <cfRule type="expression" dxfId="782" priority="435">
      <formula>E43&gt;0</formula>
    </cfRule>
  </conditionalFormatting>
  <conditionalFormatting sqref="C43">
    <cfRule type="expression" dxfId="781" priority="434">
      <formula>E43&gt;0</formula>
    </cfRule>
  </conditionalFormatting>
  <conditionalFormatting sqref="C43">
    <cfRule type="expression" dxfId="780" priority="433">
      <formula>E43&gt;0</formula>
    </cfRule>
  </conditionalFormatting>
  <conditionalFormatting sqref="C43">
    <cfRule type="expression" dxfId="779" priority="432">
      <formula>E43&gt;0</formula>
    </cfRule>
  </conditionalFormatting>
  <conditionalFormatting sqref="C43">
    <cfRule type="expression" dxfId="778" priority="431">
      <formula>E43&gt;0</formula>
    </cfRule>
  </conditionalFormatting>
  <conditionalFormatting sqref="C43">
    <cfRule type="expression" dxfId="777" priority="430">
      <formula>E43&gt;0</formula>
    </cfRule>
  </conditionalFormatting>
  <conditionalFormatting sqref="C43">
    <cfRule type="expression" dxfId="776" priority="429">
      <formula>E43&gt;0</formula>
    </cfRule>
  </conditionalFormatting>
  <conditionalFormatting sqref="C43">
    <cfRule type="expression" dxfId="775" priority="428">
      <formula>E43&gt;0</formula>
    </cfRule>
  </conditionalFormatting>
  <conditionalFormatting sqref="C43">
    <cfRule type="expression" dxfId="774" priority="427">
      <formula>E43&gt;0</formula>
    </cfRule>
  </conditionalFormatting>
  <conditionalFormatting sqref="C43">
    <cfRule type="expression" dxfId="773" priority="426">
      <formula>E43&gt;0</formula>
    </cfRule>
  </conditionalFormatting>
  <conditionalFormatting sqref="C43">
    <cfRule type="expression" dxfId="772" priority="425">
      <formula>E43&gt;0</formula>
    </cfRule>
  </conditionalFormatting>
  <conditionalFormatting sqref="C43">
    <cfRule type="expression" dxfId="771" priority="424">
      <formula>E43&gt;0</formula>
    </cfRule>
  </conditionalFormatting>
  <conditionalFormatting sqref="C43">
    <cfRule type="expression" dxfId="770" priority="423">
      <formula>E43&gt;0</formula>
    </cfRule>
  </conditionalFormatting>
  <conditionalFormatting sqref="C43">
    <cfRule type="expression" dxfId="769" priority="422">
      <formula>E43&gt;0</formula>
    </cfRule>
  </conditionalFormatting>
  <conditionalFormatting sqref="C43">
    <cfRule type="expression" dxfId="768" priority="421">
      <formula>E43&gt;0</formula>
    </cfRule>
  </conditionalFormatting>
  <conditionalFormatting sqref="C43">
    <cfRule type="expression" dxfId="767" priority="420">
      <formula>E43&gt;0</formula>
    </cfRule>
  </conditionalFormatting>
  <conditionalFormatting sqref="C43">
    <cfRule type="expression" dxfId="766" priority="419">
      <formula>E43&gt;0</formula>
    </cfRule>
  </conditionalFormatting>
  <conditionalFormatting sqref="C43">
    <cfRule type="expression" dxfId="765" priority="418">
      <formula>E43&gt;0</formula>
    </cfRule>
  </conditionalFormatting>
  <conditionalFormatting sqref="C43">
    <cfRule type="expression" dxfId="764" priority="417">
      <formula>E43&gt;0</formula>
    </cfRule>
  </conditionalFormatting>
  <conditionalFormatting sqref="C43">
    <cfRule type="expression" dxfId="763" priority="416">
      <formula>E43&gt;0</formula>
    </cfRule>
  </conditionalFormatting>
  <conditionalFormatting sqref="C43">
    <cfRule type="expression" dxfId="762" priority="415">
      <formula>E43&gt;0</formula>
    </cfRule>
  </conditionalFormatting>
  <conditionalFormatting sqref="C43">
    <cfRule type="expression" dxfId="761" priority="414">
      <formula>E43&gt;0</formula>
    </cfRule>
  </conditionalFormatting>
  <conditionalFormatting sqref="C43">
    <cfRule type="expression" dxfId="760" priority="413">
      <formula>E43&gt;0</formula>
    </cfRule>
  </conditionalFormatting>
  <conditionalFormatting sqref="C43">
    <cfRule type="expression" dxfId="759" priority="412">
      <formula>E43&gt;0</formula>
    </cfRule>
  </conditionalFormatting>
  <conditionalFormatting sqref="C43">
    <cfRule type="expression" dxfId="758" priority="411">
      <formula>E43&gt;0</formula>
    </cfRule>
  </conditionalFormatting>
  <conditionalFormatting sqref="C43">
    <cfRule type="expression" dxfId="757" priority="410">
      <formula>E43&gt;0</formula>
    </cfRule>
  </conditionalFormatting>
  <conditionalFormatting sqref="C43">
    <cfRule type="expression" dxfId="756" priority="409">
      <formula>E43&gt;0</formula>
    </cfRule>
  </conditionalFormatting>
  <conditionalFormatting sqref="C43">
    <cfRule type="expression" dxfId="755" priority="408">
      <formula>E43&gt;0</formula>
    </cfRule>
  </conditionalFormatting>
  <conditionalFormatting sqref="C43">
    <cfRule type="expression" dxfId="754" priority="407">
      <formula>E43&gt;0</formula>
    </cfRule>
  </conditionalFormatting>
  <conditionalFormatting sqref="C43">
    <cfRule type="expression" dxfId="753" priority="406">
      <formula>E43&gt;0</formula>
    </cfRule>
  </conditionalFormatting>
  <conditionalFormatting sqref="C43">
    <cfRule type="expression" dxfId="752" priority="405">
      <formula>E43&gt;0</formula>
    </cfRule>
  </conditionalFormatting>
  <conditionalFormatting sqref="C43">
    <cfRule type="expression" dxfId="751" priority="404">
      <formula>E43&gt;0</formula>
    </cfRule>
  </conditionalFormatting>
  <conditionalFormatting sqref="C43">
    <cfRule type="expression" dxfId="750" priority="403">
      <formula>E43&gt;0</formula>
    </cfRule>
  </conditionalFormatting>
  <conditionalFormatting sqref="C43">
    <cfRule type="expression" dxfId="749" priority="402">
      <formula>E43&gt;0</formula>
    </cfRule>
  </conditionalFormatting>
  <conditionalFormatting sqref="C43">
    <cfRule type="expression" dxfId="748" priority="401">
      <formula>E43&gt;0</formula>
    </cfRule>
  </conditionalFormatting>
  <conditionalFormatting sqref="C43">
    <cfRule type="expression" dxfId="747" priority="400">
      <formula>E43&gt;0</formula>
    </cfRule>
  </conditionalFormatting>
  <conditionalFormatting sqref="C43">
    <cfRule type="expression" dxfId="746" priority="399">
      <formula>E43&gt;0</formula>
    </cfRule>
  </conditionalFormatting>
  <conditionalFormatting sqref="C43">
    <cfRule type="expression" dxfId="745" priority="398">
      <formula>E43&gt;0</formula>
    </cfRule>
  </conditionalFormatting>
  <conditionalFormatting sqref="C43">
    <cfRule type="expression" dxfId="744" priority="397">
      <formula>E43&gt;0</formula>
    </cfRule>
  </conditionalFormatting>
  <conditionalFormatting sqref="C43">
    <cfRule type="expression" dxfId="743" priority="396">
      <formula>E43&gt;0</formula>
    </cfRule>
  </conditionalFormatting>
  <conditionalFormatting sqref="C43">
    <cfRule type="expression" dxfId="742" priority="395">
      <formula>E43&gt;0</formula>
    </cfRule>
  </conditionalFormatting>
  <conditionalFormatting sqref="C43">
    <cfRule type="expression" dxfId="741" priority="394">
      <formula>E43&gt;0</formula>
    </cfRule>
  </conditionalFormatting>
  <conditionalFormatting sqref="C43">
    <cfRule type="expression" dxfId="740" priority="393">
      <formula>E43&gt;0</formula>
    </cfRule>
  </conditionalFormatting>
  <conditionalFormatting sqref="C43">
    <cfRule type="expression" dxfId="739" priority="392">
      <formula>E43&gt;0</formula>
    </cfRule>
  </conditionalFormatting>
  <conditionalFormatting sqref="C43">
    <cfRule type="expression" dxfId="738" priority="391">
      <formula>E43&gt;0</formula>
    </cfRule>
  </conditionalFormatting>
  <conditionalFormatting sqref="C43">
    <cfRule type="expression" dxfId="737" priority="390">
      <formula>E43&gt;0</formula>
    </cfRule>
  </conditionalFormatting>
  <conditionalFormatting sqref="C43">
    <cfRule type="expression" dxfId="736" priority="389">
      <formula>E43&gt;0</formula>
    </cfRule>
  </conditionalFormatting>
  <conditionalFormatting sqref="C43">
    <cfRule type="expression" dxfId="735" priority="388">
      <formula>E43&gt;0</formula>
    </cfRule>
  </conditionalFormatting>
  <conditionalFormatting sqref="C43">
    <cfRule type="expression" dxfId="734" priority="387">
      <formula>E43&gt;0</formula>
    </cfRule>
  </conditionalFormatting>
  <conditionalFormatting sqref="C43">
    <cfRule type="expression" dxfId="733" priority="386">
      <formula>E43&gt;0</formula>
    </cfRule>
  </conditionalFormatting>
  <conditionalFormatting sqref="C43">
    <cfRule type="expression" dxfId="732" priority="385">
      <formula>E43&gt;0</formula>
    </cfRule>
  </conditionalFormatting>
  <conditionalFormatting sqref="C43">
    <cfRule type="expression" dxfId="731" priority="384">
      <formula>E43&gt;0</formula>
    </cfRule>
  </conditionalFormatting>
  <conditionalFormatting sqref="C43">
    <cfRule type="expression" dxfId="730" priority="383">
      <formula>E43&gt;0</formula>
    </cfRule>
  </conditionalFormatting>
  <conditionalFormatting sqref="C43">
    <cfRule type="expression" dxfId="729" priority="382">
      <formula>E43&gt;0</formula>
    </cfRule>
  </conditionalFormatting>
  <conditionalFormatting sqref="C43">
    <cfRule type="expression" dxfId="728" priority="381">
      <formula>E43&gt;0</formula>
    </cfRule>
  </conditionalFormatting>
  <conditionalFormatting sqref="C43">
    <cfRule type="expression" dxfId="727" priority="380">
      <formula>E43&gt;0</formula>
    </cfRule>
  </conditionalFormatting>
  <conditionalFormatting sqref="C43">
    <cfRule type="expression" dxfId="726" priority="379">
      <formula>E43&gt;0</formula>
    </cfRule>
  </conditionalFormatting>
  <conditionalFormatting sqref="C43">
    <cfRule type="expression" dxfId="725" priority="378">
      <formula>E43&gt;0</formula>
    </cfRule>
  </conditionalFormatting>
  <conditionalFormatting sqref="C43">
    <cfRule type="expression" dxfId="724" priority="377">
      <formula>E43&gt;0</formula>
    </cfRule>
  </conditionalFormatting>
  <conditionalFormatting sqref="C43">
    <cfRule type="expression" dxfId="723" priority="376">
      <formula>E43&gt;0</formula>
    </cfRule>
  </conditionalFormatting>
  <conditionalFormatting sqref="C43">
    <cfRule type="expression" dxfId="722" priority="375">
      <formula>E43&gt;0</formula>
    </cfRule>
  </conditionalFormatting>
  <conditionalFormatting sqref="C43">
    <cfRule type="expression" dxfId="721" priority="374">
      <formula>E43&gt;0</formula>
    </cfRule>
  </conditionalFormatting>
  <conditionalFormatting sqref="C43">
    <cfRule type="expression" dxfId="720" priority="373">
      <formula>E43&gt;0</formula>
    </cfRule>
  </conditionalFormatting>
  <conditionalFormatting sqref="C43">
    <cfRule type="expression" dxfId="719" priority="372">
      <formula>E43&gt;0</formula>
    </cfRule>
  </conditionalFormatting>
  <conditionalFormatting sqref="C43">
    <cfRule type="expression" dxfId="718" priority="371">
      <formula>E43&gt;0</formula>
    </cfRule>
  </conditionalFormatting>
  <conditionalFormatting sqref="C43">
    <cfRule type="expression" dxfId="717" priority="370">
      <formula>E43&gt;0</formula>
    </cfRule>
  </conditionalFormatting>
  <conditionalFormatting sqref="C43">
    <cfRule type="expression" dxfId="716" priority="369">
      <formula>E43&gt;0</formula>
    </cfRule>
  </conditionalFormatting>
  <conditionalFormatting sqref="C43">
    <cfRule type="expression" dxfId="715" priority="368">
      <formula>E43&gt;0</formula>
    </cfRule>
  </conditionalFormatting>
  <conditionalFormatting sqref="C43">
    <cfRule type="expression" dxfId="714" priority="367">
      <formula>E43&gt;0</formula>
    </cfRule>
  </conditionalFormatting>
  <conditionalFormatting sqref="C43">
    <cfRule type="expression" dxfId="713" priority="366">
      <formula>E43&gt;0</formula>
    </cfRule>
  </conditionalFormatting>
  <conditionalFormatting sqref="C43">
    <cfRule type="expression" dxfId="712" priority="365">
      <formula>E43&gt;0</formula>
    </cfRule>
  </conditionalFormatting>
  <conditionalFormatting sqref="C43">
    <cfRule type="expression" dxfId="711" priority="364">
      <formula>E43&gt;0</formula>
    </cfRule>
  </conditionalFormatting>
  <conditionalFormatting sqref="C43">
    <cfRule type="expression" dxfId="710" priority="363">
      <formula>E43&gt;0</formula>
    </cfRule>
  </conditionalFormatting>
  <conditionalFormatting sqref="C43">
    <cfRule type="expression" dxfId="709" priority="362">
      <formula>E43&gt;0</formula>
    </cfRule>
  </conditionalFormatting>
  <conditionalFormatting sqref="C43">
    <cfRule type="expression" dxfId="708" priority="361">
      <formula>E43&gt;0</formula>
    </cfRule>
  </conditionalFormatting>
  <conditionalFormatting sqref="C43">
    <cfRule type="expression" dxfId="707" priority="360">
      <formula>E43&gt;0</formula>
    </cfRule>
  </conditionalFormatting>
  <conditionalFormatting sqref="C43">
    <cfRule type="expression" dxfId="706" priority="359">
      <formula>E43&gt;0</formula>
    </cfRule>
  </conditionalFormatting>
  <conditionalFormatting sqref="C43">
    <cfRule type="expression" dxfId="705" priority="358">
      <formula>E43&gt;0</formula>
    </cfRule>
  </conditionalFormatting>
  <conditionalFormatting sqref="C43">
    <cfRule type="expression" dxfId="704" priority="357">
      <formula>E43&gt;0</formula>
    </cfRule>
  </conditionalFormatting>
  <conditionalFormatting sqref="C43">
    <cfRule type="expression" dxfId="703" priority="356">
      <formula>E43&gt;0</formula>
    </cfRule>
  </conditionalFormatting>
  <conditionalFormatting sqref="C43">
    <cfRule type="expression" dxfId="702" priority="355">
      <formula>E43&gt;0</formula>
    </cfRule>
  </conditionalFormatting>
  <conditionalFormatting sqref="C43">
    <cfRule type="expression" dxfId="701" priority="354">
      <formula>E43&gt;0</formula>
    </cfRule>
  </conditionalFormatting>
  <conditionalFormatting sqref="C43">
    <cfRule type="expression" dxfId="700" priority="353">
      <formula>E43&gt;0</formula>
    </cfRule>
  </conditionalFormatting>
  <conditionalFormatting sqref="C43">
    <cfRule type="expression" dxfId="699" priority="352">
      <formula>E43&gt;0</formula>
    </cfRule>
  </conditionalFormatting>
  <conditionalFormatting sqref="C43">
    <cfRule type="expression" dxfId="698" priority="351">
      <formula>E43&gt;0</formula>
    </cfRule>
  </conditionalFormatting>
  <conditionalFormatting sqref="C43">
    <cfRule type="expression" dxfId="697" priority="350">
      <formula>E43&gt;0</formula>
    </cfRule>
  </conditionalFormatting>
  <conditionalFormatting sqref="C43">
    <cfRule type="expression" dxfId="696" priority="349">
      <formula>E43&gt;0</formula>
    </cfRule>
  </conditionalFormatting>
  <conditionalFormatting sqref="C43">
    <cfRule type="expression" dxfId="695" priority="348">
      <formula>E43&gt;0</formula>
    </cfRule>
  </conditionalFormatting>
  <conditionalFormatting sqref="C43">
    <cfRule type="expression" dxfId="694" priority="347">
      <formula>E43&gt;0</formula>
    </cfRule>
  </conditionalFormatting>
  <conditionalFormatting sqref="C43">
    <cfRule type="expression" dxfId="693" priority="346">
      <formula>E43&gt;0</formula>
    </cfRule>
  </conditionalFormatting>
  <conditionalFormatting sqref="C43">
    <cfRule type="expression" dxfId="692" priority="345">
      <formula>E43&gt;0</formula>
    </cfRule>
  </conditionalFormatting>
  <conditionalFormatting sqref="C43">
    <cfRule type="expression" dxfId="691" priority="344">
      <formula>E43&gt;0</formula>
    </cfRule>
  </conditionalFormatting>
  <conditionalFormatting sqref="C43">
    <cfRule type="expression" dxfId="690" priority="343">
      <formula>E43&gt;0</formula>
    </cfRule>
  </conditionalFormatting>
  <conditionalFormatting sqref="C43">
    <cfRule type="expression" dxfId="689" priority="342">
      <formula>E43&gt;0</formula>
    </cfRule>
  </conditionalFormatting>
  <conditionalFormatting sqref="C43">
    <cfRule type="expression" dxfId="688" priority="341">
      <formula>E43&gt;0</formula>
    </cfRule>
  </conditionalFormatting>
  <conditionalFormatting sqref="C43">
    <cfRule type="expression" dxfId="687" priority="340">
      <formula>E43&gt;0</formula>
    </cfRule>
  </conditionalFormatting>
  <conditionalFormatting sqref="C43">
    <cfRule type="expression" dxfId="686" priority="339">
      <formula>E43&gt;0</formula>
    </cfRule>
  </conditionalFormatting>
  <conditionalFormatting sqref="C43">
    <cfRule type="expression" dxfId="685" priority="338">
      <formula>E43&gt;0</formula>
    </cfRule>
  </conditionalFormatting>
  <conditionalFormatting sqref="C43">
    <cfRule type="expression" dxfId="684" priority="337">
      <formula>E43&gt;0</formula>
    </cfRule>
  </conditionalFormatting>
  <conditionalFormatting sqref="C43">
    <cfRule type="expression" dxfId="683" priority="336">
      <formula>E43&gt;0</formula>
    </cfRule>
  </conditionalFormatting>
  <conditionalFormatting sqref="C43">
    <cfRule type="expression" dxfId="682" priority="335">
      <formula>E43&gt;0</formula>
    </cfRule>
  </conditionalFormatting>
  <conditionalFormatting sqref="C43">
    <cfRule type="expression" dxfId="681" priority="334">
      <formula>E43&gt;0</formula>
    </cfRule>
  </conditionalFormatting>
  <conditionalFormatting sqref="C43">
    <cfRule type="expression" dxfId="680" priority="333">
      <formula>E43&gt;0</formula>
    </cfRule>
  </conditionalFormatting>
  <conditionalFormatting sqref="C43">
    <cfRule type="expression" dxfId="679" priority="332">
      <formula>E43&gt;0</formula>
    </cfRule>
  </conditionalFormatting>
  <conditionalFormatting sqref="C43">
    <cfRule type="expression" dxfId="678" priority="331">
      <formula>E43&gt;0</formula>
    </cfRule>
  </conditionalFormatting>
  <conditionalFormatting sqref="C43">
    <cfRule type="expression" dxfId="677" priority="330">
      <formula>E43&gt;0</formula>
    </cfRule>
  </conditionalFormatting>
  <conditionalFormatting sqref="C43">
    <cfRule type="expression" dxfId="676" priority="329">
      <formula>E43&gt;0</formula>
    </cfRule>
  </conditionalFormatting>
  <conditionalFormatting sqref="C43">
    <cfRule type="expression" dxfId="675" priority="328">
      <formula>E43&gt;0</formula>
    </cfRule>
  </conditionalFormatting>
  <conditionalFormatting sqref="C43">
    <cfRule type="expression" dxfId="674" priority="327">
      <formula>E43&gt;0</formula>
    </cfRule>
  </conditionalFormatting>
  <conditionalFormatting sqref="C43">
    <cfRule type="expression" dxfId="673" priority="326">
      <formula>E43&gt;0</formula>
    </cfRule>
  </conditionalFormatting>
  <conditionalFormatting sqref="C43">
    <cfRule type="expression" dxfId="672" priority="325">
      <formula>E43&gt;0</formula>
    </cfRule>
  </conditionalFormatting>
  <conditionalFormatting sqref="C43">
    <cfRule type="expression" dxfId="671" priority="324">
      <formula>E43&gt;0</formula>
    </cfRule>
  </conditionalFormatting>
  <conditionalFormatting sqref="C43">
    <cfRule type="expression" dxfId="670" priority="323">
      <formula>E43&gt;0</formula>
    </cfRule>
  </conditionalFormatting>
  <conditionalFormatting sqref="C43">
    <cfRule type="expression" dxfId="669" priority="322">
      <formula>E43&gt;0</formula>
    </cfRule>
  </conditionalFormatting>
  <conditionalFormatting sqref="C43">
    <cfRule type="expression" dxfId="668" priority="321">
      <formula>E43&gt;0</formula>
    </cfRule>
  </conditionalFormatting>
  <conditionalFormatting sqref="C43">
    <cfRule type="expression" dxfId="667" priority="320">
      <formula>E43&gt;0</formula>
    </cfRule>
  </conditionalFormatting>
  <conditionalFormatting sqref="C43">
    <cfRule type="expression" dxfId="666" priority="319">
      <formula>E43&gt;0</formula>
    </cfRule>
  </conditionalFormatting>
  <conditionalFormatting sqref="C43">
    <cfRule type="expression" dxfId="665" priority="318">
      <formula>E43&gt;0</formula>
    </cfRule>
  </conditionalFormatting>
  <conditionalFormatting sqref="C43">
    <cfRule type="expression" dxfId="664" priority="317">
      <formula>E43&gt;0</formula>
    </cfRule>
  </conditionalFormatting>
  <conditionalFormatting sqref="C43">
    <cfRule type="expression" dxfId="663" priority="316">
      <formula>E43&gt;0</formula>
    </cfRule>
  </conditionalFormatting>
  <conditionalFormatting sqref="C43">
    <cfRule type="expression" dxfId="662" priority="315">
      <formula>E43&gt;0</formula>
    </cfRule>
  </conditionalFormatting>
  <conditionalFormatting sqref="C43">
    <cfRule type="expression" dxfId="661" priority="314">
      <formula>E43&gt;0</formula>
    </cfRule>
  </conditionalFormatting>
  <conditionalFormatting sqref="C43">
    <cfRule type="expression" dxfId="660" priority="313">
      <formula>E43&gt;0</formula>
    </cfRule>
  </conditionalFormatting>
  <conditionalFormatting sqref="C43">
    <cfRule type="expression" dxfId="659" priority="312">
      <formula>E43&gt;0</formula>
    </cfRule>
  </conditionalFormatting>
  <conditionalFormatting sqref="C43">
    <cfRule type="expression" dxfId="658" priority="311">
      <formula>E43&gt;0</formula>
    </cfRule>
  </conditionalFormatting>
  <conditionalFormatting sqref="C43">
    <cfRule type="expression" dxfId="657" priority="310">
      <formula>E43&gt;0</formula>
    </cfRule>
  </conditionalFormatting>
  <conditionalFormatting sqref="C43">
    <cfRule type="expression" dxfId="656" priority="309">
      <formula>E43&gt;0</formula>
    </cfRule>
  </conditionalFormatting>
  <conditionalFormatting sqref="C43">
    <cfRule type="expression" dxfId="655" priority="308">
      <formula>E43&gt;0</formula>
    </cfRule>
  </conditionalFormatting>
  <conditionalFormatting sqref="C43">
    <cfRule type="expression" dxfId="654" priority="307">
      <formula>E43&gt;0</formula>
    </cfRule>
  </conditionalFormatting>
  <conditionalFormatting sqref="C43">
    <cfRule type="expression" dxfId="653" priority="306">
      <formula>E43&gt;0</formula>
    </cfRule>
  </conditionalFormatting>
  <conditionalFormatting sqref="C43">
    <cfRule type="expression" dxfId="652" priority="305">
      <formula>E43&gt;0</formula>
    </cfRule>
  </conditionalFormatting>
  <conditionalFormatting sqref="C43">
    <cfRule type="expression" dxfId="651" priority="304">
      <formula>E43&gt;0</formula>
    </cfRule>
  </conditionalFormatting>
  <conditionalFormatting sqref="C43">
    <cfRule type="expression" dxfId="650" priority="303">
      <formula>E43&gt;0</formula>
    </cfRule>
  </conditionalFormatting>
  <conditionalFormatting sqref="C43">
    <cfRule type="expression" dxfId="649" priority="302">
      <formula>E43&gt;0</formula>
    </cfRule>
  </conditionalFormatting>
  <conditionalFormatting sqref="C43">
    <cfRule type="expression" dxfId="648" priority="301">
      <formula>E43&gt;0</formula>
    </cfRule>
  </conditionalFormatting>
  <conditionalFormatting sqref="C43">
    <cfRule type="expression" dxfId="647" priority="300">
      <formula>E43&gt;0</formula>
    </cfRule>
  </conditionalFormatting>
  <conditionalFormatting sqref="C43">
    <cfRule type="expression" dxfId="646" priority="299">
      <formula>E43&gt;0</formula>
    </cfRule>
  </conditionalFormatting>
  <conditionalFormatting sqref="C43">
    <cfRule type="expression" dxfId="645" priority="298">
      <formula>E43&gt;0</formula>
    </cfRule>
  </conditionalFormatting>
  <conditionalFormatting sqref="C43">
    <cfRule type="expression" dxfId="644" priority="297">
      <formula>E43&gt;0</formula>
    </cfRule>
  </conditionalFormatting>
  <conditionalFormatting sqref="C43">
    <cfRule type="expression" dxfId="643" priority="296">
      <formula>E43&gt;0</formula>
    </cfRule>
  </conditionalFormatting>
  <conditionalFormatting sqref="C43">
    <cfRule type="expression" dxfId="642" priority="295">
      <formula>E43&gt;0</formula>
    </cfRule>
  </conditionalFormatting>
  <conditionalFormatting sqref="C43">
    <cfRule type="expression" dxfId="641" priority="294">
      <formula>E43&gt;0</formula>
    </cfRule>
  </conditionalFormatting>
  <conditionalFormatting sqref="C43">
    <cfRule type="expression" dxfId="640" priority="293">
      <formula>E43&gt;0</formula>
    </cfRule>
  </conditionalFormatting>
  <conditionalFormatting sqref="C43">
    <cfRule type="expression" dxfId="639" priority="292">
      <formula>E43&gt;0</formula>
    </cfRule>
  </conditionalFormatting>
  <conditionalFormatting sqref="C43">
    <cfRule type="expression" dxfId="638" priority="291">
      <formula>E43&gt;0</formula>
    </cfRule>
  </conditionalFormatting>
  <conditionalFormatting sqref="C43">
    <cfRule type="expression" dxfId="637" priority="290">
      <formula>E43&gt;0</formula>
    </cfRule>
  </conditionalFormatting>
  <conditionalFormatting sqref="C43">
    <cfRule type="expression" dxfId="636" priority="289">
      <formula>E43&gt;0</formula>
    </cfRule>
  </conditionalFormatting>
  <conditionalFormatting sqref="C43">
    <cfRule type="expression" dxfId="635" priority="288">
      <formula>E43&gt;0</formula>
    </cfRule>
  </conditionalFormatting>
  <conditionalFormatting sqref="C43">
    <cfRule type="expression" dxfId="634" priority="287">
      <formula>E43&gt;0</formula>
    </cfRule>
  </conditionalFormatting>
  <conditionalFormatting sqref="C43">
    <cfRule type="expression" dxfId="633" priority="286">
      <formula>E43&gt;0</formula>
    </cfRule>
  </conditionalFormatting>
  <conditionalFormatting sqref="C43">
    <cfRule type="expression" dxfId="632" priority="285">
      <formula>E43&gt;0</formula>
    </cfRule>
  </conditionalFormatting>
  <conditionalFormatting sqref="C43">
    <cfRule type="expression" dxfId="631" priority="284">
      <formula>E43&gt;0</formula>
    </cfRule>
  </conditionalFormatting>
  <conditionalFormatting sqref="C43">
    <cfRule type="expression" dxfId="630" priority="283">
      <formula>E43&gt;0</formula>
    </cfRule>
  </conditionalFormatting>
  <conditionalFormatting sqref="C43">
    <cfRule type="expression" dxfId="629" priority="282">
      <formula>E43&gt;0</formula>
    </cfRule>
  </conditionalFormatting>
  <conditionalFormatting sqref="C43">
    <cfRule type="expression" dxfId="628" priority="281">
      <formula>E43&gt;0</formula>
    </cfRule>
  </conditionalFormatting>
  <conditionalFormatting sqref="C43">
    <cfRule type="expression" dxfId="627" priority="280">
      <formula>E43&gt;0</formula>
    </cfRule>
  </conditionalFormatting>
  <conditionalFormatting sqref="C43">
    <cfRule type="expression" dxfId="626" priority="279">
      <formula>E43&gt;0</formula>
    </cfRule>
  </conditionalFormatting>
  <conditionalFormatting sqref="C43">
    <cfRule type="expression" dxfId="625" priority="278">
      <formula>E43&gt;0</formula>
    </cfRule>
  </conditionalFormatting>
  <conditionalFormatting sqref="C43">
    <cfRule type="expression" dxfId="624" priority="277">
      <formula>E43&gt;0</formula>
    </cfRule>
  </conditionalFormatting>
  <conditionalFormatting sqref="C43">
    <cfRule type="expression" dxfId="623" priority="276">
      <formula>E43&gt;0</formula>
    </cfRule>
  </conditionalFormatting>
  <conditionalFormatting sqref="C43">
    <cfRule type="expression" dxfId="622" priority="275">
      <formula>E43&gt;0</formula>
    </cfRule>
  </conditionalFormatting>
  <conditionalFormatting sqref="C43">
    <cfRule type="expression" dxfId="621" priority="274">
      <formula>E43&gt;0</formula>
    </cfRule>
  </conditionalFormatting>
  <conditionalFormatting sqref="C43">
    <cfRule type="expression" dxfId="620" priority="273">
      <formula>E43&gt;0</formula>
    </cfRule>
  </conditionalFormatting>
  <conditionalFormatting sqref="C43">
    <cfRule type="expression" dxfId="619" priority="272">
      <formula>E43&gt;0</formula>
    </cfRule>
  </conditionalFormatting>
  <conditionalFormatting sqref="C43">
    <cfRule type="expression" dxfId="618" priority="271">
      <formula>E43&gt;0</formula>
    </cfRule>
  </conditionalFormatting>
  <conditionalFormatting sqref="C43">
    <cfRule type="expression" dxfId="617" priority="270">
      <formula>E43&gt;0</formula>
    </cfRule>
  </conditionalFormatting>
  <conditionalFormatting sqref="C43">
    <cfRule type="expression" dxfId="616" priority="269">
      <formula>E43&gt;0</formula>
    </cfRule>
  </conditionalFormatting>
  <conditionalFormatting sqref="C43">
    <cfRule type="expression" dxfId="615" priority="268">
      <formula>E43&gt;0</formula>
    </cfRule>
  </conditionalFormatting>
  <conditionalFormatting sqref="C43">
    <cfRule type="expression" dxfId="614" priority="267">
      <formula>E43&gt;0</formula>
    </cfRule>
  </conditionalFormatting>
  <conditionalFormatting sqref="C43">
    <cfRule type="expression" dxfId="613" priority="266">
      <formula>E43&gt;0</formula>
    </cfRule>
  </conditionalFormatting>
  <conditionalFormatting sqref="C43">
    <cfRule type="expression" dxfId="612" priority="265">
      <formula>E43&gt;0</formula>
    </cfRule>
  </conditionalFormatting>
  <conditionalFormatting sqref="C43">
    <cfRule type="expression" dxfId="611" priority="264">
      <formula>E43&gt;0</formula>
    </cfRule>
  </conditionalFormatting>
  <conditionalFormatting sqref="C43">
    <cfRule type="expression" dxfId="610" priority="263">
      <formula>E43&gt;0</formula>
    </cfRule>
  </conditionalFormatting>
  <conditionalFormatting sqref="C43">
    <cfRule type="expression" dxfId="609" priority="262">
      <formula>E43&gt;0</formula>
    </cfRule>
  </conditionalFormatting>
  <conditionalFormatting sqref="C43">
    <cfRule type="expression" dxfId="608" priority="261">
      <formula>E43&gt;0</formula>
    </cfRule>
  </conditionalFormatting>
  <conditionalFormatting sqref="C43">
    <cfRule type="expression" dxfId="607" priority="260">
      <formula>E43&gt;0</formula>
    </cfRule>
  </conditionalFormatting>
  <conditionalFormatting sqref="C43">
    <cfRule type="expression" dxfId="606" priority="259">
      <formula>E43&gt;0</formula>
    </cfRule>
  </conditionalFormatting>
  <conditionalFormatting sqref="C43">
    <cfRule type="expression" dxfId="605" priority="258">
      <formula>E43&gt;0</formula>
    </cfRule>
  </conditionalFormatting>
  <conditionalFormatting sqref="C43">
    <cfRule type="expression" dxfId="604" priority="257">
      <formula>E43&gt;0</formula>
    </cfRule>
  </conditionalFormatting>
  <conditionalFormatting sqref="C43">
    <cfRule type="expression" dxfId="603" priority="256">
      <formula>E43&gt;0</formula>
    </cfRule>
  </conditionalFormatting>
  <conditionalFormatting sqref="C43">
    <cfRule type="expression" dxfId="602" priority="255">
      <formula>E43&gt;0</formula>
    </cfRule>
  </conditionalFormatting>
  <conditionalFormatting sqref="C43">
    <cfRule type="expression" dxfId="601" priority="254">
      <formula>E43&gt;0</formula>
    </cfRule>
  </conditionalFormatting>
  <conditionalFormatting sqref="C43">
    <cfRule type="expression" dxfId="600" priority="253">
      <formula>E43&gt;0</formula>
    </cfRule>
  </conditionalFormatting>
  <conditionalFormatting sqref="C43">
    <cfRule type="expression" dxfId="599" priority="252">
      <formula>E43&gt;0</formula>
    </cfRule>
  </conditionalFormatting>
  <conditionalFormatting sqref="C43">
    <cfRule type="expression" dxfId="598" priority="251">
      <formula>E43&gt;0</formula>
    </cfRule>
  </conditionalFormatting>
  <conditionalFormatting sqref="C43">
    <cfRule type="expression" dxfId="597" priority="250">
      <formula>E43&gt;0</formula>
    </cfRule>
  </conditionalFormatting>
  <conditionalFormatting sqref="C43">
    <cfRule type="expression" dxfId="596" priority="249">
      <formula>E43&gt;0</formula>
    </cfRule>
  </conditionalFormatting>
  <conditionalFormatting sqref="C43">
    <cfRule type="expression" dxfId="595" priority="248">
      <formula>E43&gt;0</formula>
    </cfRule>
  </conditionalFormatting>
  <conditionalFormatting sqref="C43">
    <cfRule type="expression" dxfId="594" priority="247">
      <formula>E43&gt;0</formula>
    </cfRule>
  </conditionalFormatting>
  <conditionalFormatting sqref="C43">
    <cfRule type="expression" dxfId="593" priority="246">
      <formula>E43&gt;0</formula>
    </cfRule>
  </conditionalFormatting>
  <conditionalFormatting sqref="C43">
    <cfRule type="expression" dxfId="592" priority="245">
      <formula>E43&gt;0</formula>
    </cfRule>
  </conditionalFormatting>
  <conditionalFormatting sqref="C43">
    <cfRule type="expression" dxfId="591" priority="244">
      <formula>E43&gt;0</formula>
    </cfRule>
  </conditionalFormatting>
  <conditionalFormatting sqref="C43">
    <cfRule type="expression" dxfId="590" priority="243">
      <formula>E43&gt;0</formula>
    </cfRule>
  </conditionalFormatting>
  <conditionalFormatting sqref="C43">
    <cfRule type="expression" dxfId="589" priority="242">
      <formula>E43&gt;0</formula>
    </cfRule>
  </conditionalFormatting>
  <conditionalFormatting sqref="C43">
    <cfRule type="expression" dxfId="588" priority="241">
      <formula>E43&gt;0</formula>
    </cfRule>
  </conditionalFormatting>
  <conditionalFormatting sqref="C43">
    <cfRule type="expression" dxfId="587" priority="240">
      <formula>E43&gt;0</formula>
    </cfRule>
  </conditionalFormatting>
  <conditionalFormatting sqref="C43">
    <cfRule type="expression" dxfId="586" priority="239">
      <formula>E43&gt;0</formula>
    </cfRule>
  </conditionalFormatting>
  <conditionalFormatting sqref="C43">
    <cfRule type="expression" dxfId="585" priority="238">
      <formula>E43&gt;0</formula>
    </cfRule>
  </conditionalFormatting>
  <conditionalFormatting sqref="C43">
    <cfRule type="expression" dxfId="584" priority="237">
      <formula>E43&gt;0</formula>
    </cfRule>
  </conditionalFormatting>
  <conditionalFormatting sqref="C43">
    <cfRule type="expression" dxfId="583" priority="236">
      <formula>E43&gt;0</formula>
    </cfRule>
  </conditionalFormatting>
  <conditionalFormatting sqref="C43">
    <cfRule type="expression" dxfId="582" priority="235">
      <formula>E43&gt;0</formula>
    </cfRule>
  </conditionalFormatting>
  <conditionalFormatting sqref="C43">
    <cfRule type="expression" dxfId="581" priority="234">
      <formula>E43&gt;0</formula>
    </cfRule>
  </conditionalFormatting>
  <conditionalFormatting sqref="C43">
    <cfRule type="expression" dxfId="580" priority="233">
      <formula>E43&gt;0</formula>
    </cfRule>
  </conditionalFormatting>
  <conditionalFormatting sqref="C43">
    <cfRule type="expression" dxfId="579" priority="232">
      <formula>E43&gt;0</formula>
    </cfRule>
  </conditionalFormatting>
  <conditionalFormatting sqref="C43">
    <cfRule type="expression" dxfId="578" priority="231">
      <formula>E43&gt;0</formula>
    </cfRule>
  </conditionalFormatting>
  <conditionalFormatting sqref="C43">
    <cfRule type="expression" dxfId="577" priority="230">
      <formula>E43&gt;0</formula>
    </cfRule>
  </conditionalFormatting>
  <conditionalFormatting sqref="C43">
    <cfRule type="expression" dxfId="576" priority="229">
      <formula>E43&gt;0</formula>
    </cfRule>
  </conditionalFormatting>
  <conditionalFormatting sqref="C43">
    <cfRule type="expression" dxfId="575" priority="228">
      <formula>E43&gt;0</formula>
    </cfRule>
  </conditionalFormatting>
  <conditionalFormatting sqref="C43">
    <cfRule type="expression" dxfId="574" priority="227">
      <formula>E43&gt;0</formula>
    </cfRule>
  </conditionalFormatting>
  <conditionalFormatting sqref="C43">
    <cfRule type="expression" dxfId="573" priority="226">
      <formula>E43&gt;0</formula>
    </cfRule>
  </conditionalFormatting>
  <conditionalFormatting sqref="C43">
    <cfRule type="expression" dxfId="572" priority="225">
      <formula>E43&gt;0</formula>
    </cfRule>
  </conditionalFormatting>
  <conditionalFormatting sqref="C43">
    <cfRule type="expression" dxfId="571" priority="224">
      <formula>E43&gt;0</formula>
    </cfRule>
  </conditionalFormatting>
  <conditionalFormatting sqref="C43">
    <cfRule type="expression" dxfId="570" priority="223">
      <formula>E43&gt;0</formula>
    </cfRule>
  </conditionalFormatting>
  <conditionalFormatting sqref="C43">
    <cfRule type="expression" dxfId="569" priority="222">
      <formula>E43&gt;0</formula>
    </cfRule>
  </conditionalFormatting>
  <conditionalFormatting sqref="C43">
    <cfRule type="expression" dxfId="568" priority="221">
      <formula>E43&gt;0</formula>
    </cfRule>
  </conditionalFormatting>
  <conditionalFormatting sqref="C43">
    <cfRule type="expression" dxfId="567" priority="220">
      <formula>E43&gt;0</formula>
    </cfRule>
  </conditionalFormatting>
  <conditionalFormatting sqref="C43">
    <cfRule type="expression" dxfId="566" priority="219">
      <formula>E43&gt;0</formula>
    </cfRule>
  </conditionalFormatting>
  <conditionalFormatting sqref="C43">
    <cfRule type="expression" dxfId="565" priority="218">
      <formula>E43&gt;0</formula>
    </cfRule>
  </conditionalFormatting>
  <conditionalFormatting sqref="C43">
    <cfRule type="expression" dxfId="564" priority="217">
      <formula>E43&gt;0</formula>
    </cfRule>
  </conditionalFormatting>
  <conditionalFormatting sqref="C43">
    <cfRule type="expression" dxfId="563" priority="216">
      <formula>E43&gt;0</formula>
    </cfRule>
  </conditionalFormatting>
  <conditionalFormatting sqref="C43">
    <cfRule type="expression" dxfId="562" priority="215">
      <formula>E43&gt;0</formula>
    </cfRule>
  </conditionalFormatting>
  <conditionalFormatting sqref="C43">
    <cfRule type="expression" dxfId="561" priority="214">
      <formula>E43&gt;0</formula>
    </cfRule>
  </conditionalFormatting>
  <conditionalFormatting sqref="C43">
    <cfRule type="expression" dxfId="560" priority="213">
      <formula>E43&gt;0</formula>
    </cfRule>
  </conditionalFormatting>
  <conditionalFormatting sqref="C43">
    <cfRule type="expression" dxfId="559" priority="212">
      <formula>E43&gt;0</formula>
    </cfRule>
  </conditionalFormatting>
  <conditionalFormatting sqref="C43">
    <cfRule type="expression" dxfId="558" priority="211">
      <formula>E43&gt;0</formula>
    </cfRule>
  </conditionalFormatting>
  <conditionalFormatting sqref="C43">
    <cfRule type="expression" dxfId="557" priority="210">
      <formula>E43&gt;0</formula>
    </cfRule>
  </conditionalFormatting>
  <conditionalFormatting sqref="C43">
    <cfRule type="expression" dxfId="556" priority="209">
      <formula>E43&gt;0</formula>
    </cfRule>
  </conditionalFormatting>
  <conditionalFormatting sqref="C43">
    <cfRule type="expression" dxfId="555" priority="208">
      <formula>E43&gt;0</formula>
    </cfRule>
  </conditionalFormatting>
  <conditionalFormatting sqref="C43">
    <cfRule type="expression" dxfId="554" priority="207">
      <formula>E43&gt;0</formula>
    </cfRule>
  </conditionalFormatting>
  <conditionalFormatting sqref="C43">
    <cfRule type="expression" dxfId="553" priority="206">
      <formula>E43&gt;0</formula>
    </cfRule>
  </conditionalFormatting>
  <conditionalFormatting sqref="C43">
    <cfRule type="expression" dxfId="552" priority="205">
      <formula>E43&gt;0</formula>
    </cfRule>
  </conditionalFormatting>
  <conditionalFormatting sqref="C43">
    <cfRule type="expression" dxfId="551" priority="204">
      <formula>E43&gt;0</formula>
    </cfRule>
  </conditionalFormatting>
  <conditionalFormatting sqref="C43">
    <cfRule type="expression" dxfId="550" priority="203">
      <formula>E43&gt;0</formula>
    </cfRule>
  </conditionalFormatting>
  <conditionalFormatting sqref="C43">
    <cfRule type="expression" dxfId="549" priority="202">
      <formula>E43&gt;0</formula>
    </cfRule>
  </conditionalFormatting>
  <conditionalFormatting sqref="C43">
    <cfRule type="expression" dxfId="548" priority="201">
      <formula>E43&gt;0</formula>
    </cfRule>
  </conditionalFormatting>
  <conditionalFormatting sqref="C43">
    <cfRule type="expression" dxfId="547" priority="200">
      <formula>E43&gt;0</formula>
    </cfRule>
  </conditionalFormatting>
  <conditionalFormatting sqref="C43">
    <cfRule type="expression" dxfId="546" priority="199">
      <formula>E43&gt;0</formula>
    </cfRule>
  </conditionalFormatting>
  <conditionalFormatting sqref="C43">
    <cfRule type="expression" dxfId="545" priority="198">
      <formula>E43&gt;0</formula>
    </cfRule>
  </conditionalFormatting>
  <conditionalFormatting sqref="C43">
    <cfRule type="expression" dxfId="544" priority="197">
      <formula>E43&gt;0</formula>
    </cfRule>
  </conditionalFormatting>
  <conditionalFormatting sqref="C43">
    <cfRule type="expression" dxfId="543" priority="196">
      <formula>E43&gt;0</formula>
    </cfRule>
  </conditionalFormatting>
  <conditionalFormatting sqref="C43">
    <cfRule type="expression" dxfId="542" priority="195">
      <formula>E43&gt;0</formula>
    </cfRule>
  </conditionalFormatting>
  <conditionalFormatting sqref="C43">
    <cfRule type="expression" dxfId="541" priority="194">
      <formula>E43&gt;0</formula>
    </cfRule>
  </conditionalFormatting>
  <conditionalFormatting sqref="C43">
    <cfRule type="expression" dxfId="540" priority="193">
      <formula>E43&gt;0</formula>
    </cfRule>
  </conditionalFormatting>
  <conditionalFormatting sqref="C43">
    <cfRule type="expression" dxfId="539" priority="192">
      <formula>E43&gt;0</formula>
    </cfRule>
  </conditionalFormatting>
  <conditionalFormatting sqref="C43">
    <cfRule type="expression" dxfId="538" priority="191">
      <formula>E43&gt;0</formula>
    </cfRule>
  </conditionalFormatting>
  <conditionalFormatting sqref="C43">
    <cfRule type="expression" dxfId="537" priority="190">
      <formula>E43&gt;0</formula>
    </cfRule>
  </conditionalFormatting>
  <conditionalFormatting sqref="C43">
    <cfRule type="expression" dxfId="536" priority="189">
      <formula>E43&gt;0</formula>
    </cfRule>
  </conditionalFormatting>
  <conditionalFormatting sqref="C43">
    <cfRule type="expression" dxfId="535" priority="188">
      <formula>E43&gt;0</formula>
    </cfRule>
  </conditionalFormatting>
  <conditionalFormatting sqref="C43">
    <cfRule type="expression" dxfId="534" priority="187">
      <formula>E43&gt;0</formula>
    </cfRule>
  </conditionalFormatting>
  <conditionalFormatting sqref="C43">
    <cfRule type="expression" dxfId="533" priority="186">
      <formula>E43&gt;0</formula>
    </cfRule>
  </conditionalFormatting>
  <conditionalFormatting sqref="C43">
    <cfRule type="expression" dxfId="532" priority="185">
      <formula>E43&gt;0</formula>
    </cfRule>
  </conditionalFormatting>
  <conditionalFormatting sqref="C43">
    <cfRule type="expression" dxfId="531" priority="184">
      <formula>E43&gt;0</formula>
    </cfRule>
  </conditionalFormatting>
  <conditionalFormatting sqref="C43">
    <cfRule type="expression" dxfId="530" priority="183">
      <formula>E43&gt;0</formula>
    </cfRule>
  </conditionalFormatting>
  <conditionalFormatting sqref="C43">
    <cfRule type="expression" dxfId="529" priority="182">
      <formula>E43&gt;0</formula>
    </cfRule>
  </conditionalFormatting>
  <conditionalFormatting sqref="C43">
    <cfRule type="expression" dxfId="528" priority="181">
      <formula>E43&gt;0</formula>
    </cfRule>
  </conditionalFormatting>
  <conditionalFormatting sqref="C43">
    <cfRule type="expression" dxfId="527" priority="180">
      <formula>E43&gt;0</formula>
    </cfRule>
  </conditionalFormatting>
  <conditionalFormatting sqref="C43">
    <cfRule type="expression" dxfId="526" priority="179">
      <formula>E43&gt;0</formula>
    </cfRule>
  </conditionalFormatting>
  <conditionalFormatting sqref="C43">
    <cfRule type="expression" dxfId="525" priority="178">
      <formula>E43&gt;0</formula>
    </cfRule>
  </conditionalFormatting>
  <conditionalFormatting sqref="C43">
    <cfRule type="expression" dxfId="524" priority="177">
      <formula>E43&gt;0</formula>
    </cfRule>
  </conditionalFormatting>
  <conditionalFormatting sqref="C43">
    <cfRule type="expression" dxfId="523" priority="176">
      <formula>E43&gt;0</formula>
    </cfRule>
  </conditionalFormatting>
  <conditionalFormatting sqref="C43">
    <cfRule type="expression" dxfId="522" priority="175">
      <formula>E43&gt;0</formula>
    </cfRule>
  </conditionalFormatting>
  <conditionalFormatting sqref="C43">
    <cfRule type="expression" dxfId="521" priority="174">
      <formula>E43&gt;0</formula>
    </cfRule>
  </conditionalFormatting>
  <conditionalFormatting sqref="C43">
    <cfRule type="expression" dxfId="520" priority="173">
      <formula>E43&gt;0</formula>
    </cfRule>
  </conditionalFormatting>
  <conditionalFormatting sqref="C43">
    <cfRule type="expression" dxfId="519" priority="172">
      <formula>E43&gt;0</formula>
    </cfRule>
  </conditionalFormatting>
  <conditionalFormatting sqref="C43">
    <cfRule type="expression" dxfId="518" priority="171">
      <formula>E43&gt;0</formula>
    </cfRule>
  </conditionalFormatting>
  <conditionalFormatting sqref="C43">
    <cfRule type="expression" dxfId="517" priority="170">
      <formula>E43&gt;0</formula>
    </cfRule>
  </conditionalFormatting>
  <conditionalFormatting sqref="C43">
    <cfRule type="expression" dxfId="516" priority="169">
      <formula>E43&gt;0</formula>
    </cfRule>
  </conditionalFormatting>
  <conditionalFormatting sqref="C43">
    <cfRule type="expression" dxfId="515" priority="168">
      <formula>E43&gt;0</formula>
    </cfRule>
  </conditionalFormatting>
  <conditionalFormatting sqref="C43">
    <cfRule type="expression" dxfId="514" priority="167">
      <formula>E43&gt;0</formula>
    </cfRule>
  </conditionalFormatting>
  <conditionalFormatting sqref="C43">
    <cfRule type="expression" dxfId="513" priority="166">
      <formula>E43&gt;0</formula>
    </cfRule>
  </conditionalFormatting>
  <conditionalFormatting sqref="C43">
    <cfRule type="expression" dxfId="512" priority="165">
      <formula>E43&gt;0</formula>
    </cfRule>
  </conditionalFormatting>
  <conditionalFormatting sqref="C43">
    <cfRule type="expression" dxfId="511" priority="164">
      <formula>E43&gt;0</formula>
    </cfRule>
  </conditionalFormatting>
  <conditionalFormatting sqref="C43">
    <cfRule type="expression" dxfId="510" priority="163">
      <formula>E43&gt;0</formula>
    </cfRule>
  </conditionalFormatting>
  <conditionalFormatting sqref="C43">
    <cfRule type="expression" dxfId="509" priority="162">
      <formula>E43&gt;0</formula>
    </cfRule>
  </conditionalFormatting>
  <conditionalFormatting sqref="C43">
    <cfRule type="expression" dxfId="508" priority="161">
      <formula>E43&gt;0</formula>
    </cfRule>
  </conditionalFormatting>
  <conditionalFormatting sqref="C43">
    <cfRule type="expression" dxfId="507" priority="160">
      <formula>E43&gt;0</formula>
    </cfRule>
  </conditionalFormatting>
  <conditionalFormatting sqref="C43">
    <cfRule type="expression" dxfId="506" priority="159">
      <formula>E43&gt;0</formula>
    </cfRule>
  </conditionalFormatting>
  <conditionalFormatting sqref="C43">
    <cfRule type="expression" dxfId="505" priority="158">
      <formula>E43&gt;0</formula>
    </cfRule>
  </conditionalFormatting>
  <conditionalFormatting sqref="C43">
    <cfRule type="expression" dxfId="504" priority="157">
      <formula>E43&gt;0</formula>
    </cfRule>
  </conditionalFormatting>
  <conditionalFormatting sqref="C43">
    <cfRule type="expression" dxfId="503" priority="156">
      <formula>E43&gt;0</formula>
    </cfRule>
  </conditionalFormatting>
  <conditionalFormatting sqref="C43">
    <cfRule type="expression" dxfId="502" priority="155">
      <formula>E43&gt;0</formula>
    </cfRule>
  </conditionalFormatting>
  <conditionalFormatting sqref="C43">
    <cfRule type="expression" dxfId="501" priority="154">
      <formula>E43&gt;0</formula>
    </cfRule>
  </conditionalFormatting>
  <conditionalFormatting sqref="C43">
    <cfRule type="expression" dxfId="500" priority="153">
      <formula>E43&gt;0</formula>
    </cfRule>
  </conditionalFormatting>
  <conditionalFormatting sqref="C43">
    <cfRule type="expression" dxfId="499" priority="152">
      <formula>E43&gt;0</formula>
    </cfRule>
  </conditionalFormatting>
  <conditionalFormatting sqref="C43">
    <cfRule type="expression" dxfId="498" priority="151">
      <formula>E43&gt;0</formula>
    </cfRule>
  </conditionalFormatting>
  <conditionalFormatting sqref="C43">
    <cfRule type="expression" dxfId="497" priority="150">
      <formula>E43&gt;0</formula>
    </cfRule>
  </conditionalFormatting>
  <conditionalFormatting sqref="C43">
    <cfRule type="expression" dxfId="496" priority="149">
      <formula>E43&gt;0</formula>
    </cfRule>
  </conditionalFormatting>
  <conditionalFormatting sqref="C43">
    <cfRule type="expression" dxfId="495" priority="148">
      <formula>E43&gt;0</formula>
    </cfRule>
  </conditionalFormatting>
  <conditionalFormatting sqref="C43">
    <cfRule type="expression" dxfId="494" priority="147">
      <formula>E43&gt;0</formula>
    </cfRule>
  </conditionalFormatting>
  <conditionalFormatting sqref="C43">
    <cfRule type="expression" dxfId="493" priority="146">
      <formula>E43&gt;0</formula>
    </cfRule>
  </conditionalFormatting>
  <conditionalFormatting sqref="C43">
    <cfRule type="expression" dxfId="492" priority="145">
      <formula>E43&gt;0</formula>
    </cfRule>
  </conditionalFormatting>
  <conditionalFormatting sqref="C43">
    <cfRule type="expression" dxfId="491" priority="144">
      <formula>E43&gt;0</formula>
    </cfRule>
  </conditionalFormatting>
  <conditionalFormatting sqref="C43">
    <cfRule type="expression" dxfId="490" priority="143">
      <formula>E43&gt;0</formula>
    </cfRule>
  </conditionalFormatting>
  <conditionalFormatting sqref="C43">
    <cfRule type="expression" dxfId="489" priority="142">
      <formula>E43&gt;0</formula>
    </cfRule>
  </conditionalFormatting>
  <conditionalFormatting sqref="C43">
    <cfRule type="expression" dxfId="488" priority="141">
      <formula>E43&gt;0</formula>
    </cfRule>
  </conditionalFormatting>
  <conditionalFormatting sqref="C43">
    <cfRule type="expression" dxfId="487" priority="140">
      <formula>E43&gt;0</formula>
    </cfRule>
  </conditionalFormatting>
  <conditionalFormatting sqref="C43">
    <cfRule type="expression" dxfId="486" priority="139">
      <formula>E43&gt;0</formula>
    </cfRule>
  </conditionalFormatting>
  <conditionalFormatting sqref="C43">
    <cfRule type="expression" dxfId="485" priority="138">
      <formula>E43&gt;0</formula>
    </cfRule>
  </conditionalFormatting>
  <conditionalFormatting sqref="C43">
    <cfRule type="expression" dxfId="484" priority="137">
      <formula>E43&gt;0</formula>
    </cfRule>
  </conditionalFormatting>
  <conditionalFormatting sqref="C43">
    <cfRule type="expression" dxfId="483" priority="136">
      <formula>E43&gt;0</formula>
    </cfRule>
  </conditionalFormatting>
  <conditionalFormatting sqref="C43">
    <cfRule type="expression" dxfId="482" priority="135">
      <formula>E43&gt;0</formula>
    </cfRule>
  </conditionalFormatting>
  <conditionalFormatting sqref="C43">
    <cfRule type="expression" dxfId="481" priority="134">
      <formula>E43&gt;0</formula>
    </cfRule>
  </conditionalFormatting>
  <conditionalFormatting sqref="C43">
    <cfRule type="expression" dxfId="480" priority="133">
      <formula>E43&gt;0</formula>
    </cfRule>
  </conditionalFormatting>
  <conditionalFormatting sqref="C43">
    <cfRule type="expression" dxfId="479" priority="132">
      <formula>E43&gt;0</formula>
    </cfRule>
  </conditionalFormatting>
  <conditionalFormatting sqref="C43">
    <cfRule type="expression" dxfId="478" priority="131">
      <formula>E43&gt;0</formula>
    </cfRule>
  </conditionalFormatting>
  <conditionalFormatting sqref="C43">
    <cfRule type="expression" dxfId="477" priority="130">
      <formula>E43&gt;0</formula>
    </cfRule>
  </conditionalFormatting>
  <conditionalFormatting sqref="C43">
    <cfRule type="expression" dxfId="476" priority="129">
      <formula>E43&gt;0</formula>
    </cfRule>
  </conditionalFormatting>
  <conditionalFormatting sqref="C43">
    <cfRule type="expression" dxfId="475" priority="128">
      <formula>E43&gt;0</formula>
    </cfRule>
  </conditionalFormatting>
  <conditionalFormatting sqref="C43">
    <cfRule type="expression" dxfId="474" priority="127">
      <formula>E43&gt;0</formula>
    </cfRule>
  </conditionalFormatting>
  <conditionalFormatting sqref="C43">
    <cfRule type="expression" dxfId="473" priority="126">
      <formula>E43&gt;0</formula>
    </cfRule>
  </conditionalFormatting>
  <conditionalFormatting sqref="C43">
    <cfRule type="expression" dxfId="472" priority="125">
      <formula>E43&gt;0</formula>
    </cfRule>
  </conditionalFormatting>
  <conditionalFormatting sqref="C43">
    <cfRule type="expression" dxfId="471" priority="124">
      <formula>E43&gt;0</formula>
    </cfRule>
  </conditionalFormatting>
  <conditionalFormatting sqref="C43">
    <cfRule type="expression" dxfId="470" priority="123">
      <formula>E43&gt;0</formula>
    </cfRule>
  </conditionalFormatting>
  <conditionalFormatting sqref="C43">
    <cfRule type="expression" dxfId="469" priority="122">
      <formula>E43&gt;0</formula>
    </cfRule>
  </conditionalFormatting>
  <conditionalFormatting sqref="C43">
    <cfRule type="expression" dxfId="468" priority="121">
      <formula>E43&gt;0</formula>
    </cfRule>
  </conditionalFormatting>
  <conditionalFormatting sqref="C43">
    <cfRule type="expression" dxfId="467" priority="120">
      <formula>E43&gt;0</formula>
    </cfRule>
  </conditionalFormatting>
  <conditionalFormatting sqref="C43">
    <cfRule type="expression" dxfId="466" priority="119">
      <formula>E43&gt;0</formula>
    </cfRule>
  </conditionalFormatting>
  <conditionalFormatting sqref="C43">
    <cfRule type="expression" dxfId="465" priority="118">
      <formula>E43&gt;0</formula>
    </cfRule>
  </conditionalFormatting>
  <conditionalFormatting sqref="C43">
    <cfRule type="expression" dxfId="464" priority="117">
      <formula>E43&gt;0</formula>
    </cfRule>
  </conditionalFormatting>
  <conditionalFormatting sqref="C43">
    <cfRule type="expression" dxfId="463" priority="116">
      <formula>E43&gt;0</formula>
    </cfRule>
  </conditionalFormatting>
  <conditionalFormatting sqref="C43">
    <cfRule type="expression" dxfId="462" priority="115">
      <formula>E43&gt;0</formula>
    </cfRule>
  </conditionalFormatting>
  <conditionalFormatting sqref="C43">
    <cfRule type="expression" dxfId="461" priority="114">
      <formula>E43&gt;0</formula>
    </cfRule>
  </conditionalFormatting>
  <conditionalFormatting sqref="C43">
    <cfRule type="expression" dxfId="460" priority="113">
      <formula>E43&gt;0</formula>
    </cfRule>
  </conditionalFormatting>
  <conditionalFormatting sqref="C43">
    <cfRule type="expression" dxfId="459" priority="112">
      <formula>E43&gt;0</formula>
    </cfRule>
  </conditionalFormatting>
  <conditionalFormatting sqref="C43">
    <cfRule type="expression" dxfId="458" priority="111">
      <formula>E43&gt;0</formula>
    </cfRule>
  </conditionalFormatting>
  <conditionalFormatting sqref="C43">
    <cfRule type="expression" dxfId="457" priority="110">
      <formula>E43&gt;0</formula>
    </cfRule>
  </conditionalFormatting>
  <conditionalFormatting sqref="C43">
    <cfRule type="expression" dxfId="456" priority="109">
      <formula>E43&gt;0</formula>
    </cfRule>
  </conditionalFormatting>
  <conditionalFormatting sqref="C43">
    <cfRule type="expression" dxfId="455" priority="108">
      <formula>E43&gt;0</formula>
    </cfRule>
  </conditionalFormatting>
  <conditionalFormatting sqref="C43">
    <cfRule type="expression" dxfId="454" priority="107">
      <formula>E43&gt;0</formula>
    </cfRule>
  </conditionalFormatting>
  <conditionalFormatting sqref="C43">
    <cfRule type="expression" dxfId="453" priority="106">
      <formula>E43&gt;0</formula>
    </cfRule>
  </conditionalFormatting>
  <conditionalFormatting sqref="C43">
    <cfRule type="expression" dxfId="452" priority="105">
      <formula>E43&gt;0</formula>
    </cfRule>
  </conditionalFormatting>
  <conditionalFormatting sqref="C43">
    <cfRule type="expression" dxfId="451" priority="104">
      <formula>E43&gt;0</formula>
    </cfRule>
  </conditionalFormatting>
  <conditionalFormatting sqref="C43">
    <cfRule type="expression" dxfId="450" priority="103">
      <formula>E43&gt;0</formula>
    </cfRule>
  </conditionalFormatting>
  <conditionalFormatting sqref="C43">
    <cfRule type="expression" dxfId="449" priority="102">
      <formula>E43&gt;0</formula>
    </cfRule>
  </conditionalFormatting>
  <conditionalFormatting sqref="C43">
    <cfRule type="expression" dxfId="448" priority="101">
      <formula>E43&gt;0</formula>
    </cfRule>
  </conditionalFormatting>
  <conditionalFormatting sqref="C43">
    <cfRule type="expression" dxfId="447" priority="100">
      <formula>E43&gt;0</formula>
    </cfRule>
  </conditionalFormatting>
  <conditionalFormatting sqref="C43">
    <cfRule type="expression" dxfId="446" priority="99">
      <formula>E43&gt;0</formula>
    </cfRule>
  </conditionalFormatting>
  <conditionalFormatting sqref="C43">
    <cfRule type="expression" dxfId="445" priority="98">
      <formula>E43&gt;0</formula>
    </cfRule>
  </conditionalFormatting>
  <conditionalFormatting sqref="C43">
    <cfRule type="expression" dxfId="444" priority="97">
      <formula>E43&gt;0</formula>
    </cfRule>
  </conditionalFormatting>
  <conditionalFormatting sqref="C43">
    <cfRule type="expression" dxfId="443" priority="96">
      <formula>E43&gt;0</formula>
    </cfRule>
  </conditionalFormatting>
  <conditionalFormatting sqref="C43">
    <cfRule type="expression" dxfId="442" priority="95">
      <formula>E43&gt;0</formula>
    </cfRule>
  </conditionalFormatting>
  <conditionalFormatting sqref="C43">
    <cfRule type="expression" dxfId="441" priority="94">
      <formula>E43&gt;0</formula>
    </cfRule>
  </conditionalFormatting>
  <conditionalFormatting sqref="C43">
    <cfRule type="expression" dxfId="440" priority="93">
      <formula>E43&gt;0</formula>
    </cfRule>
  </conditionalFormatting>
  <conditionalFormatting sqref="C43">
    <cfRule type="expression" dxfId="439" priority="92">
      <formula>E43&gt;0</formula>
    </cfRule>
  </conditionalFormatting>
  <conditionalFormatting sqref="C43">
    <cfRule type="expression" dxfId="438" priority="91">
      <formula>E43&gt;0</formula>
    </cfRule>
  </conditionalFormatting>
  <conditionalFormatting sqref="C43">
    <cfRule type="expression" dxfId="437" priority="90">
      <formula>E43&gt;0</formula>
    </cfRule>
  </conditionalFormatting>
  <conditionalFormatting sqref="C43">
    <cfRule type="expression" dxfId="436" priority="89">
      <formula>E43&gt;0</formula>
    </cfRule>
  </conditionalFormatting>
  <conditionalFormatting sqref="C43">
    <cfRule type="expression" dxfId="435" priority="88">
      <formula>E43&gt;0</formula>
    </cfRule>
  </conditionalFormatting>
  <conditionalFormatting sqref="C43">
    <cfRule type="expression" dxfId="434" priority="87">
      <formula>E43&gt;0</formula>
    </cfRule>
  </conditionalFormatting>
  <conditionalFormatting sqref="C43">
    <cfRule type="expression" dxfId="433" priority="86">
      <formula>E43&gt;0</formula>
    </cfRule>
  </conditionalFormatting>
  <conditionalFormatting sqref="C43">
    <cfRule type="expression" dxfId="432" priority="85">
      <formula>E43&gt;0</formula>
    </cfRule>
  </conditionalFormatting>
  <conditionalFormatting sqref="C43">
    <cfRule type="expression" dxfId="431" priority="84">
      <formula>E43&gt;0</formula>
    </cfRule>
  </conditionalFormatting>
  <conditionalFormatting sqref="C43">
    <cfRule type="expression" dxfId="430" priority="83">
      <formula>E43&gt;0</formula>
    </cfRule>
  </conditionalFormatting>
  <conditionalFormatting sqref="C43">
    <cfRule type="expression" dxfId="429" priority="82">
      <formula>E43&gt;0</formula>
    </cfRule>
  </conditionalFormatting>
  <conditionalFormatting sqref="C43">
    <cfRule type="expression" dxfId="428" priority="81">
      <formula>E43&gt;0</formula>
    </cfRule>
  </conditionalFormatting>
  <conditionalFormatting sqref="C43">
    <cfRule type="expression" dxfId="427" priority="80">
      <formula>E43&gt;0</formula>
    </cfRule>
  </conditionalFormatting>
  <conditionalFormatting sqref="C43">
    <cfRule type="expression" dxfId="426" priority="79">
      <formula>E43&gt;0</formula>
    </cfRule>
  </conditionalFormatting>
  <conditionalFormatting sqref="C43">
    <cfRule type="expression" dxfId="425" priority="78">
      <formula>E43&gt;0</formula>
    </cfRule>
  </conditionalFormatting>
  <conditionalFormatting sqref="C43">
    <cfRule type="expression" dxfId="424" priority="77">
      <formula>E43&gt;0</formula>
    </cfRule>
  </conditionalFormatting>
  <conditionalFormatting sqref="C43">
    <cfRule type="expression" dxfId="423" priority="76">
      <formula>E43&gt;0</formula>
    </cfRule>
  </conditionalFormatting>
  <conditionalFormatting sqref="C43">
    <cfRule type="expression" dxfId="422" priority="75">
      <formula>E43&gt;0</formula>
    </cfRule>
  </conditionalFormatting>
  <conditionalFormatting sqref="C43">
    <cfRule type="expression" dxfId="421" priority="74">
      <formula>E43&gt;0</formula>
    </cfRule>
  </conditionalFormatting>
  <conditionalFormatting sqref="C43">
    <cfRule type="expression" dxfId="420" priority="73">
      <formula>E43&gt;0</formula>
    </cfRule>
  </conditionalFormatting>
  <conditionalFormatting sqref="C43">
    <cfRule type="expression" dxfId="419" priority="72">
      <formula>E43&gt;0</formula>
    </cfRule>
  </conditionalFormatting>
  <conditionalFormatting sqref="C43">
    <cfRule type="expression" dxfId="418" priority="71">
      <formula>E43&gt;0</formula>
    </cfRule>
  </conditionalFormatting>
  <conditionalFormatting sqref="C43">
    <cfRule type="expression" dxfId="417" priority="70">
      <formula>E43&gt;0</formula>
    </cfRule>
  </conditionalFormatting>
  <conditionalFormatting sqref="C43">
    <cfRule type="expression" dxfId="416" priority="69">
      <formula>E43&gt;0</formula>
    </cfRule>
  </conditionalFormatting>
  <conditionalFormatting sqref="C43">
    <cfRule type="expression" dxfId="415" priority="68">
      <formula>E43&gt;0</formula>
    </cfRule>
  </conditionalFormatting>
  <conditionalFormatting sqref="C43">
    <cfRule type="expression" dxfId="414" priority="67">
      <formula>E43&gt;0</formula>
    </cfRule>
  </conditionalFormatting>
  <conditionalFormatting sqref="C43">
    <cfRule type="expression" dxfId="413" priority="66">
      <formula>E43&gt;0</formula>
    </cfRule>
  </conditionalFormatting>
  <conditionalFormatting sqref="C43">
    <cfRule type="expression" dxfId="412" priority="65">
      <formula>E43&gt;0</formula>
    </cfRule>
  </conditionalFormatting>
  <conditionalFormatting sqref="C43">
    <cfRule type="expression" dxfId="411" priority="64">
      <formula>E43&gt;0</formula>
    </cfRule>
  </conditionalFormatting>
  <conditionalFormatting sqref="C43">
    <cfRule type="expression" dxfId="410" priority="63">
      <formula>E43&gt;0</formula>
    </cfRule>
  </conditionalFormatting>
  <conditionalFormatting sqref="C43">
    <cfRule type="expression" dxfId="409" priority="62">
      <formula>E43&gt;0</formula>
    </cfRule>
  </conditionalFormatting>
  <conditionalFormatting sqref="C43">
    <cfRule type="expression" dxfId="408" priority="61">
      <formula>E43&gt;0</formula>
    </cfRule>
  </conditionalFormatting>
  <conditionalFormatting sqref="C43">
    <cfRule type="expression" dxfId="407" priority="60">
      <formula>E43&gt;0</formula>
    </cfRule>
  </conditionalFormatting>
  <conditionalFormatting sqref="C43">
    <cfRule type="expression" dxfId="406" priority="59">
      <formula>E43&gt;0</formula>
    </cfRule>
  </conditionalFormatting>
  <conditionalFormatting sqref="C43">
    <cfRule type="expression" dxfId="405" priority="58">
      <formula>E43&gt;0</formula>
    </cfRule>
  </conditionalFormatting>
  <conditionalFormatting sqref="C43">
    <cfRule type="expression" dxfId="404" priority="57">
      <formula>E43&gt;0</formula>
    </cfRule>
  </conditionalFormatting>
  <conditionalFormatting sqref="C43">
    <cfRule type="expression" dxfId="403" priority="56">
      <formula>E43&gt;0</formula>
    </cfRule>
  </conditionalFormatting>
  <conditionalFormatting sqref="C43">
    <cfRule type="expression" dxfId="402" priority="55">
      <formula>E43&gt;0</formula>
    </cfRule>
  </conditionalFormatting>
  <conditionalFormatting sqref="C43">
    <cfRule type="expression" dxfId="401" priority="54">
      <formula>E43&gt;0</formula>
    </cfRule>
  </conditionalFormatting>
  <conditionalFormatting sqref="C43">
    <cfRule type="expression" dxfId="400" priority="53">
      <formula>E43&gt;0</formula>
    </cfRule>
  </conditionalFormatting>
  <conditionalFormatting sqref="C43">
    <cfRule type="expression" dxfId="399" priority="52">
      <formula>E43&gt;0</formula>
    </cfRule>
  </conditionalFormatting>
  <conditionalFormatting sqref="C43">
    <cfRule type="expression" dxfId="398" priority="51">
      <formula>E43&gt;0</formula>
    </cfRule>
  </conditionalFormatting>
  <conditionalFormatting sqref="C43">
    <cfRule type="expression" dxfId="397" priority="50">
      <formula>E43&gt;0</formula>
    </cfRule>
  </conditionalFormatting>
  <conditionalFormatting sqref="C43">
    <cfRule type="expression" dxfId="396" priority="49">
      <formula>E43&gt;0</formula>
    </cfRule>
  </conditionalFormatting>
  <conditionalFormatting sqref="C43">
    <cfRule type="expression" dxfId="395" priority="48">
      <formula>E43&gt;0</formula>
    </cfRule>
  </conditionalFormatting>
  <conditionalFormatting sqref="C43">
    <cfRule type="expression" dxfId="394" priority="47">
      <formula>E43&gt;0</formula>
    </cfRule>
  </conditionalFormatting>
  <conditionalFormatting sqref="C43">
    <cfRule type="expression" dxfId="393" priority="46">
      <formula>E43&gt;0</formula>
    </cfRule>
  </conditionalFormatting>
  <conditionalFormatting sqref="C43">
    <cfRule type="expression" dxfId="392" priority="45">
      <formula>E43&gt;0</formula>
    </cfRule>
  </conditionalFormatting>
  <conditionalFormatting sqref="C43">
    <cfRule type="expression" dxfId="391" priority="44">
      <formula>E43&gt;0</formula>
    </cfRule>
  </conditionalFormatting>
  <conditionalFormatting sqref="C43">
    <cfRule type="expression" dxfId="390" priority="43">
      <formula>E43&gt;0</formula>
    </cfRule>
  </conditionalFormatting>
  <conditionalFormatting sqref="C43">
    <cfRule type="expression" dxfId="389" priority="42">
      <formula>E43&gt;0</formula>
    </cfRule>
  </conditionalFormatting>
  <conditionalFormatting sqref="C43">
    <cfRule type="expression" dxfId="388" priority="41">
      <formula>E43&gt;0</formula>
    </cfRule>
  </conditionalFormatting>
  <conditionalFormatting sqref="C43">
    <cfRule type="expression" dxfId="387" priority="40">
      <formula>E43&gt;0</formula>
    </cfRule>
  </conditionalFormatting>
  <conditionalFormatting sqref="C43">
    <cfRule type="expression" dxfId="386" priority="39">
      <formula>E43&gt;0</formula>
    </cfRule>
  </conditionalFormatting>
  <conditionalFormatting sqref="C43">
    <cfRule type="expression" dxfId="385" priority="38">
      <formula>E43&gt;0</formula>
    </cfRule>
  </conditionalFormatting>
  <conditionalFormatting sqref="C43">
    <cfRule type="expression" dxfId="384" priority="37">
      <formula>E43&gt;0</formula>
    </cfRule>
  </conditionalFormatting>
  <conditionalFormatting sqref="C43">
    <cfRule type="expression" dxfId="383" priority="36">
      <formula>E43&gt;0</formula>
    </cfRule>
  </conditionalFormatting>
  <conditionalFormatting sqref="C43">
    <cfRule type="expression" dxfId="382" priority="35">
      <formula>E43&gt;0</formula>
    </cfRule>
  </conditionalFormatting>
  <conditionalFormatting sqref="C43">
    <cfRule type="expression" dxfId="381" priority="34">
      <formula>E43&gt;0</formula>
    </cfRule>
  </conditionalFormatting>
  <conditionalFormatting sqref="C43">
    <cfRule type="expression" dxfId="380" priority="33">
      <formula>E43&gt;0</formula>
    </cfRule>
  </conditionalFormatting>
  <conditionalFormatting sqref="C43">
    <cfRule type="expression" dxfId="379" priority="32">
      <formula>E43&gt;0</formula>
    </cfRule>
  </conditionalFormatting>
  <conditionalFormatting sqref="C43">
    <cfRule type="expression" dxfId="378" priority="31">
      <formula>E43&gt;0</formula>
    </cfRule>
  </conditionalFormatting>
  <conditionalFormatting sqref="C43">
    <cfRule type="expression" dxfId="377" priority="30">
      <formula>E43&gt;0</formula>
    </cfRule>
  </conditionalFormatting>
  <conditionalFormatting sqref="C43">
    <cfRule type="expression" dxfId="376" priority="29">
      <formula>E43&gt;0</formula>
    </cfRule>
  </conditionalFormatting>
  <conditionalFormatting sqref="C43">
    <cfRule type="expression" dxfId="375" priority="28">
      <formula>E43&gt;0</formula>
    </cfRule>
  </conditionalFormatting>
  <conditionalFormatting sqref="C43">
    <cfRule type="expression" dxfId="374" priority="27">
      <formula>E43&gt;0</formula>
    </cfRule>
  </conditionalFormatting>
  <conditionalFormatting sqref="C43">
    <cfRule type="expression" dxfId="373" priority="26">
      <formula>E43&gt;0</formula>
    </cfRule>
  </conditionalFormatting>
  <conditionalFormatting sqref="C43">
    <cfRule type="expression" dxfId="372" priority="25">
      <formula>E43&gt;0</formula>
    </cfRule>
  </conditionalFormatting>
  <conditionalFormatting sqref="C43">
    <cfRule type="expression" dxfId="371" priority="24">
      <formula>E43&gt;0</formula>
    </cfRule>
  </conditionalFormatting>
  <conditionalFormatting sqref="C43">
    <cfRule type="expression" dxfId="370" priority="23">
      <formula>E43&gt;0</formula>
    </cfRule>
  </conditionalFormatting>
  <conditionalFormatting sqref="C43">
    <cfRule type="expression" dxfId="369" priority="22">
      <formula>E43&gt;0</formula>
    </cfRule>
  </conditionalFormatting>
  <conditionalFormatting sqref="C43">
    <cfRule type="expression" dxfId="368" priority="21">
      <formula>E43&gt;0</formula>
    </cfRule>
  </conditionalFormatting>
  <conditionalFormatting sqref="C43">
    <cfRule type="expression" dxfId="367" priority="20">
      <formula>E43&gt;0</formula>
    </cfRule>
  </conditionalFormatting>
  <conditionalFormatting sqref="C43">
    <cfRule type="expression" dxfId="366" priority="19">
      <formula>E43&gt;0</formula>
    </cfRule>
  </conditionalFormatting>
  <conditionalFormatting sqref="C43">
    <cfRule type="expression" dxfId="365" priority="18">
      <formula>E43&gt;0</formula>
    </cfRule>
  </conditionalFormatting>
  <conditionalFormatting sqref="C43">
    <cfRule type="expression" dxfId="364" priority="17">
      <formula>E43&gt;0</formula>
    </cfRule>
  </conditionalFormatting>
  <conditionalFormatting sqref="C43">
    <cfRule type="expression" dxfId="363" priority="16">
      <formula>E43&gt;0</formula>
    </cfRule>
  </conditionalFormatting>
  <conditionalFormatting sqref="C43">
    <cfRule type="expression" dxfId="362" priority="15">
      <formula>E43&gt;0</formula>
    </cfRule>
  </conditionalFormatting>
  <conditionalFormatting sqref="C43">
    <cfRule type="expression" dxfId="361" priority="14">
      <formula>E43&gt;0</formula>
    </cfRule>
  </conditionalFormatting>
  <conditionalFormatting sqref="C43">
    <cfRule type="expression" dxfId="360" priority="13">
      <formula>E43&gt;0</formula>
    </cfRule>
  </conditionalFormatting>
  <conditionalFormatting sqref="C43">
    <cfRule type="expression" dxfId="359" priority="12">
      <formula>E43&gt;0</formula>
    </cfRule>
  </conditionalFormatting>
  <conditionalFormatting sqref="C43">
    <cfRule type="expression" dxfId="358" priority="11">
      <formula>E43&gt;0</formula>
    </cfRule>
  </conditionalFormatting>
  <conditionalFormatting sqref="C43">
    <cfRule type="expression" dxfId="357" priority="10">
      <formula>E43&gt;0</formula>
    </cfRule>
  </conditionalFormatting>
  <conditionalFormatting sqref="C43">
    <cfRule type="expression" dxfId="356" priority="9">
      <formula>E43&gt;0</formula>
    </cfRule>
  </conditionalFormatting>
  <conditionalFormatting sqref="C43">
    <cfRule type="expression" dxfId="355" priority="8">
      <formula>E43&gt;0</formula>
    </cfRule>
  </conditionalFormatting>
  <conditionalFormatting sqref="C43">
    <cfRule type="expression" dxfId="354" priority="7">
      <formula>E43&gt;0</formula>
    </cfRule>
  </conditionalFormatting>
  <conditionalFormatting sqref="C43">
    <cfRule type="expression" dxfId="353" priority="6">
      <formula>E43&gt;0</formula>
    </cfRule>
  </conditionalFormatting>
  <conditionalFormatting sqref="C43">
    <cfRule type="expression" dxfId="352" priority="5">
      <formula>E43&gt;0</formula>
    </cfRule>
  </conditionalFormatting>
  <conditionalFormatting sqref="C43">
    <cfRule type="expression" dxfId="351" priority="4">
      <formula>E43&gt;0</formula>
    </cfRule>
  </conditionalFormatting>
  <conditionalFormatting sqref="C43">
    <cfRule type="expression" dxfId="350" priority="3">
      <formula>E43&gt;0</formula>
    </cfRule>
  </conditionalFormatting>
  <conditionalFormatting sqref="C43">
    <cfRule type="expression" dxfId="349" priority="2">
      <formula>E43&gt;0</formula>
    </cfRule>
  </conditionalFormatting>
  <conditionalFormatting sqref="C43">
    <cfRule type="expression" dxfId="348" priority="1">
      <formula>E43&gt;0</formula>
    </cfRule>
  </conditionalFormatting>
  <dataValidations count="1">
    <dataValidation type="list" allowBlank="1" showInputMessage="1" showErrorMessage="1" sqref="G9:G194">
      <formula1>$G$7:$G$8</formula1>
    </dataValidation>
  </dataValidations>
  <hyperlinks>
    <hyperlink ref="L9:N10" location="ΠΛΟΗΓΗΣΗ!A1" display="Επιστροφή   στην   ΠΛΟΗΓΗΣΗ"/>
  </hyperlinks>
  <pageMargins left="0.39370078740157483" right="0.39370078740157483" top="0.39370078740157483" bottom="0.39370078740157483" header="0.31496062992125984" footer="0.31496062992125984"/>
  <pageSetup paperSize="9" orientation="landscape" r:id="rId1"/>
  <customProperties>
    <customPr name="DVSECTIONID" r:id="rId2"/>
  </customProperties>
  <legacyDrawing r:id="rId3"/>
</worksheet>
</file>

<file path=xl/worksheets/sheet3.xml><?xml version="1.0" encoding="utf-8"?>
<worksheet xmlns="http://schemas.openxmlformats.org/spreadsheetml/2006/main" xmlns:r="http://schemas.openxmlformats.org/officeDocument/2006/relationships">
  <sheetPr codeName="Φύλλο3">
    <tabColor rgb="FF0070C0"/>
  </sheetPr>
  <dimension ref="A1:T30"/>
  <sheetViews>
    <sheetView zoomScale="60" zoomScaleNormal="60" workbookViewId="0">
      <selection activeCell="U4" sqref="U4"/>
    </sheetView>
  </sheetViews>
  <sheetFormatPr defaultColWidth="9.140625" defaultRowHeight="15" outlineLevelCol="1"/>
  <cols>
    <col min="1" max="1" width="10.42578125" style="101" customWidth="1"/>
    <col min="2" max="2" width="25.5703125" style="101" customWidth="1"/>
    <col min="3" max="3" width="17.7109375" style="101" customWidth="1"/>
    <col min="4" max="4" width="22" style="101" customWidth="1"/>
    <col min="5" max="5" width="18.7109375" style="101" customWidth="1"/>
    <col min="6" max="6" width="21" style="101" customWidth="1"/>
    <col min="7" max="7" width="7.7109375" style="277" hidden="1" customWidth="1" outlineLevel="1"/>
    <col min="8" max="8" width="8.42578125" style="277" hidden="1" customWidth="1" outlineLevel="1"/>
    <col min="9" max="9" width="8" style="277" hidden="1" customWidth="1" outlineLevel="1"/>
    <col min="10" max="10" width="7.7109375" style="277" hidden="1" customWidth="1" outlineLevel="1"/>
    <col min="11" max="11" width="8.42578125" style="277" hidden="1" customWidth="1" outlineLevel="1"/>
    <col min="12" max="12" width="9" style="277" hidden="1" customWidth="1" outlineLevel="1"/>
    <col min="13" max="14" width="8" style="277" hidden="1" customWidth="1" outlineLevel="1"/>
    <col min="15" max="19" width="8.42578125" style="277" hidden="1" customWidth="1" outlineLevel="1"/>
    <col min="20" max="20" width="27" style="16" customWidth="1" collapsed="1"/>
    <col min="21" max="16384" width="9.140625" style="101"/>
  </cols>
  <sheetData>
    <row r="1" spans="1:20" s="14" customFormat="1" ht="42" customHeight="1">
      <c r="A1" s="15">
        <v>1</v>
      </c>
      <c r="B1" s="15"/>
      <c r="C1" s="701" t="str">
        <f>ΣΤΟΙΧΕΙΑ!C3</f>
        <v>Κ Ο Ι Ν Ο Χ Ρ Η Σ Τ Α :</v>
      </c>
      <c r="D1" s="701"/>
      <c r="E1" s="701"/>
      <c r="F1" s="701"/>
      <c r="G1" s="701"/>
      <c r="H1" s="701"/>
      <c r="I1" s="701"/>
      <c r="J1" s="701"/>
      <c r="K1" s="701"/>
      <c r="L1" s="701"/>
      <c r="M1" s="701"/>
      <c r="N1" s="701"/>
      <c r="O1" s="701"/>
      <c r="P1" s="701"/>
      <c r="Q1" s="701"/>
      <c r="R1" s="701"/>
      <c r="S1" s="701"/>
      <c r="T1" s="701"/>
    </row>
    <row r="2" spans="1:20" s="14" customFormat="1" ht="42" customHeight="1">
      <c r="A2" s="15"/>
      <c r="B2" s="15"/>
      <c r="C2" s="702" t="str">
        <f>ΣΤΟΙΧΕΙΑ!C12</f>
        <v>Διευθύνση 123</v>
      </c>
      <c r="D2" s="702"/>
      <c r="E2" s="702"/>
      <c r="F2" s="702"/>
      <c r="G2" s="702"/>
      <c r="H2" s="702"/>
      <c r="I2" s="702"/>
      <c r="J2" s="702"/>
      <c r="K2" s="702"/>
      <c r="L2" s="702"/>
      <c r="M2" s="702"/>
      <c r="N2" s="702"/>
      <c r="O2" s="702"/>
      <c r="P2" s="702"/>
      <c r="Q2" s="702"/>
      <c r="R2" s="702"/>
      <c r="S2" s="702"/>
      <c r="T2" s="702"/>
    </row>
    <row r="3" spans="1:20" s="14" customFormat="1" ht="42" customHeight="1">
      <c r="A3" s="15"/>
      <c r="B3" s="15"/>
      <c r="C3" s="703">
        <f>ΣΤΟΙΧΕΙΑ!C11</f>
        <v>40878</v>
      </c>
      <c r="D3" s="703"/>
      <c r="E3" s="703"/>
      <c r="F3" s="703"/>
      <c r="G3" s="703"/>
      <c r="H3" s="703"/>
      <c r="I3" s="703"/>
      <c r="J3" s="703"/>
      <c r="K3" s="703"/>
      <c r="L3" s="703"/>
      <c r="M3" s="703"/>
      <c r="N3" s="703"/>
      <c r="O3" s="703"/>
      <c r="P3" s="703"/>
      <c r="Q3" s="703"/>
      <c r="R3" s="703"/>
      <c r="S3" s="703"/>
      <c r="T3" s="703"/>
    </row>
    <row r="4" spans="1:20" s="14" customFormat="1" ht="30" customHeight="1">
      <c r="A4" s="15"/>
      <c r="B4" s="15"/>
      <c r="C4" s="156" t="s">
        <v>217</v>
      </c>
      <c r="D4" s="557">
        <f>IFERROR(VLOOKUP(C3,Πετρέλαιο!$B$13:$V$33,20,FALSE),0)</f>
        <v>840.6</v>
      </c>
      <c r="E4" s="450">
        <f>IFERROR(VLOOKUP(C3,Πετρέλαιο!$B$13:$V$33,21,FALSE),0)</f>
        <v>700</v>
      </c>
      <c r="F4" s="451" t="s">
        <v>466</v>
      </c>
      <c r="G4" s="203"/>
      <c r="H4" s="203"/>
      <c r="I4" s="203"/>
      <c r="J4" s="203"/>
      <c r="K4" s="203"/>
      <c r="L4" s="203"/>
      <c r="M4" s="203"/>
      <c r="N4" s="203"/>
      <c r="O4" s="203"/>
      <c r="P4" s="203"/>
      <c r="Q4" s="203"/>
      <c r="R4" s="203"/>
      <c r="S4" s="203"/>
      <c r="T4" s="158">
        <f>ΣΤΟΙΧΕΙΑ!C10</f>
        <v>40878</v>
      </c>
    </row>
    <row r="5" spans="1:20" s="14" customFormat="1" ht="30" customHeight="1">
      <c r="A5" s="15"/>
      <c r="B5" s="15"/>
      <c r="C5" s="704" t="s">
        <v>218</v>
      </c>
      <c r="D5" s="704"/>
      <c r="E5" s="545">
        <f>IFERROR(VLOOKUP(C3,Πετρέλαιο!$B$13:$V$33,18,FALSE),0)</f>
        <v>15</v>
      </c>
      <c r="F5" s="546" t="s">
        <v>219</v>
      </c>
      <c r="G5" s="547"/>
      <c r="H5" s="547"/>
      <c r="I5" s="547"/>
      <c r="J5" s="547"/>
      <c r="K5" s="547"/>
      <c r="L5" s="547"/>
      <c r="M5" s="547"/>
      <c r="N5" s="547"/>
      <c r="O5" s="547"/>
      <c r="P5" s="547"/>
      <c r="Q5" s="547"/>
      <c r="R5" s="547"/>
      <c r="S5" s="547"/>
      <c r="T5" s="548">
        <f>(IFERROR(VLOOKUP(C3,Πετρέλαιο!$B$13:$V$33,10,FALSE),0))-(IFERROR(VLOOKUP(C3,Πετρέλαιο!$B$13:$V$33,21,FALSE),0))</f>
        <v>390</v>
      </c>
    </row>
    <row r="6" spans="1:20" s="104" customFormat="1" ht="26.25">
      <c r="A6" s="278" t="s">
        <v>24</v>
      </c>
      <c r="B6" s="278" t="s">
        <v>11</v>
      </c>
      <c r="C6" s="705" t="s">
        <v>78</v>
      </c>
      <c r="D6" s="706"/>
      <c r="E6" s="706"/>
      <c r="F6" s="278" t="s">
        <v>90</v>
      </c>
      <c r="G6" s="279">
        <f ca="1">INDIRECT(ADDRESS(A7,6,3,,"ΣΤΟΙΧΕΙΑ"))</f>
        <v>40848</v>
      </c>
      <c r="H6" s="279">
        <f ca="1">INDIRECT(ADDRESS(B7,6,3,,"ΣΤΟΙΧΕΙΑ"))</f>
        <v>40878</v>
      </c>
      <c r="I6" s="279">
        <f ca="1">INDIRECT(ADDRESS(C7,6,3,,"ΣΤΟΙΧΕΙΑ"))</f>
        <v>40909</v>
      </c>
      <c r="J6" s="279">
        <f t="shared" ref="J6:O6" ca="1" si="0">INDIRECT(ADDRESS(G7,6,3,,"ΣΤΟΙΧΕΙΑ"))</f>
        <v>41061</v>
      </c>
      <c r="K6" s="279">
        <f t="shared" ca="1" si="0"/>
        <v>41091</v>
      </c>
      <c r="L6" s="279">
        <f t="shared" ca="1" si="0"/>
        <v>41122</v>
      </c>
      <c r="M6" s="279">
        <f t="shared" ca="1" si="0"/>
        <v>41153</v>
      </c>
      <c r="N6" s="279">
        <f t="shared" ca="1" si="0"/>
        <v>41183</v>
      </c>
      <c r="O6" s="279">
        <f t="shared" ca="1" si="0"/>
        <v>41214</v>
      </c>
      <c r="P6" s="279">
        <f t="shared" ref="P6" ca="1" si="1">INDIRECT(ADDRESS(M7,6,3,,"ΣΤΟΙΧΕΙΑ"))</f>
        <v>41244</v>
      </c>
      <c r="Q6" s="279">
        <f t="shared" ref="Q6" ca="1" si="2">INDIRECT(ADDRESS(N7,6,3,,"ΣΤΟΙΧΕΙΑ"))</f>
        <v>41275</v>
      </c>
      <c r="R6" s="279">
        <f t="shared" ref="R6" ca="1" si="3">INDIRECT(ADDRESS(O7,6,3,,"ΣΤΟΙΧΕΙΑ"))</f>
        <v>41306</v>
      </c>
      <c r="S6" s="279">
        <f t="shared" ref="S6" ca="1" si="4">INDIRECT(ADDRESS(P7,6,3,,"ΣΤΟΙΧΕΙΑ"))</f>
        <v>41334</v>
      </c>
      <c r="T6" s="98" t="s">
        <v>179</v>
      </c>
    </row>
    <row r="7" spans="1:20" s="104" customFormat="1" ht="26.25">
      <c r="A7" s="280">
        <v>1</v>
      </c>
      <c r="B7" s="280">
        <f>A7+1</f>
        <v>2</v>
      </c>
      <c r="C7" s="707">
        <f t="shared" ref="C7:S7" si="5">B7+1</f>
        <v>3</v>
      </c>
      <c r="D7" s="708"/>
      <c r="E7" s="708"/>
      <c r="F7" s="280">
        <f>C7+1</f>
        <v>4</v>
      </c>
      <c r="G7" s="452">
        <f>F7+4</f>
        <v>8</v>
      </c>
      <c r="H7" s="280">
        <f t="shared" si="5"/>
        <v>9</v>
      </c>
      <c r="I7" s="280">
        <f t="shared" si="5"/>
        <v>10</v>
      </c>
      <c r="J7" s="280">
        <f t="shared" si="5"/>
        <v>11</v>
      </c>
      <c r="K7" s="280">
        <f t="shared" si="5"/>
        <v>12</v>
      </c>
      <c r="L7" s="280">
        <f t="shared" si="5"/>
        <v>13</v>
      </c>
      <c r="M7" s="280">
        <f t="shared" si="5"/>
        <v>14</v>
      </c>
      <c r="N7" s="280">
        <f t="shared" si="5"/>
        <v>15</v>
      </c>
      <c r="O7" s="280">
        <f t="shared" si="5"/>
        <v>16</v>
      </c>
      <c r="P7" s="280">
        <f t="shared" si="5"/>
        <v>17</v>
      </c>
      <c r="Q7" s="280">
        <f t="shared" si="5"/>
        <v>18</v>
      </c>
      <c r="R7" s="280">
        <f t="shared" si="5"/>
        <v>19</v>
      </c>
      <c r="S7" s="280">
        <f t="shared" si="5"/>
        <v>20</v>
      </c>
      <c r="T7" s="280">
        <f>F7+1</f>
        <v>5</v>
      </c>
    </row>
    <row r="8" spans="1:20" s="104" customFormat="1" ht="36.950000000000003" customHeight="1">
      <c r="A8" s="130">
        <f>IF(B8="","",1)</f>
        <v>1</v>
      </c>
      <c r="B8" s="130" t="str">
        <f>IF(Διαμερίσματα!B6="","",Διαμερίσματα!B6)</f>
        <v>Κ1</v>
      </c>
      <c r="C8" s="709" t="str">
        <f>IF(Διαμερίσματα!I6="","",Διαμερίσματα!I6)</f>
        <v>Ιδιοκτήτης-1</v>
      </c>
      <c r="D8" s="710"/>
      <c r="E8" s="710"/>
      <c r="F8" s="453">
        <f ca="1">IFERROR(HLOOKUP(ΣΤΟΙΧΕΙΑ!$C$11,Ώρες!$D$29:$R$52,2+A8,FALSE),0)</f>
        <v>0</v>
      </c>
      <c r="G8" s="281" t="str">
        <f>IF(ΣΤΟΙΧΕΙΑ!D41=0,"",ΣΤΟΙΧΕΙΑ!D41)</f>
        <v/>
      </c>
      <c r="H8" s="281">
        <f ca="1">IF(ΣΤΟΙΧΕΙΑ!E41=0,"",ΣΤΟΙΧΕΙΑ!E41)</f>
        <v>44.314208126686182</v>
      </c>
      <c r="I8" s="281" t="str">
        <f>IF(ΣΤΟΙΧΕΙΑ!F41=0,"",ΣΤΟΙΧΕΙΑ!F41)</f>
        <v/>
      </c>
      <c r="J8" s="281" t="str">
        <f>IF(ΣΤΟΙΧΕΙΑ!G41=0,"",ΣΤΟΙΧΕΙΑ!G41)</f>
        <v/>
      </c>
      <c r="K8" s="281" t="str">
        <f>IF(ΣΤΟΙΧΕΙΑ!H41=0,"",ΣΤΟΙΧΕΙΑ!H41)</f>
        <v/>
      </c>
      <c r="L8" s="281" t="str">
        <f>IF(ΣΤΟΙΧΕΙΑ!I41=0,"",ΣΤΟΙΧΕΙΑ!I41)</f>
        <v/>
      </c>
      <c r="M8" s="281" t="str">
        <f>IF(ΣΤΟΙΧΕΙΑ!J41=0,"",ΣΤΟΙΧΕΙΑ!J41)</f>
        <v/>
      </c>
      <c r="N8" s="281" t="str">
        <f>IF(ΣΤΟΙΧΕΙΑ!K41=0,"",ΣΤΟΙΧΕΙΑ!K41)</f>
        <v/>
      </c>
      <c r="O8" s="281" t="str">
        <f>IF(ΣΤΟΙΧΕΙΑ!L41=0,"",ΣΤΟΙΧΕΙΑ!L41)</f>
        <v/>
      </c>
      <c r="P8" s="281" t="str">
        <f>IF(ΣΤΟΙΧΕΙΑ!M41=0,"",ΣΤΟΙΧΕΙΑ!M41)</f>
        <v/>
      </c>
      <c r="Q8" s="281" t="str">
        <f>IF(ΣΤΟΙΧΕΙΑ!N41=0,"",ΣΤΟΙΧΕΙΑ!N41)</f>
        <v/>
      </c>
      <c r="R8" s="281" t="str">
        <f>IF(ΣΤΟΙΧΕΙΑ!O41=0,"",ΣΤΟΙΧΕΙΑ!O41)</f>
        <v/>
      </c>
      <c r="S8" s="281" t="str">
        <f>IF(ΣΤΟΙΧΕΙΑ!P41=0,"",ΣΤΟΙΧΕΙΑ!P41)</f>
        <v/>
      </c>
      <c r="T8" s="159">
        <f ca="1">IF(SUM(G8:S8)=0,"",SUM(G8:S8))</f>
        <v>44.314208126686182</v>
      </c>
    </row>
    <row r="9" spans="1:20" s="104" customFormat="1" ht="36.950000000000003" customHeight="1">
      <c r="A9" s="130">
        <f>IF(B9="","",A8+1)</f>
        <v>2</v>
      </c>
      <c r="B9" s="130" t="str">
        <f>IF(Διαμερίσματα!B7="","",Διαμερίσματα!B7)</f>
        <v>Κ2</v>
      </c>
      <c r="C9" s="709" t="str">
        <f>IF(Διαμερίσματα!I7="","",Διαμερίσματα!I7)</f>
        <v>Ιδιοκτήτης-2</v>
      </c>
      <c r="D9" s="710"/>
      <c r="E9" s="710"/>
      <c r="F9" s="453">
        <f ca="1">IFERROR(HLOOKUP(ΣΤΟΙΧΕΙΑ!$C$11,Ώρες!$D$29:$R$52,2+A9,FALSE),0)</f>
        <v>0</v>
      </c>
      <c r="G9" s="281" t="str">
        <f>IF(ΣΤΟΙΧΕΙΑ!D42=0,"",ΣΤΟΙΧΕΙΑ!D42)</f>
        <v/>
      </c>
      <c r="H9" s="281">
        <f ca="1">IF(ΣΤΟΙΧΕΙΑ!E42=0,"",ΣΤΟΙΧΕΙΑ!E42)</f>
        <v>49.190348052390995</v>
      </c>
      <c r="I9" s="281" t="str">
        <f>IF(ΣΤΟΙΧΕΙΑ!F42=0,"",ΣΤΟΙΧΕΙΑ!F42)</f>
        <v/>
      </c>
      <c r="J9" s="281" t="str">
        <f>IF(ΣΤΟΙΧΕΙΑ!G42=0,"",ΣΤΟΙΧΕΙΑ!G42)</f>
        <v/>
      </c>
      <c r="K9" s="281" t="str">
        <f>IF(ΣΤΟΙΧΕΙΑ!H42=0,"",ΣΤΟΙΧΕΙΑ!H42)</f>
        <v/>
      </c>
      <c r="L9" s="281" t="str">
        <f>IF(ΣΤΟΙΧΕΙΑ!I42=0,"",ΣΤΟΙΧΕΙΑ!I42)</f>
        <v/>
      </c>
      <c r="M9" s="281" t="str">
        <f>IF(ΣΤΟΙΧΕΙΑ!J42=0,"",ΣΤΟΙΧΕΙΑ!J42)</f>
        <v/>
      </c>
      <c r="N9" s="281" t="str">
        <f>IF(ΣΤΟΙΧΕΙΑ!K42=0,"",ΣΤΟΙΧΕΙΑ!K42)</f>
        <v/>
      </c>
      <c r="O9" s="281" t="str">
        <f>IF(ΣΤΟΙΧΕΙΑ!L42=0,"",ΣΤΟΙΧΕΙΑ!L42)</f>
        <v/>
      </c>
      <c r="P9" s="281" t="str">
        <f>IF(ΣΤΟΙΧΕΙΑ!M42=0,"",ΣΤΟΙΧΕΙΑ!M42)</f>
        <v/>
      </c>
      <c r="Q9" s="281" t="str">
        <f>IF(ΣΤΟΙΧΕΙΑ!N42=0,"",ΣΤΟΙΧΕΙΑ!N42)</f>
        <v/>
      </c>
      <c r="R9" s="281" t="str">
        <f>IF(ΣΤΟΙΧΕΙΑ!O42=0,"",ΣΤΟΙΧΕΙΑ!O42)</f>
        <v/>
      </c>
      <c r="S9" s="281" t="str">
        <f>IF(ΣΤΟΙΧΕΙΑ!P42=0,"",ΣΤΟΙΧΕΙΑ!P42)</f>
        <v/>
      </c>
      <c r="T9" s="159">
        <f t="shared" ref="T9:T17" ca="1" si="6">IF(SUM(G9:S9)=0,"",SUM(G9:S9))</f>
        <v>49.190348052390995</v>
      </c>
    </row>
    <row r="10" spans="1:20" s="104" customFormat="1" ht="36.950000000000003" customHeight="1">
      <c r="A10" s="130">
        <f t="shared" ref="A10:A17" si="7">IF(B10="","",A9+1)</f>
        <v>3</v>
      </c>
      <c r="B10" s="130" t="str">
        <f>IF(Διαμερίσματα!B8="","",Διαμερίσματα!B8)</f>
        <v>Κ3</v>
      </c>
      <c r="C10" s="709" t="str">
        <f>IF(Διαμερίσματα!I8="","",Διαμερίσματα!I8)</f>
        <v>Ιδιοκτήτης-3</v>
      </c>
      <c r="D10" s="710"/>
      <c r="E10" s="710"/>
      <c r="F10" s="453">
        <f ca="1">IFERROR(HLOOKUP(ΣΤΟΙΧΕΙΑ!$C$11,Ώρες!$D$29:$R$52,2+A10,FALSE),0)</f>
        <v>99</v>
      </c>
      <c r="G10" s="281" t="str">
        <f>IF(ΣΤΟΙΧΕΙΑ!D43=0,"",ΣΤΟΙΧΕΙΑ!D43)</f>
        <v/>
      </c>
      <c r="H10" s="281">
        <f ca="1">IF(ΣΤΟΙΧΕΙΑ!E43=0,"",ΣΤΟΙΧΕΙΑ!E43)</f>
        <v>225.0399534872713</v>
      </c>
      <c r="I10" s="281" t="str">
        <f>IF(ΣΤΟΙΧΕΙΑ!F43=0,"",ΣΤΟΙΧΕΙΑ!F43)</f>
        <v/>
      </c>
      <c r="J10" s="281" t="str">
        <f>IF(ΣΤΟΙΧΕΙΑ!G43=0,"",ΣΤΟΙΧΕΙΑ!G43)</f>
        <v/>
      </c>
      <c r="K10" s="281" t="str">
        <f>IF(ΣΤΟΙΧΕΙΑ!H43=0,"",ΣΤΟΙΧΕΙΑ!H43)</f>
        <v/>
      </c>
      <c r="L10" s="281" t="str">
        <f>IF(ΣΤΟΙΧΕΙΑ!I43=0,"",ΣΤΟΙΧΕΙΑ!I43)</f>
        <v/>
      </c>
      <c r="M10" s="281" t="str">
        <f>IF(ΣΤΟΙΧΕΙΑ!J43=0,"",ΣΤΟΙΧΕΙΑ!J43)</f>
        <v/>
      </c>
      <c r="N10" s="281" t="str">
        <f>IF(ΣΤΟΙΧΕΙΑ!K43=0,"",ΣΤΟΙΧΕΙΑ!K43)</f>
        <v/>
      </c>
      <c r="O10" s="281" t="str">
        <f>IF(ΣΤΟΙΧΕΙΑ!L43=0,"",ΣΤΟΙΧΕΙΑ!L43)</f>
        <v/>
      </c>
      <c r="P10" s="281" t="str">
        <f>IF(ΣΤΟΙΧΕΙΑ!M43=0,"",ΣΤΟΙΧΕΙΑ!M43)</f>
        <v/>
      </c>
      <c r="Q10" s="281" t="str">
        <f>IF(ΣΤΟΙΧΕΙΑ!N43=0,"",ΣΤΟΙΧΕΙΑ!N43)</f>
        <v/>
      </c>
      <c r="R10" s="281" t="str">
        <f>IF(ΣΤΟΙΧΕΙΑ!O43=0,"",ΣΤΟΙΧΕΙΑ!O43)</f>
        <v/>
      </c>
      <c r="S10" s="281" t="str">
        <f>IF(ΣΤΟΙΧΕΙΑ!P43=0,"",ΣΤΟΙΧΕΙΑ!P43)</f>
        <v/>
      </c>
      <c r="T10" s="159">
        <f t="shared" ca="1" si="6"/>
        <v>225.0399534872713</v>
      </c>
    </row>
    <row r="11" spans="1:20" s="104" customFormat="1" ht="36.950000000000003" customHeight="1">
      <c r="A11" s="130">
        <f t="shared" si="7"/>
        <v>4</v>
      </c>
      <c r="B11" s="130" t="str">
        <f>IF(Διαμερίσματα!B9="","",Διαμερίσματα!B9)</f>
        <v>Α1</v>
      </c>
      <c r="C11" s="709" t="str">
        <f>IF(Διαμερίσματα!I9="","",Διαμερίσματα!I9)</f>
        <v>Ιδιοκτήτης-4</v>
      </c>
      <c r="D11" s="710"/>
      <c r="E11" s="710"/>
      <c r="F11" s="453">
        <f ca="1">IFERROR(HLOOKUP(ΣΤΟΙΧΕΙΑ!$C$11,Ώρες!$D$29:$R$52,2+A11,FALSE),0)</f>
        <v>56</v>
      </c>
      <c r="G11" s="281" t="str">
        <f>IF(ΣΤΟΙΧΕΙΑ!D44=0,"",ΣΤΟΙΧΕΙΑ!D44)</f>
        <v/>
      </c>
      <c r="H11" s="281">
        <f ca="1">IF(ΣΤΟΙΧΕΙΑ!E44=0,"",ΣΤΟΙΧΕΙΑ!E44)</f>
        <v>178.03119085637255</v>
      </c>
      <c r="I11" s="281" t="str">
        <f>IF(ΣΤΟΙΧΕΙΑ!F44=0,"",ΣΤΟΙΧΕΙΑ!F44)</f>
        <v/>
      </c>
      <c r="J11" s="281" t="str">
        <f>IF(ΣΤΟΙΧΕΙΑ!G44=0,"",ΣΤΟΙΧΕΙΑ!G44)</f>
        <v/>
      </c>
      <c r="K11" s="281" t="str">
        <f>IF(ΣΤΟΙΧΕΙΑ!H44=0,"",ΣΤΟΙΧΕΙΑ!H44)</f>
        <v/>
      </c>
      <c r="L11" s="281" t="str">
        <f>IF(ΣΤΟΙΧΕΙΑ!I44=0,"",ΣΤΟΙΧΕΙΑ!I44)</f>
        <v/>
      </c>
      <c r="M11" s="281" t="str">
        <f>IF(ΣΤΟΙΧΕΙΑ!J44=0,"",ΣΤΟΙΧΕΙΑ!J44)</f>
        <v/>
      </c>
      <c r="N11" s="281" t="str">
        <f>IF(ΣΤΟΙΧΕΙΑ!K44=0,"",ΣΤΟΙΧΕΙΑ!K44)</f>
        <v/>
      </c>
      <c r="O11" s="281" t="str">
        <f>IF(ΣΤΟΙΧΕΙΑ!L44=0,"",ΣΤΟΙΧΕΙΑ!L44)</f>
        <v/>
      </c>
      <c r="P11" s="281" t="str">
        <f>IF(ΣΤΟΙΧΕΙΑ!M44=0,"",ΣΤΟΙΧΕΙΑ!M44)</f>
        <v/>
      </c>
      <c r="Q11" s="281" t="str">
        <f>IF(ΣΤΟΙΧΕΙΑ!N44=0,"",ΣΤΟΙΧΕΙΑ!N44)</f>
        <v/>
      </c>
      <c r="R11" s="281" t="str">
        <f>IF(ΣΤΟΙΧΕΙΑ!O44=0,"",ΣΤΟΙΧΕΙΑ!O44)</f>
        <v/>
      </c>
      <c r="S11" s="281" t="str">
        <f>IF(ΣΤΟΙΧΕΙΑ!P44=0,"",ΣΤΟΙΧΕΙΑ!P44)</f>
        <v/>
      </c>
      <c r="T11" s="159">
        <f t="shared" ca="1" si="6"/>
        <v>178.03119085637255</v>
      </c>
    </row>
    <row r="12" spans="1:20" s="104" customFormat="1" ht="36.950000000000003" customHeight="1">
      <c r="A12" s="130">
        <f t="shared" si="7"/>
        <v>5</v>
      </c>
      <c r="B12" s="130" t="str">
        <f>IF(Διαμερίσματα!B10="","",Διαμερίσματα!B10)</f>
        <v>Α2</v>
      </c>
      <c r="C12" s="709" t="str">
        <f>IF(Διαμερίσματα!I10="","",Διαμερίσματα!I10)</f>
        <v>Ιδιοκτήτης-5</v>
      </c>
      <c r="D12" s="710"/>
      <c r="E12" s="710"/>
      <c r="F12" s="453">
        <f ca="1">IFERROR(HLOOKUP(ΣΤΟΙΧΕΙΑ!$C$11,Ώρες!$D$29:$R$52,2+A12,FALSE),0)</f>
        <v>67</v>
      </c>
      <c r="G12" s="281" t="str">
        <f>IF(ΣΤΟΙΧΕΙΑ!D45=0,"",ΣΤΟΙΧΕΙΑ!D45)</f>
        <v/>
      </c>
      <c r="H12" s="281">
        <f ca="1">IF(ΣΤΟΙΧΕΙΑ!E45=0,"",ΣΤΟΙΧΕΙΑ!E45)</f>
        <v>164.47440806839413</v>
      </c>
      <c r="I12" s="281" t="str">
        <f>IF(ΣΤΟΙΧΕΙΑ!F45=0,"",ΣΤΟΙΧΕΙΑ!F45)</f>
        <v/>
      </c>
      <c r="J12" s="281" t="str">
        <f>IF(ΣΤΟΙΧΕΙΑ!G45=0,"",ΣΤΟΙΧΕΙΑ!G45)</f>
        <v/>
      </c>
      <c r="K12" s="281" t="str">
        <f>IF(ΣΤΟΙΧΕΙΑ!H45=0,"",ΣΤΟΙΧΕΙΑ!H45)</f>
        <v/>
      </c>
      <c r="L12" s="281" t="str">
        <f>IF(ΣΤΟΙΧΕΙΑ!I45=0,"",ΣΤΟΙΧΕΙΑ!I45)</f>
        <v/>
      </c>
      <c r="M12" s="281" t="str">
        <f>IF(ΣΤΟΙΧΕΙΑ!J45=0,"",ΣΤΟΙΧΕΙΑ!J45)</f>
        <v/>
      </c>
      <c r="N12" s="281" t="str">
        <f>IF(ΣΤΟΙΧΕΙΑ!K45=0,"",ΣΤΟΙΧΕΙΑ!K45)</f>
        <v/>
      </c>
      <c r="O12" s="281" t="str">
        <f>IF(ΣΤΟΙΧΕΙΑ!L45=0,"",ΣΤΟΙΧΕΙΑ!L45)</f>
        <v/>
      </c>
      <c r="P12" s="281" t="str">
        <f>IF(ΣΤΟΙΧΕΙΑ!M45=0,"",ΣΤΟΙΧΕΙΑ!M45)</f>
        <v/>
      </c>
      <c r="Q12" s="281" t="str">
        <f>IF(ΣΤΟΙΧΕΙΑ!N45=0,"",ΣΤΟΙΧΕΙΑ!N45)</f>
        <v/>
      </c>
      <c r="R12" s="281" t="str">
        <f>IF(ΣΤΟΙΧΕΙΑ!O45=0,"",ΣΤΟΙΧΕΙΑ!O45)</f>
        <v/>
      </c>
      <c r="S12" s="281" t="str">
        <f>IF(ΣΤΟΙΧΕΙΑ!P45=0,"",ΣΤΟΙΧΕΙΑ!P45)</f>
        <v/>
      </c>
      <c r="T12" s="159">
        <f t="shared" ca="1" si="6"/>
        <v>164.47440806839413</v>
      </c>
    </row>
    <row r="13" spans="1:20" s="104" customFormat="1" ht="36.950000000000003" customHeight="1">
      <c r="A13" s="130">
        <f t="shared" si="7"/>
        <v>6</v>
      </c>
      <c r="B13" s="130" t="str">
        <f>IF(Διαμερίσματα!B11="","",Διαμερίσματα!B11)</f>
        <v>Α3</v>
      </c>
      <c r="C13" s="709" t="str">
        <f>IF(Διαμερίσματα!I11="","",Διαμερίσματα!I11)</f>
        <v>Ιδιοκτήτης-6</v>
      </c>
      <c r="D13" s="710"/>
      <c r="E13" s="710"/>
      <c r="F13" s="453">
        <f ca="1">IFERROR(HLOOKUP(ΣΤΟΙΧΕΙΑ!$C$11,Ώρες!$D$29:$R$52,2+A13,FALSE),0)</f>
        <v>0</v>
      </c>
      <c r="G13" s="281" t="str">
        <f>IF(ΣΤΟΙΧΕΙΑ!D46=0,"",ΣΤΟΙΧΕΙΑ!D46)</f>
        <v/>
      </c>
      <c r="H13" s="281">
        <f ca="1">IF(ΣΤΟΙΧΕΙΑ!E46=0,"",ΣΤΟΙΧΕΙΑ!E46)</f>
        <v>29.674311909020545</v>
      </c>
      <c r="I13" s="281" t="str">
        <f>IF(ΣΤΟΙΧΕΙΑ!F46=0,"",ΣΤΟΙΧΕΙΑ!F46)</f>
        <v/>
      </c>
      <c r="J13" s="281" t="str">
        <f>IF(ΣΤΟΙΧΕΙΑ!G46=0,"",ΣΤΟΙΧΕΙΑ!G46)</f>
        <v/>
      </c>
      <c r="K13" s="281" t="str">
        <f>IF(ΣΤΟΙΧΕΙΑ!H46=0,"",ΣΤΟΙΧΕΙΑ!H46)</f>
        <v/>
      </c>
      <c r="L13" s="281" t="str">
        <f>IF(ΣΤΟΙΧΕΙΑ!I46=0,"",ΣΤΟΙΧΕΙΑ!I46)</f>
        <v/>
      </c>
      <c r="M13" s="281" t="str">
        <f>IF(ΣΤΟΙΧΕΙΑ!J46=0,"",ΣΤΟΙΧΕΙΑ!J46)</f>
        <v/>
      </c>
      <c r="N13" s="281" t="str">
        <f>IF(ΣΤΟΙΧΕΙΑ!K46=0,"",ΣΤΟΙΧΕΙΑ!K46)</f>
        <v/>
      </c>
      <c r="O13" s="281" t="str">
        <f>IF(ΣΤΟΙΧΕΙΑ!L46=0,"",ΣΤΟΙΧΕΙΑ!L46)</f>
        <v/>
      </c>
      <c r="P13" s="281" t="str">
        <f>IF(ΣΤΟΙΧΕΙΑ!M46=0,"",ΣΤΟΙΧΕΙΑ!M46)</f>
        <v/>
      </c>
      <c r="Q13" s="281" t="str">
        <f>IF(ΣΤΟΙΧΕΙΑ!N46=0,"",ΣΤΟΙΧΕΙΑ!N46)</f>
        <v/>
      </c>
      <c r="R13" s="281" t="str">
        <f>IF(ΣΤΟΙΧΕΙΑ!O46=0,"",ΣΤΟΙΧΕΙΑ!O46)</f>
        <v/>
      </c>
      <c r="S13" s="281" t="str">
        <f>IF(ΣΤΟΙΧΕΙΑ!P46=0,"",ΣΤΟΙΧΕΙΑ!P46)</f>
        <v/>
      </c>
      <c r="T13" s="159">
        <f t="shared" ca="1" si="6"/>
        <v>29.674311909020545</v>
      </c>
    </row>
    <row r="14" spans="1:20" s="104" customFormat="1" ht="36.950000000000003" customHeight="1">
      <c r="A14" s="130">
        <f t="shared" si="7"/>
        <v>7</v>
      </c>
      <c r="B14" s="130" t="str">
        <f>IF(Διαμερίσματα!B12="","",Διαμερίσματα!B12)</f>
        <v>Α4</v>
      </c>
      <c r="C14" s="709" t="str">
        <f>IF(Διαμερίσματα!I12="","",Διαμερίσματα!I12)</f>
        <v>Ιδιοκτήτης-7</v>
      </c>
      <c r="D14" s="710"/>
      <c r="E14" s="710"/>
      <c r="F14" s="453">
        <f ca="1">IFERROR(HLOOKUP(ΣΤΟΙΧΕΙΑ!$C$11,Ώρες!$D$29:$R$52,2+A14,FALSE),0)</f>
        <v>0</v>
      </c>
      <c r="G14" s="281" t="str">
        <f>IF(ΣΤΟΙΧΕΙΑ!D47=0,"",ΣΤΟΙΧΕΙΑ!D47)</f>
        <v/>
      </c>
      <c r="H14" s="281">
        <f ca="1">IF(ΣΤΟΙΧΕΙΑ!E47=0,"",ΣΤΟΙΧΕΙΑ!E47)</f>
        <v>78.110430280266428</v>
      </c>
      <c r="I14" s="281" t="str">
        <f>IF(ΣΤΟΙΧΕΙΑ!F47=0,"",ΣΤΟΙΧΕΙΑ!F47)</f>
        <v/>
      </c>
      <c r="J14" s="281" t="str">
        <f>IF(ΣΤΟΙΧΕΙΑ!G47=0,"",ΣΤΟΙΧΕΙΑ!G47)</f>
        <v/>
      </c>
      <c r="K14" s="281" t="str">
        <f>IF(ΣΤΟΙΧΕΙΑ!H47=0,"",ΣΤΟΙΧΕΙΑ!H47)</f>
        <v/>
      </c>
      <c r="L14" s="281" t="str">
        <f>IF(ΣΤΟΙΧΕΙΑ!I47=0,"",ΣΤΟΙΧΕΙΑ!I47)</f>
        <v/>
      </c>
      <c r="M14" s="281" t="str">
        <f>IF(ΣΤΟΙΧΕΙΑ!J47=0,"",ΣΤΟΙΧΕΙΑ!J47)</f>
        <v/>
      </c>
      <c r="N14" s="281" t="str">
        <f>IF(ΣΤΟΙΧΕΙΑ!K47=0,"",ΣΤΟΙΧΕΙΑ!K47)</f>
        <v/>
      </c>
      <c r="O14" s="281" t="str">
        <f>IF(ΣΤΟΙΧΕΙΑ!L47=0,"",ΣΤΟΙΧΕΙΑ!L47)</f>
        <v/>
      </c>
      <c r="P14" s="281" t="str">
        <f>IF(ΣΤΟΙΧΕΙΑ!M47=0,"",ΣΤΟΙΧΕΙΑ!M47)</f>
        <v/>
      </c>
      <c r="Q14" s="281" t="str">
        <f>IF(ΣΤΟΙΧΕΙΑ!N47=0,"",ΣΤΟΙΧΕΙΑ!N47)</f>
        <v/>
      </c>
      <c r="R14" s="281" t="str">
        <f>IF(ΣΤΟΙΧΕΙΑ!O47=0,"",ΣΤΟΙΧΕΙΑ!O47)</f>
        <v/>
      </c>
      <c r="S14" s="281" t="str">
        <f>IF(ΣΤΟΙΧΕΙΑ!P47=0,"",ΣΤΟΙΧΕΙΑ!P47)</f>
        <v/>
      </c>
      <c r="T14" s="159">
        <f t="shared" ca="1" si="6"/>
        <v>78.110430280266428</v>
      </c>
    </row>
    <row r="15" spans="1:20" s="104" customFormat="1" ht="36.950000000000003" customHeight="1">
      <c r="A15" s="130">
        <f t="shared" si="7"/>
        <v>8</v>
      </c>
      <c r="B15" s="130" t="str">
        <f>IF(Διαμερίσματα!B13="","",Διαμερίσματα!B13)</f>
        <v>Β1</v>
      </c>
      <c r="C15" s="709" t="str">
        <f>IF(Διαμερίσματα!I13="","",Διαμερίσματα!I13)</f>
        <v>Ιδιοκτήτης-8</v>
      </c>
      <c r="D15" s="710"/>
      <c r="E15" s="710"/>
      <c r="F15" s="453">
        <f ca="1">IFERROR(HLOOKUP(ΣΤΟΙΧΕΙΑ!$C$11,Ώρες!$D$29:$R$52,2+A15,FALSE),0)</f>
        <v>21</v>
      </c>
      <c r="G15" s="281" t="str">
        <f>IF(ΣΤΟΙΧΕΙΑ!D48=0,"",ΣΤΟΙΧΕΙΑ!D48)</f>
        <v/>
      </c>
      <c r="H15" s="281">
        <f ca="1">IF(ΣΤΟΙΧΕΙΑ!E48=0,"",ΣΤΟΙΧΕΙΑ!E48)</f>
        <v>77.398602290764842</v>
      </c>
      <c r="I15" s="281" t="str">
        <f>IF(ΣΤΟΙΧΕΙΑ!F48=0,"",ΣΤΟΙΧΕΙΑ!F48)</f>
        <v/>
      </c>
      <c r="J15" s="281" t="str">
        <f>IF(ΣΤΟΙΧΕΙΑ!G48=0,"",ΣΤΟΙΧΕΙΑ!G48)</f>
        <v/>
      </c>
      <c r="K15" s="281" t="str">
        <f>IF(ΣΤΟΙΧΕΙΑ!H48=0,"",ΣΤΟΙΧΕΙΑ!H48)</f>
        <v/>
      </c>
      <c r="L15" s="281" t="str">
        <f>IF(ΣΤΟΙΧΕΙΑ!I48=0,"",ΣΤΟΙΧΕΙΑ!I48)</f>
        <v/>
      </c>
      <c r="M15" s="281" t="str">
        <f>IF(ΣΤΟΙΧΕΙΑ!J48=0,"",ΣΤΟΙΧΕΙΑ!J48)</f>
        <v/>
      </c>
      <c r="N15" s="281" t="str">
        <f>IF(ΣΤΟΙΧΕΙΑ!K48=0,"",ΣΤΟΙΧΕΙΑ!K48)</f>
        <v/>
      </c>
      <c r="O15" s="281" t="str">
        <f>IF(ΣΤΟΙΧΕΙΑ!L48=0,"",ΣΤΟΙΧΕΙΑ!L48)</f>
        <v/>
      </c>
      <c r="P15" s="281" t="str">
        <f>IF(ΣΤΟΙΧΕΙΑ!M48=0,"",ΣΤΟΙΧΕΙΑ!M48)</f>
        <v/>
      </c>
      <c r="Q15" s="281" t="str">
        <f>IF(ΣΤΟΙΧΕΙΑ!N48=0,"",ΣΤΟΙΧΕΙΑ!N48)</f>
        <v/>
      </c>
      <c r="R15" s="281" t="str">
        <f>IF(ΣΤΟΙΧΕΙΑ!O48=0,"",ΣΤΟΙΧΕΙΑ!O48)</f>
        <v/>
      </c>
      <c r="S15" s="281" t="str">
        <f>IF(ΣΤΟΙΧΕΙΑ!P48=0,"",ΣΤΟΙΧΕΙΑ!P48)</f>
        <v/>
      </c>
      <c r="T15" s="159">
        <f t="shared" ca="1" si="6"/>
        <v>77.398602290764842</v>
      </c>
    </row>
    <row r="16" spans="1:20" s="104" customFormat="1" ht="36.950000000000003" customHeight="1">
      <c r="A16" s="130">
        <f t="shared" si="7"/>
        <v>9</v>
      </c>
      <c r="B16" s="130" t="str">
        <f>IF(Διαμερίσματα!B14="","",Διαμερίσματα!B14)</f>
        <v>Β2</v>
      </c>
      <c r="C16" s="709" t="str">
        <f>IF(Διαμερίσματα!I14="","",Διαμερίσματα!I14)</f>
        <v>Ιδιοκτήτης-9</v>
      </c>
      <c r="D16" s="710"/>
      <c r="E16" s="710"/>
      <c r="F16" s="453">
        <f ca="1">IFERROR(HLOOKUP(ΣΤΟΙΧΕΙΑ!$C$11,Ώρες!$D$29:$R$52,2+A16,FALSE),0)</f>
        <v>12</v>
      </c>
      <c r="G16" s="281" t="str">
        <f>IF(ΣΤΟΙΧΕΙΑ!D49=0,"",ΣΤΟΙΧΕΙΑ!D49)</f>
        <v/>
      </c>
      <c r="H16" s="281">
        <f ca="1">IF(ΣΤΟΙΧΕΙΑ!E49=0,"",ΣΤΟΙΧΕΙΑ!E49)</f>
        <v>133.28128926186497</v>
      </c>
      <c r="I16" s="281" t="str">
        <f>IF(ΣΤΟΙΧΕΙΑ!F49=0,"",ΣΤΟΙΧΕΙΑ!F49)</f>
        <v/>
      </c>
      <c r="J16" s="281" t="str">
        <f>IF(ΣΤΟΙΧΕΙΑ!G49=0,"",ΣΤΟΙΧΕΙΑ!G49)</f>
        <v/>
      </c>
      <c r="K16" s="281" t="str">
        <f>IF(ΣΤΟΙΧΕΙΑ!H49=0,"",ΣΤΟΙΧΕΙΑ!H49)</f>
        <v/>
      </c>
      <c r="L16" s="281" t="str">
        <f>IF(ΣΤΟΙΧΕΙΑ!I49=0,"",ΣΤΟΙΧΕΙΑ!I49)</f>
        <v/>
      </c>
      <c r="M16" s="281" t="str">
        <f>IF(ΣΤΟΙΧΕΙΑ!J49=0,"",ΣΤΟΙΧΕΙΑ!J49)</f>
        <v/>
      </c>
      <c r="N16" s="281" t="str">
        <f>IF(ΣΤΟΙΧΕΙΑ!K49=0,"",ΣΤΟΙΧΕΙΑ!K49)</f>
        <v/>
      </c>
      <c r="O16" s="281" t="str">
        <f>IF(ΣΤΟΙΧΕΙΑ!L49=0,"",ΣΤΟΙΧΕΙΑ!L49)</f>
        <v/>
      </c>
      <c r="P16" s="281" t="str">
        <f>IF(ΣΤΟΙΧΕΙΑ!M49=0,"",ΣΤΟΙΧΕΙΑ!M49)</f>
        <v/>
      </c>
      <c r="Q16" s="281" t="str">
        <f>IF(ΣΤΟΙΧΕΙΑ!N49=0,"",ΣΤΟΙΧΕΙΑ!N49)</f>
        <v/>
      </c>
      <c r="R16" s="281" t="str">
        <f>IF(ΣΤΟΙΧΕΙΑ!O49=0,"",ΣΤΟΙΧΕΙΑ!O49)</f>
        <v/>
      </c>
      <c r="S16" s="281" t="str">
        <f>IF(ΣΤΟΙΧΕΙΑ!P49=0,"",ΣΤΟΙΧΕΙΑ!P49)</f>
        <v/>
      </c>
      <c r="T16" s="159">
        <f t="shared" ca="1" si="6"/>
        <v>133.28128926186497</v>
      </c>
    </row>
    <row r="17" spans="1:20" s="104" customFormat="1" ht="36.950000000000003" customHeight="1">
      <c r="A17" s="130">
        <f t="shared" si="7"/>
        <v>10</v>
      </c>
      <c r="B17" s="130" t="str">
        <f>IF(Διαμερίσματα!B15="","",Διαμερίσματα!B15)</f>
        <v>Β3</v>
      </c>
      <c r="C17" s="709" t="str">
        <f>IF(Διαμερίσματα!I15="","",Διαμερίσματα!I15)</f>
        <v>Ιδιοκτήτης-10</v>
      </c>
      <c r="D17" s="710"/>
      <c r="E17" s="710"/>
      <c r="F17" s="453">
        <f ca="1">IFERROR(HLOOKUP(ΣΤΟΙΧΕΙΑ!$C$11,Ώρες!$D$29:$R$52,2+A17,FALSE),0)</f>
        <v>60</v>
      </c>
      <c r="G17" s="281" t="str">
        <f>IF(ΣΤΟΙΧΕΙΑ!D50=0,"",ΣΤΟΙΧΕΙΑ!D50)</f>
        <v/>
      </c>
      <c r="H17" s="281">
        <f ca="1">IF(ΣΤΟΙΧΕΙΑ!E50=0,"",ΣΤΟΙΧΕΙΑ!E50)</f>
        <v>236.65566490196161</v>
      </c>
      <c r="I17" s="281" t="str">
        <f>IF(ΣΤΟΙΧΕΙΑ!F50=0,"",ΣΤΟΙΧΕΙΑ!F50)</f>
        <v/>
      </c>
      <c r="J17" s="281" t="str">
        <f>IF(ΣΤΟΙΧΕΙΑ!G50=0,"",ΣΤΟΙΧΕΙΑ!G50)</f>
        <v/>
      </c>
      <c r="K17" s="281" t="str">
        <f>IF(ΣΤΟΙΧΕΙΑ!H50=0,"",ΣΤΟΙΧΕΙΑ!H50)</f>
        <v/>
      </c>
      <c r="L17" s="281" t="str">
        <f>IF(ΣΤΟΙΧΕΙΑ!I50=0,"",ΣΤΟΙΧΕΙΑ!I50)</f>
        <v/>
      </c>
      <c r="M17" s="281" t="str">
        <f>IF(ΣΤΟΙΧΕΙΑ!J50=0,"",ΣΤΟΙΧΕΙΑ!J50)</f>
        <v/>
      </c>
      <c r="N17" s="281" t="str">
        <f>IF(ΣΤΟΙΧΕΙΑ!K50=0,"",ΣΤΟΙΧΕΙΑ!K50)</f>
        <v/>
      </c>
      <c r="O17" s="281" t="str">
        <f>IF(ΣΤΟΙΧΕΙΑ!L50=0,"",ΣΤΟΙΧΕΙΑ!L50)</f>
        <v/>
      </c>
      <c r="P17" s="281" t="str">
        <f>IF(ΣΤΟΙΧΕΙΑ!M50=0,"",ΣΤΟΙΧΕΙΑ!M50)</f>
        <v/>
      </c>
      <c r="Q17" s="281" t="str">
        <f>IF(ΣΤΟΙΧΕΙΑ!N50=0,"",ΣΤΟΙΧΕΙΑ!N50)</f>
        <v/>
      </c>
      <c r="R17" s="281" t="str">
        <f>IF(ΣΤΟΙΧΕΙΑ!O50=0,"",ΣΤΟΙΧΕΙΑ!O50)</f>
        <v/>
      </c>
      <c r="S17" s="281" t="str">
        <f>IF(ΣΤΟΙΧΕΙΑ!P50=0,"",ΣΤΟΙΧΕΙΑ!P50)</f>
        <v/>
      </c>
      <c r="T17" s="159">
        <f t="shared" ca="1" si="6"/>
        <v>236.65566490196161</v>
      </c>
    </row>
    <row r="18" spans="1:20" s="463" customFormat="1" ht="36.950000000000003" customHeight="1">
      <c r="A18" s="130">
        <f t="shared" ref="A18:A29" si="8">IF(B18="","",A17+1)</f>
        <v>11</v>
      </c>
      <c r="B18" s="130" t="str">
        <f>IF(Διαμερίσματα!B16="","",Διαμερίσματα!B16)</f>
        <v>Β4</v>
      </c>
      <c r="C18" s="709" t="str">
        <f>IF(Διαμερίσματα!I16="","",Διαμερίσματα!I16)</f>
        <v>Ιδιοκτήτης-11</v>
      </c>
      <c r="D18" s="710"/>
      <c r="E18" s="710"/>
      <c r="F18" s="453">
        <f ca="1">IFERROR(HLOOKUP(ΣΤΟΙΧΕΙΑ!$C$11,Ώρες!$D$29:$R$52,2+A18,FALSE),0)</f>
        <v>72</v>
      </c>
      <c r="G18" s="281" t="str">
        <f>IF(ΣΤΟΙΧΕΙΑ!D51=0,"",ΣΤΟΙΧΕΙΑ!D51)</f>
        <v/>
      </c>
      <c r="H18" s="281" t="str">
        <f ca="1">IF(ΣΤΟΙΧΕΙΑ!E51=0,"",ΣΤΟΙΧΕΙΑ!E51)</f>
        <v/>
      </c>
      <c r="I18" s="281" t="str">
        <f>IF(ΣΤΟΙΧΕΙΑ!F51=0,"",ΣΤΟΙΧΕΙΑ!F51)</f>
        <v/>
      </c>
      <c r="J18" s="281" t="str">
        <f>IF(ΣΤΟΙΧΕΙΑ!G51=0,"",ΣΤΟΙΧΕΙΑ!G51)</f>
        <v/>
      </c>
      <c r="K18" s="281" t="str">
        <f>IF(ΣΤΟΙΧΕΙΑ!H51=0,"",ΣΤΟΙΧΕΙΑ!H51)</f>
        <v/>
      </c>
      <c r="L18" s="281" t="str">
        <f>IF(ΣΤΟΙΧΕΙΑ!I51=0,"",ΣΤΟΙΧΕΙΑ!I51)</f>
        <v/>
      </c>
      <c r="M18" s="281" t="str">
        <f>IF(ΣΤΟΙΧΕΙΑ!J51=0,"",ΣΤΟΙΧΕΙΑ!J51)</f>
        <v/>
      </c>
      <c r="N18" s="281" t="str">
        <f>IF(ΣΤΟΙΧΕΙΑ!K51=0,"",ΣΤΟΙΧΕΙΑ!K51)</f>
        <v/>
      </c>
      <c r="O18" s="281" t="str">
        <f>IF(ΣΤΟΙΧΕΙΑ!L51=0,"",ΣΤΟΙΧΕΙΑ!L51)</f>
        <v/>
      </c>
      <c r="P18" s="281" t="str">
        <f>IF(ΣΤΟΙΧΕΙΑ!M51=0,"",ΣΤΟΙΧΕΙΑ!M51)</f>
        <v/>
      </c>
      <c r="Q18" s="281" t="str">
        <f>IF(ΣΤΟΙΧΕΙΑ!N51=0,"",ΣΤΟΙΧΕΙΑ!N51)</f>
        <v/>
      </c>
      <c r="R18" s="281" t="str">
        <f>IF(ΣΤΟΙΧΕΙΑ!O51=0,"",ΣΤΟΙΧΕΙΑ!O51)</f>
        <v/>
      </c>
      <c r="S18" s="281" t="str">
        <f>IF(ΣΤΟΙΧΕΙΑ!P51=0,"",ΣΤΟΙΧΕΙΑ!P51)</f>
        <v/>
      </c>
      <c r="T18" s="159" t="str">
        <f t="shared" ref="T18" ca="1" si="9">IF(SUM(G18:S18)=0,"",SUM(G18:S18))</f>
        <v/>
      </c>
    </row>
    <row r="19" spans="1:20" s="540" customFormat="1" ht="36.950000000000003" customHeight="1">
      <c r="A19" s="130">
        <f t="shared" si="8"/>
        <v>12</v>
      </c>
      <c r="B19" s="130" t="str">
        <f>IF(Διαμερίσματα!B17="","",Διαμερίσματα!B17)</f>
        <v>Γ1</v>
      </c>
      <c r="C19" s="709" t="str">
        <f>IF(Διαμερίσματα!I17="","",Διαμερίσματα!I17)</f>
        <v>Ιδιοκτήτης-12</v>
      </c>
      <c r="D19" s="710"/>
      <c r="E19" s="710"/>
      <c r="F19" s="453">
        <f ca="1">IFERROR(HLOOKUP(ΣΤΟΙΧΕΙΑ!$C$11,Ώρες!$D$29:$R$52,2+A19,FALSE),0)</f>
        <v>0</v>
      </c>
      <c r="G19" s="281" t="str">
        <f>IF(ΣΤΟΙΧΕΙΑ!D62=0,"",ΣΤΟΙΧΕΙΑ!D62)</f>
        <v/>
      </c>
      <c r="H19" s="281">
        <f ca="1">IF(ΣΤΟΙΧΕΙΑ!E52=0,"",ΣΤΟΙΧΕΙΑ!E52)</f>
        <v>26.341334434909303</v>
      </c>
      <c r="I19" s="281" t="str">
        <f>IF(ΣΤΟΙΧΕΙΑ!F52=0,"",ΣΤΟΙΧΕΙΑ!F52)</f>
        <v/>
      </c>
      <c r="J19" s="281" t="str">
        <f>IF(ΣΤΟΙΧΕΙΑ!G52=0,"",ΣΤΟΙΧΕΙΑ!G52)</f>
        <v/>
      </c>
      <c r="K19" s="281" t="str">
        <f>IF(ΣΤΟΙΧΕΙΑ!H52=0,"",ΣΤΟΙΧΕΙΑ!H52)</f>
        <v/>
      </c>
      <c r="L19" s="281" t="str">
        <f>IF(ΣΤΟΙΧΕΙΑ!I52=0,"",ΣΤΟΙΧΕΙΑ!I52)</f>
        <v/>
      </c>
      <c r="M19" s="281" t="str">
        <f>IF(ΣΤΟΙΧΕΙΑ!J52=0,"",ΣΤΟΙΧΕΙΑ!J52)</f>
        <v/>
      </c>
      <c r="N19" s="281" t="str">
        <f>IF(ΣΤΟΙΧΕΙΑ!K52=0,"",ΣΤΟΙΧΕΙΑ!K52)</f>
        <v/>
      </c>
      <c r="O19" s="281" t="str">
        <f>IF(ΣΤΟΙΧΕΙΑ!L52=0,"",ΣΤΟΙΧΕΙΑ!L52)</f>
        <v/>
      </c>
      <c r="P19" s="281" t="str">
        <f>IF(ΣΤΟΙΧΕΙΑ!M52=0,"",ΣΤΟΙΧΕΙΑ!M52)</f>
        <v/>
      </c>
      <c r="Q19" s="281" t="str">
        <f>IF(ΣΤΟΙΧΕΙΑ!N52=0,"",ΣΤΟΙΧΕΙΑ!N52)</f>
        <v/>
      </c>
      <c r="R19" s="281" t="str">
        <f>IF(ΣΤΟΙΧΕΙΑ!O52=0,"",ΣΤΟΙΧΕΙΑ!O52)</f>
        <v/>
      </c>
      <c r="S19" s="281" t="str">
        <f>IF(ΣΤΟΙΧΕΙΑ!P52=0,"",ΣΤΟΙΧΕΙΑ!P52)</f>
        <v/>
      </c>
      <c r="T19" s="159">
        <f t="shared" ref="T19:T29" ca="1" si="10">IF(SUM(G19:S19)=0,"",SUM(G19:S19))</f>
        <v>26.341334434909303</v>
      </c>
    </row>
    <row r="20" spans="1:20" s="540" customFormat="1" ht="36.950000000000003" customHeight="1">
      <c r="A20" s="130">
        <f t="shared" si="8"/>
        <v>13</v>
      </c>
      <c r="B20" s="130" t="str">
        <f>IF(Διαμερίσματα!B18="","",Διαμερίσματα!B18)</f>
        <v>Γ2</v>
      </c>
      <c r="C20" s="709" t="str">
        <f>IF(Διαμερίσματα!I18="","",Διαμερίσματα!I18)</f>
        <v>Ιδιοκτήτης-13</v>
      </c>
      <c r="D20" s="710"/>
      <c r="E20" s="710"/>
      <c r="F20" s="453">
        <f ca="1">IFERROR(HLOOKUP(ΣΤΟΙΧΕΙΑ!$C$11,Ώρες!$D$29:$R$52,2+A20,FALSE),0)</f>
        <v>0</v>
      </c>
      <c r="G20" s="281" t="str">
        <f>IF(ΣΤΟΙΧΕΙΑ!D63=0,"",ΣΤΟΙΧΕΙΑ!D63)</f>
        <v/>
      </c>
      <c r="H20" s="281">
        <f ca="1">IF(ΣΤΟΙΧΕΙΑ!E53=0,"",ΣΤΟΙΧΕΙΑ!E53)</f>
        <v>26.37122660956501</v>
      </c>
      <c r="I20" s="281" t="str">
        <f>IF(ΣΤΟΙΧΕΙΑ!F53=0,"",ΣΤΟΙΧΕΙΑ!F53)</f>
        <v/>
      </c>
      <c r="J20" s="281" t="str">
        <f>IF(ΣΤΟΙΧΕΙΑ!G53=0,"",ΣΤΟΙΧΕΙΑ!G53)</f>
        <v/>
      </c>
      <c r="K20" s="281" t="str">
        <f>IF(ΣΤΟΙΧΕΙΑ!H53=0,"",ΣΤΟΙΧΕΙΑ!H53)</f>
        <v/>
      </c>
      <c r="L20" s="281" t="str">
        <f>IF(ΣΤΟΙΧΕΙΑ!I53=0,"",ΣΤΟΙΧΕΙΑ!I53)</f>
        <v/>
      </c>
      <c r="M20" s="281" t="str">
        <f>IF(ΣΤΟΙΧΕΙΑ!J53=0,"",ΣΤΟΙΧΕΙΑ!J53)</f>
        <v/>
      </c>
      <c r="N20" s="281" t="str">
        <f>IF(ΣΤΟΙΧΕΙΑ!K53=0,"",ΣΤΟΙΧΕΙΑ!K53)</f>
        <v/>
      </c>
      <c r="O20" s="281" t="str">
        <f>IF(ΣΤΟΙΧΕΙΑ!L53=0,"",ΣΤΟΙΧΕΙΑ!L53)</f>
        <v/>
      </c>
      <c r="P20" s="281" t="str">
        <f>IF(ΣΤΟΙΧΕΙΑ!M53=0,"",ΣΤΟΙΧΕΙΑ!M53)</f>
        <v/>
      </c>
      <c r="Q20" s="281" t="str">
        <f>IF(ΣΤΟΙΧΕΙΑ!N53=0,"",ΣΤΟΙΧΕΙΑ!N53)</f>
        <v/>
      </c>
      <c r="R20" s="281" t="str">
        <f>IF(ΣΤΟΙΧΕΙΑ!O53=0,"",ΣΤΟΙΧΕΙΑ!O53)</f>
        <v/>
      </c>
      <c r="S20" s="281" t="str">
        <f>IF(ΣΤΟΙΧΕΙΑ!P53=0,"",ΣΤΟΙΧΕΙΑ!P53)</f>
        <v/>
      </c>
      <c r="T20" s="159">
        <f t="shared" ca="1" si="10"/>
        <v>26.37122660956501</v>
      </c>
    </row>
    <row r="21" spans="1:20" s="540" customFormat="1" ht="36.950000000000003" customHeight="1">
      <c r="A21" s="130">
        <f t="shared" si="8"/>
        <v>14</v>
      </c>
      <c r="B21" s="130" t="str">
        <f>IF(Διαμερίσματα!B19="","",Διαμερίσματα!B19)</f>
        <v>Γ3</v>
      </c>
      <c r="C21" s="709" t="str">
        <f>IF(Διαμερίσματα!I19="","",Διαμερίσματα!I19)</f>
        <v>Ιδιοκτήτης-14</v>
      </c>
      <c r="D21" s="710"/>
      <c r="E21" s="710"/>
      <c r="F21" s="453">
        <f ca="1">IFERROR(HLOOKUP(ΣΤΟΙΧΕΙΑ!$C$11,Ώρες!$D$29:$R$52,2+A21,FALSE),0)</f>
        <v>0</v>
      </c>
      <c r="G21" s="281" t="str">
        <f>IF(ΣΤΟΙΧΕΙΑ!D64=0,"",ΣΤΟΙΧΕΙΑ!D64)</f>
        <v/>
      </c>
      <c r="H21" s="281">
        <f ca="1">IF(ΣΤΟΙΧΕΙΑ!E54=0,"",ΣΤΟΙΧΕΙΑ!E54)</f>
        <v>26.37122660956501</v>
      </c>
      <c r="I21" s="281" t="str">
        <f>IF(ΣΤΟΙΧΕΙΑ!F54=0,"",ΣΤΟΙΧΕΙΑ!F54)</f>
        <v/>
      </c>
      <c r="J21" s="281" t="str">
        <f>IF(ΣΤΟΙΧΕΙΑ!G54=0,"",ΣΤΟΙΧΕΙΑ!G54)</f>
        <v/>
      </c>
      <c r="K21" s="281" t="str">
        <f>IF(ΣΤΟΙΧΕΙΑ!H54=0,"",ΣΤΟΙΧΕΙΑ!H54)</f>
        <v/>
      </c>
      <c r="L21" s="281" t="str">
        <f>IF(ΣΤΟΙΧΕΙΑ!I54=0,"",ΣΤΟΙΧΕΙΑ!I54)</f>
        <v/>
      </c>
      <c r="M21" s="281" t="str">
        <f>IF(ΣΤΟΙΧΕΙΑ!J54=0,"",ΣΤΟΙΧΕΙΑ!J54)</f>
        <v/>
      </c>
      <c r="N21" s="281" t="str">
        <f>IF(ΣΤΟΙΧΕΙΑ!K54=0,"",ΣΤΟΙΧΕΙΑ!K54)</f>
        <v/>
      </c>
      <c r="O21" s="281" t="str">
        <f>IF(ΣΤΟΙΧΕΙΑ!L54=0,"",ΣΤΟΙΧΕΙΑ!L54)</f>
        <v/>
      </c>
      <c r="P21" s="281" t="str">
        <f>IF(ΣΤΟΙΧΕΙΑ!M54=0,"",ΣΤΟΙΧΕΙΑ!M54)</f>
        <v/>
      </c>
      <c r="Q21" s="281" t="str">
        <f>IF(ΣΤΟΙΧΕΙΑ!N54=0,"",ΣΤΟΙΧΕΙΑ!N54)</f>
        <v/>
      </c>
      <c r="R21" s="281" t="str">
        <f>IF(ΣΤΟΙΧΕΙΑ!O54=0,"",ΣΤΟΙΧΕΙΑ!O54)</f>
        <v/>
      </c>
      <c r="S21" s="281" t="str">
        <f>IF(ΣΤΟΙΧΕΙΑ!P54=0,"",ΣΤΟΙΧΕΙΑ!P54)</f>
        <v/>
      </c>
      <c r="T21" s="159">
        <f t="shared" ca="1" si="10"/>
        <v>26.37122660956501</v>
      </c>
    </row>
    <row r="22" spans="1:20" s="540" customFormat="1" ht="36.950000000000003" customHeight="1">
      <c r="A22" s="130">
        <f t="shared" si="8"/>
        <v>15</v>
      </c>
      <c r="B22" s="130" t="str">
        <f>IF(Διαμερίσματα!B20="","",Διαμερίσματα!B20)</f>
        <v>Γ4</v>
      </c>
      <c r="C22" s="709" t="str">
        <f>IF(Διαμερίσματα!I20="","",Διαμερίσματα!I20)</f>
        <v>Ιδιοκτήτης-15</v>
      </c>
      <c r="D22" s="710"/>
      <c r="E22" s="710"/>
      <c r="F22" s="453">
        <f ca="1">IFERROR(HLOOKUP(ΣΤΟΙΧΕΙΑ!$C$11,Ώρες!$D$29:$R$52,2+A22,FALSE),0)</f>
        <v>0</v>
      </c>
      <c r="G22" s="281" t="str">
        <f>IF(ΣΤΟΙΧΕΙΑ!D65=0,"",ΣΤΟΙΧΕΙΑ!D65)</f>
        <v/>
      </c>
      <c r="H22" s="281">
        <f ca="1">IF(ΣΤΟΙΧΕΙΑ!E55=0,"",ΣΤΟΙΧΕΙΑ!E55)</f>
        <v>26.37122660956501</v>
      </c>
      <c r="I22" s="281" t="str">
        <f>IF(ΣΤΟΙΧΕΙΑ!F55=0,"",ΣΤΟΙΧΕΙΑ!F55)</f>
        <v/>
      </c>
      <c r="J22" s="281" t="str">
        <f>IF(ΣΤΟΙΧΕΙΑ!G55=0,"",ΣΤΟΙΧΕΙΑ!G55)</f>
        <v/>
      </c>
      <c r="K22" s="281" t="str">
        <f>IF(ΣΤΟΙΧΕΙΑ!H55=0,"",ΣΤΟΙΧΕΙΑ!H55)</f>
        <v/>
      </c>
      <c r="L22" s="281" t="str">
        <f>IF(ΣΤΟΙΧΕΙΑ!I55=0,"",ΣΤΟΙΧΕΙΑ!I55)</f>
        <v/>
      </c>
      <c r="M22" s="281" t="str">
        <f>IF(ΣΤΟΙΧΕΙΑ!J55=0,"",ΣΤΟΙΧΕΙΑ!J55)</f>
        <v/>
      </c>
      <c r="N22" s="281" t="str">
        <f>IF(ΣΤΟΙΧΕΙΑ!K55=0,"",ΣΤΟΙΧΕΙΑ!K55)</f>
        <v/>
      </c>
      <c r="O22" s="281" t="str">
        <f>IF(ΣΤΟΙΧΕΙΑ!L55=0,"",ΣΤΟΙΧΕΙΑ!L55)</f>
        <v/>
      </c>
      <c r="P22" s="281" t="str">
        <f>IF(ΣΤΟΙΧΕΙΑ!M55=0,"",ΣΤΟΙΧΕΙΑ!M55)</f>
        <v/>
      </c>
      <c r="Q22" s="281" t="str">
        <f>IF(ΣΤΟΙΧΕΙΑ!N55=0,"",ΣΤΟΙΧΕΙΑ!N55)</f>
        <v/>
      </c>
      <c r="R22" s="281" t="str">
        <f>IF(ΣΤΟΙΧΕΙΑ!O55=0,"",ΣΤΟΙΧΕΙΑ!O55)</f>
        <v/>
      </c>
      <c r="S22" s="281" t="str">
        <f>IF(ΣΤΟΙΧΕΙΑ!P55=0,"",ΣΤΟΙΧΕΙΑ!P55)</f>
        <v/>
      </c>
      <c r="T22" s="159">
        <f t="shared" ca="1" si="10"/>
        <v>26.37122660956501</v>
      </c>
    </row>
    <row r="23" spans="1:20" s="540" customFormat="1" ht="36.950000000000003" customHeight="1">
      <c r="A23" s="130">
        <f t="shared" si="8"/>
        <v>16</v>
      </c>
      <c r="B23" s="130" t="str">
        <f>IF(Διαμερίσματα!B21="","",Διαμερίσματα!B21)</f>
        <v>Δ1</v>
      </c>
      <c r="C23" s="709" t="str">
        <f>IF(Διαμερίσματα!I21="","",Διαμερίσματα!I21)</f>
        <v>Ιδιοκτήτης-16</v>
      </c>
      <c r="D23" s="710"/>
      <c r="E23" s="710"/>
      <c r="F23" s="453">
        <f ca="1">IFERROR(HLOOKUP(ΣΤΟΙΧΕΙΑ!$C$11,Ώρες!$D$29:$R$52,2+A23,FALSE),0)</f>
        <v>0</v>
      </c>
      <c r="G23" s="281" t="str">
        <f>IF(ΣΤΟΙΧΕΙΑ!D66=0,"",ΣΤΟΙΧΕΙΑ!D66)</f>
        <v/>
      </c>
      <c r="H23" s="281">
        <f ca="1">IF(ΣΤΟΙΧΕΙΑ!E56=0,"",ΣΤΟΙΧΕΙΑ!E56)</f>
        <v>26.37122660956501</v>
      </c>
      <c r="I23" s="281" t="str">
        <f>IF(ΣΤΟΙΧΕΙΑ!F56=0,"",ΣΤΟΙΧΕΙΑ!F56)</f>
        <v/>
      </c>
      <c r="J23" s="281" t="str">
        <f>IF(ΣΤΟΙΧΕΙΑ!G56=0,"",ΣΤΟΙΧΕΙΑ!G56)</f>
        <v/>
      </c>
      <c r="K23" s="281" t="str">
        <f>IF(ΣΤΟΙΧΕΙΑ!H56=0,"",ΣΤΟΙΧΕΙΑ!H56)</f>
        <v/>
      </c>
      <c r="L23" s="281" t="str">
        <f>IF(ΣΤΟΙΧΕΙΑ!I56=0,"",ΣΤΟΙΧΕΙΑ!I56)</f>
        <v/>
      </c>
      <c r="M23" s="281" t="str">
        <f>IF(ΣΤΟΙΧΕΙΑ!J56=0,"",ΣΤΟΙΧΕΙΑ!J56)</f>
        <v/>
      </c>
      <c r="N23" s="281" t="str">
        <f>IF(ΣΤΟΙΧΕΙΑ!K56=0,"",ΣΤΟΙΧΕΙΑ!K56)</f>
        <v/>
      </c>
      <c r="O23" s="281" t="str">
        <f>IF(ΣΤΟΙΧΕΙΑ!L56=0,"",ΣΤΟΙΧΕΙΑ!L56)</f>
        <v/>
      </c>
      <c r="P23" s="281" t="str">
        <f>IF(ΣΤΟΙΧΕΙΑ!M56=0,"",ΣΤΟΙΧΕΙΑ!M56)</f>
        <v/>
      </c>
      <c r="Q23" s="281" t="str">
        <f>IF(ΣΤΟΙΧΕΙΑ!N56=0,"",ΣΤΟΙΧΕΙΑ!N56)</f>
        <v/>
      </c>
      <c r="R23" s="281" t="str">
        <f>IF(ΣΤΟΙΧΕΙΑ!O56=0,"",ΣΤΟΙΧΕΙΑ!O56)</f>
        <v/>
      </c>
      <c r="S23" s="281" t="str">
        <f>IF(ΣΤΟΙΧΕΙΑ!P56=0,"",ΣΤΟΙΧΕΙΑ!P56)</f>
        <v/>
      </c>
      <c r="T23" s="159">
        <f t="shared" ca="1" si="10"/>
        <v>26.37122660956501</v>
      </c>
    </row>
    <row r="24" spans="1:20" s="540" customFormat="1" ht="36.950000000000003" customHeight="1">
      <c r="A24" s="130">
        <f t="shared" si="8"/>
        <v>17</v>
      </c>
      <c r="B24" s="130" t="str">
        <f>IF(Διαμερίσματα!B22="","",Διαμερίσματα!B22)</f>
        <v>Δ2</v>
      </c>
      <c r="C24" s="709" t="str">
        <f>IF(Διαμερίσματα!I22="","",Διαμερίσματα!I22)</f>
        <v>Ιδιοκτήτης-17</v>
      </c>
      <c r="D24" s="710"/>
      <c r="E24" s="710"/>
      <c r="F24" s="453">
        <f ca="1">IFERROR(HLOOKUP(ΣΤΟΙΧΕΙΑ!$C$11,Ώρες!$D$29:$R$52,2+A24,FALSE),0)</f>
        <v>0</v>
      </c>
      <c r="G24" s="281" t="str">
        <f>IF(ΣΤΟΙΧΕΙΑ!D67=0,"",ΣΤΟΙΧΕΙΑ!D67)</f>
        <v/>
      </c>
      <c r="H24" s="281">
        <f ca="1">IF(ΣΤΟΙΧΕΙΑ!E57=0,"",ΣΤΟΙΧΕΙΑ!E57)</f>
        <v>26.37122660956501</v>
      </c>
      <c r="I24" s="281" t="str">
        <f>IF(ΣΤΟΙΧΕΙΑ!F57=0,"",ΣΤΟΙΧΕΙΑ!F57)</f>
        <v/>
      </c>
      <c r="J24" s="281" t="str">
        <f>IF(ΣΤΟΙΧΕΙΑ!G57=0,"",ΣΤΟΙΧΕΙΑ!G57)</f>
        <v/>
      </c>
      <c r="K24" s="281" t="str">
        <f>IF(ΣΤΟΙΧΕΙΑ!H57=0,"",ΣΤΟΙΧΕΙΑ!H57)</f>
        <v/>
      </c>
      <c r="L24" s="281" t="str">
        <f>IF(ΣΤΟΙΧΕΙΑ!I57=0,"",ΣΤΟΙΧΕΙΑ!I57)</f>
        <v/>
      </c>
      <c r="M24" s="281" t="str">
        <f>IF(ΣΤΟΙΧΕΙΑ!J57=0,"",ΣΤΟΙΧΕΙΑ!J57)</f>
        <v/>
      </c>
      <c r="N24" s="281" t="str">
        <f>IF(ΣΤΟΙΧΕΙΑ!K57=0,"",ΣΤΟΙΧΕΙΑ!K57)</f>
        <v/>
      </c>
      <c r="O24" s="281" t="str">
        <f>IF(ΣΤΟΙΧΕΙΑ!L57=0,"",ΣΤΟΙΧΕΙΑ!L57)</f>
        <v/>
      </c>
      <c r="P24" s="281" t="str">
        <f>IF(ΣΤΟΙΧΕΙΑ!M57=0,"",ΣΤΟΙΧΕΙΑ!M57)</f>
        <v/>
      </c>
      <c r="Q24" s="281" t="str">
        <f>IF(ΣΤΟΙΧΕΙΑ!N57=0,"",ΣΤΟΙΧΕΙΑ!N57)</f>
        <v/>
      </c>
      <c r="R24" s="281" t="str">
        <f>IF(ΣΤΟΙΧΕΙΑ!O57=0,"",ΣΤΟΙΧΕΙΑ!O57)</f>
        <v/>
      </c>
      <c r="S24" s="281" t="str">
        <f>IF(ΣΤΟΙΧΕΙΑ!P57=0,"",ΣΤΟΙΧΕΙΑ!P57)</f>
        <v/>
      </c>
      <c r="T24" s="159">
        <f t="shared" ca="1" si="10"/>
        <v>26.37122660956501</v>
      </c>
    </row>
    <row r="25" spans="1:20" s="540" customFormat="1" ht="36.950000000000003" customHeight="1">
      <c r="A25" s="130">
        <f t="shared" si="8"/>
        <v>18</v>
      </c>
      <c r="B25" s="130" t="str">
        <f>IF(Διαμερίσματα!B23="","",Διαμερίσματα!B23)</f>
        <v>Δ3</v>
      </c>
      <c r="C25" s="709" t="str">
        <f>IF(Διαμερίσματα!I23="","",Διαμερίσματα!I23)</f>
        <v>Ιδιοκτήτης-18</v>
      </c>
      <c r="D25" s="710"/>
      <c r="E25" s="710"/>
      <c r="F25" s="453">
        <f ca="1">IFERROR(HLOOKUP(ΣΤΟΙΧΕΙΑ!$C$11,Ώρες!$D$29:$R$52,2+A25,FALSE),0)</f>
        <v>0</v>
      </c>
      <c r="G25" s="281" t="str">
        <f>IF(ΣΤΟΙΧΕΙΑ!D68=0,"",ΣΤΟΙΧΕΙΑ!D68)</f>
        <v/>
      </c>
      <c r="H25" s="281">
        <f ca="1">IF(ΣΤΟΙΧΕΙΑ!E58=0,"",ΣΤΟΙΧΕΙΑ!E58)</f>
        <v>26.518445453577037</v>
      </c>
      <c r="I25" s="281" t="str">
        <f>IF(ΣΤΟΙΧΕΙΑ!F58=0,"",ΣΤΟΙΧΕΙΑ!F58)</f>
        <v/>
      </c>
      <c r="J25" s="281" t="str">
        <f>IF(ΣΤΟΙΧΕΙΑ!G58=0,"",ΣΤΟΙΧΕΙΑ!G58)</f>
        <v/>
      </c>
      <c r="K25" s="281" t="str">
        <f>IF(ΣΤΟΙΧΕΙΑ!H58=0,"",ΣΤΟΙΧΕΙΑ!H58)</f>
        <v/>
      </c>
      <c r="L25" s="281" t="str">
        <f>IF(ΣΤΟΙΧΕΙΑ!I58=0,"",ΣΤΟΙΧΕΙΑ!I58)</f>
        <v/>
      </c>
      <c r="M25" s="281" t="str">
        <f>IF(ΣΤΟΙΧΕΙΑ!J58=0,"",ΣΤΟΙΧΕΙΑ!J58)</f>
        <v/>
      </c>
      <c r="N25" s="281" t="str">
        <f>IF(ΣΤΟΙΧΕΙΑ!K58=0,"",ΣΤΟΙΧΕΙΑ!K58)</f>
        <v/>
      </c>
      <c r="O25" s="281" t="str">
        <f>IF(ΣΤΟΙΧΕΙΑ!L58=0,"",ΣΤΟΙΧΕΙΑ!L58)</f>
        <v/>
      </c>
      <c r="P25" s="281" t="str">
        <f>IF(ΣΤΟΙΧΕΙΑ!M58=0,"",ΣΤΟΙΧΕΙΑ!M58)</f>
        <v/>
      </c>
      <c r="Q25" s="281" t="str">
        <f>IF(ΣΤΟΙΧΕΙΑ!N58=0,"",ΣΤΟΙΧΕΙΑ!N58)</f>
        <v/>
      </c>
      <c r="R25" s="281" t="str">
        <f>IF(ΣΤΟΙΧΕΙΑ!O58=0,"",ΣΤΟΙΧΕΙΑ!O58)</f>
        <v/>
      </c>
      <c r="S25" s="281" t="str">
        <f>IF(ΣΤΟΙΧΕΙΑ!P58=0,"",ΣΤΟΙΧΕΙΑ!P58)</f>
        <v/>
      </c>
      <c r="T25" s="159">
        <f t="shared" ca="1" si="10"/>
        <v>26.518445453577037</v>
      </c>
    </row>
    <row r="26" spans="1:20" s="540" customFormat="1" ht="36.950000000000003" customHeight="1">
      <c r="A26" s="130">
        <f t="shared" si="8"/>
        <v>19</v>
      </c>
      <c r="B26" s="130" t="str">
        <f>IF(Διαμερίσματα!B24="","",Διαμερίσματα!B24)</f>
        <v>Δ4</v>
      </c>
      <c r="C26" s="709" t="str">
        <f>IF(Διαμερίσματα!I24="","",Διαμερίσματα!I24)</f>
        <v>Ιδιοκτήτης-19</v>
      </c>
      <c r="D26" s="710"/>
      <c r="E26" s="710"/>
      <c r="F26" s="453">
        <f ca="1">IFERROR(HLOOKUP(ΣΤΟΙΧΕΙΑ!$C$11,Ώρες!$D$29:$R$52,2+A26,FALSE),0)</f>
        <v>0</v>
      </c>
      <c r="G26" s="281" t="str">
        <f>IF(ΣΤΟΙΧΕΙΑ!D69=0,"",ΣΤΟΙΧΕΙΑ!D69)</f>
        <v/>
      </c>
      <c r="H26" s="281">
        <f ca="1">IF(ΣΤΟΙΧΕΙΑ!E59=0,"",ΣΤΟΙΧΕΙΑ!E59)</f>
        <v>26.37122660956501</v>
      </c>
      <c r="I26" s="281" t="str">
        <f>IF(ΣΤΟΙΧΕΙΑ!F59=0,"",ΣΤΟΙΧΕΙΑ!F59)</f>
        <v/>
      </c>
      <c r="J26" s="281" t="str">
        <f>IF(ΣΤΟΙΧΕΙΑ!G59=0,"",ΣΤΟΙΧΕΙΑ!G59)</f>
        <v/>
      </c>
      <c r="K26" s="281" t="str">
        <f>IF(ΣΤΟΙΧΕΙΑ!H59=0,"",ΣΤΟΙΧΕΙΑ!H59)</f>
        <v/>
      </c>
      <c r="L26" s="281" t="str">
        <f>IF(ΣΤΟΙΧΕΙΑ!I59=0,"",ΣΤΟΙΧΕΙΑ!I59)</f>
        <v/>
      </c>
      <c r="M26" s="281" t="str">
        <f>IF(ΣΤΟΙΧΕΙΑ!J59=0,"",ΣΤΟΙΧΕΙΑ!J59)</f>
        <v/>
      </c>
      <c r="N26" s="281" t="str">
        <f>IF(ΣΤΟΙΧΕΙΑ!K59=0,"",ΣΤΟΙΧΕΙΑ!K59)</f>
        <v/>
      </c>
      <c r="O26" s="281" t="str">
        <f>IF(ΣΤΟΙΧΕΙΑ!L59=0,"",ΣΤΟΙΧΕΙΑ!L59)</f>
        <v/>
      </c>
      <c r="P26" s="281" t="str">
        <f>IF(ΣΤΟΙΧΕΙΑ!M59=0,"",ΣΤΟΙΧΕΙΑ!M59)</f>
        <v/>
      </c>
      <c r="Q26" s="281" t="str">
        <f>IF(ΣΤΟΙΧΕΙΑ!N59=0,"",ΣΤΟΙΧΕΙΑ!N59)</f>
        <v/>
      </c>
      <c r="R26" s="281" t="str">
        <f>IF(ΣΤΟΙΧΕΙΑ!O59=0,"",ΣΤΟΙΧΕΙΑ!O59)</f>
        <v/>
      </c>
      <c r="S26" s="281" t="str">
        <f>IF(ΣΤΟΙΧΕΙΑ!P59=0,"",ΣΤΟΙΧΕΙΑ!P59)</f>
        <v/>
      </c>
      <c r="T26" s="159">
        <f t="shared" ca="1" si="10"/>
        <v>26.37122660956501</v>
      </c>
    </row>
    <row r="27" spans="1:20" s="540" customFormat="1" ht="36.950000000000003" customHeight="1">
      <c r="A27" s="130">
        <f t="shared" si="8"/>
        <v>20</v>
      </c>
      <c r="B27" s="130" t="str">
        <f>IF(Διαμερίσματα!B25="","",Διαμερίσματα!B25)</f>
        <v>Ε1</v>
      </c>
      <c r="C27" s="709" t="str">
        <f>IF(Διαμερίσματα!I25="","",Διαμερίσματα!I25)</f>
        <v>Ιδιοκτήτης-20</v>
      </c>
      <c r="D27" s="710"/>
      <c r="E27" s="710"/>
      <c r="F27" s="453">
        <f ca="1">IFERROR(HLOOKUP(ΣΤΟΙΧΕΙΑ!$C$11,Ώρες!$D$29:$R$52,2+A27,FALSE),0)</f>
        <v>0</v>
      </c>
      <c r="G27" s="281" t="str">
        <f>IF(ΣΤΟΙΧΕΙΑ!D70=0,"",ΣΤΟΙΧΕΙΑ!D70)</f>
        <v/>
      </c>
      <c r="H27" s="281">
        <f ca="1">IF(ΣΤΟΙΧΕΙΑ!E60=0,"",ΣΤΟΙΧΕΙΑ!E60)</f>
        <v>26.37122660956501</v>
      </c>
      <c r="I27" s="281" t="str">
        <f>IF(ΣΤΟΙΧΕΙΑ!F60=0,"",ΣΤΟΙΧΕΙΑ!F60)</f>
        <v/>
      </c>
      <c r="J27" s="281" t="str">
        <f>IF(ΣΤΟΙΧΕΙΑ!G60=0,"",ΣΤΟΙΧΕΙΑ!G60)</f>
        <v/>
      </c>
      <c r="K27" s="281" t="str">
        <f>IF(ΣΤΟΙΧΕΙΑ!H60=0,"",ΣΤΟΙΧΕΙΑ!H60)</f>
        <v/>
      </c>
      <c r="L27" s="281" t="str">
        <f>IF(ΣΤΟΙΧΕΙΑ!I60=0,"",ΣΤΟΙΧΕΙΑ!I60)</f>
        <v/>
      </c>
      <c r="M27" s="281" t="str">
        <f>IF(ΣΤΟΙΧΕΙΑ!J60=0,"",ΣΤΟΙΧΕΙΑ!J60)</f>
        <v/>
      </c>
      <c r="N27" s="281" t="str">
        <f>IF(ΣΤΟΙΧΕΙΑ!K60=0,"",ΣΤΟΙΧΕΙΑ!K60)</f>
        <v/>
      </c>
      <c r="O27" s="281" t="str">
        <f>IF(ΣΤΟΙΧΕΙΑ!L60=0,"",ΣΤΟΙΧΕΙΑ!L60)</f>
        <v/>
      </c>
      <c r="P27" s="281" t="str">
        <f>IF(ΣΤΟΙΧΕΙΑ!M60=0,"",ΣΤΟΙΧΕΙΑ!M60)</f>
        <v/>
      </c>
      <c r="Q27" s="281" t="str">
        <f>IF(ΣΤΟΙΧΕΙΑ!N60=0,"",ΣΤΟΙΧΕΙΑ!N60)</f>
        <v/>
      </c>
      <c r="R27" s="281" t="str">
        <f>IF(ΣΤΟΙΧΕΙΑ!O60=0,"",ΣΤΟΙΧΕΙΑ!O60)</f>
        <v/>
      </c>
      <c r="S27" s="281" t="str">
        <f>IF(ΣΤΟΙΧΕΙΑ!P60=0,"",ΣΤΟΙΧΕΙΑ!P60)</f>
        <v/>
      </c>
      <c r="T27" s="159">
        <f t="shared" ca="1" si="10"/>
        <v>26.37122660956501</v>
      </c>
    </row>
    <row r="28" spans="1:20" s="540" customFormat="1" ht="36.950000000000003" customHeight="1">
      <c r="A28" s="130">
        <f t="shared" si="8"/>
        <v>21</v>
      </c>
      <c r="B28" s="130" t="str">
        <f>IF(Διαμερίσματα!B26="","",Διαμερίσματα!B26)</f>
        <v>Ε2</v>
      </c>
      <c r="C28" s="709" t="str">
        <f>IF(Διαμερίσματα!I26="","",Διαμερίσματα!I26)</f>
        <v>Ιδιοκτήτης-21</v>
      </c>
      <c r="D28" s="710"/>
      <c r="E28" s="710"/>
      <c r="F28" s="453">
        <f ca="1">IFERROR(HLOOKUP(ΣΤΟΙΧΕΙΑ!$C$11,Ώρες!$D$29:$R$52,2+A28,FALSE),0)</f>
        <v>0</v>
      </c>
      <c r="G28" s="281" t="str">
        <f>IF(ΣΤΟΙΧΕΙΑ!D71=0,"",ΣΤΟΙΧΕΙΑ!D71)</f>
        <v/>
      </c>
      <c r="H28" s="281">
        <f ca="1">IF(ΣΤΟΙΧΕΙΑ!E61=0,"",ΣΤΟΙΧΕΙΑ!E61)</f>
        <v>26.37122660956501</v>
      </c>
      <c r="I28" s="281" t="str">
        <f>IF(ΣΤΟΙΧΕΙΑ!F61=0,"",ΣΤΟΙΧΕΙΑ!F61)</f>
        <v/>
      </c>
      <c r="J28" s="281" t="str">
        <f>IF(ΣΤΟΙΧΕΙΑ!G61=0,"",ΣΤΟΙΧΕΙΑ!G61)</f>
        <v/>
      </c>
      <c r="K28" s="281" t="str">
        <f>IF(ΣΤΟΙΧΕΙΑ!H61=0,"",ΣΤΟΙΧΕΙΑ!H61)</f>
        <v/>
      </c>
      <c r="L28" s="281" t="str">
        <f>IF(ΣΤΟΙΧΕΙΑ!I61=0,"",ΣΤΟΙΧΕΙΑ!I61)</f>
        <v/>
      </c>
      <c r="M28" s="281" t="str">
        <f>IF(ΣΤΟΙΧΕΙΑ!J61=0,"",ΣΤΟΙΧΕΙΑ!J61)</f>
        <v/>
      </c>
      <c r="N28" s="281" t="str">
        <f>IF(ΣΤΟΙΧΕΙΑ!K61=0,"",ΣΤΟΙΧΕΙΑ!K61)</f>
        <v/>
      </c>
      <c r="O28" s="281" t="str">
        <f>IF(ΣΤΟΙΧΕΙΑ!L61=0,"",ΣΤΟΙΧΕΙΑ!L61)</f>
        <v/>
      </c>
      <c r="P28" s="281" t="str">
        <f>IF(ΣΤΟΙΧΕΙΑ!M61=0,"",ΣΤΟΙΧΕΙΑ!M61)</f>
        <v/>
      </c>
      <c r="Q28" s="281" t="str">
        <f>IF(ΣΤΟΙΧΕΙΑ!N61=0,"",ΣΤΟΙΧΕΙΑ!N61)</f>
        <v/>
      </c>
      <c r="R28" s="281" t="str">
        <f>IF(ΣΤΟΙΧΕΙΑ!O61=0,"",ΣΤΟΙΧΕΙΑ!O61)</f>
        <v/>
      </c>
      <c r="S28" s="281" t="str">
        <f>IF(ΣΤΟΙΧΕΙΑ!P61=0,"",ΣΤΟΙΧΕΙΑ!P61)</f>
        <v/>
      </c>
      <c r="T28" s="159">
        <f t="shared" ca="1" si="10"/>
        <v>26.37122660956501</v>
      </c>
    </row>
    <row r="29" spans="1:20" s="463" customFormat="1" ht="36.950000000000003" customHeight="1">
      <c r="A29" s="130">
        <f t="shared" si="8"/>
        <v>22</v>
      </c>
      <c r="B29" s="130" t="str">
        <f>IF(Διαμερίσματα!B27="","",Διαμερίσματα!B27)</f>
        <v>Ε3</v>
      </c>
      <c r="C29" s="709" t="str">
        <f>IF(Διαμερίσματα!I27="","",Διαμερίσματα!I27)</f>
        <v>Ιδιοκτήτης-22</v>
      </c>
      <c r="D29" s="710"/>
      <c r="E29" s="710"/>
      <c r="F29" s="453">
        <f ca="1">IFERROR(HLOOKUP(ΣΤΟΙΧΕΙΑ!$C$11,Ώρες!$D$29:$R$52,2+A29,FALSE),0)</f>
        <v>0</v>
      </c>
      <c r="G29" s="281" t="str">
        <f>IF(ΣΤΟΙΧΕΙΑ!D72=0,"",ΣΤΟΙΧΕΙΑ!D72)</f>
        <v/>
      </c>
      <c r="H29" s="281" t="str">
        <f ca="1">IF(ΣΤΟΙΧΕΙΑ!E62=0,"",ΣΤΟΙΧΕΙΑ!E62)</f>
        <v/>
      </c>
      <c r="I29" s="281" t="str">
        <f>IF(ΣΤΟΙΧΕΙΑ!F62=0,"",ΣΤΟΙΧΕΙΑ!F62)</f>
        <v/>
      </c>
      <c r="J29" s="281" t="str">
        <f>IF(ΣΤΟΙΧΕΙΑ!G62=0,"",ΣΤΟΙΧΕΙΑ!G62)</f>
        <v/>
      </c>
      <c r="K29" s="281" t="str">
        <f>IF(ΣΤΟΙΧΕΙΑ!H62=0,"",ΣΤΟΙΧΕΙΑ!H62)</f>
        <v/>
      </c>
      <c r="L29" s="281" t="str">
        <f>IF(ΣΤΟΙΧΕΙΑ!I62=0,"",ΣΤΟΙΧΕΙΑ!I62)</f>
        <v/>
      </c>
      <c r="M29" s="281" t="str">
        <f>IF(ΣΤΟΙΧΕΙΑ!J62=0,"",ΣΤΟΙΧΕΙΑ!J62)</f>
        <v/>
      </c>
      <c r="N29" s="281" t="str">
        <f>IF(ΣΤΟΙΧΕΙΑ!K62=0,"",ΣΤΟΙΧΕΙΑ!K62)</f>
        <v/>
      </c>
      <c r="O29" s="281" t="str">
        <f>IF(ΣΤΟΙΧΕΙΑ!L62=0,"",ΣΤΟΙΧΕΙΑ!L62)</f>
        <v/>
      </c>
      <c r="P29" s="281" t="str">
        <f>IF(ΣΤΟΙΧΕΙΑ!M62=0,"",ΣΤΟΙΧΕΙΑ!M62)</f>
        <v/>
      </c>
      <c r="Q29" s="281" t="str">
        <f>IF(ΣΤΟΙΧΕΙΑ!N62=0,"",ΣΤΟΙΧΕΙΑ!N62)</f>
        <v/>
      </c>
      <c r="R29" s="281" t="str">
        <f>IF(ΣΤΟΙΧΕΙΑ!O62=0,"",ΣΤΟΙΧΕΙΑ!O62)</f>
        <v/>
      </c>
      <c r="S29" s="281" t="str">
        <f>IF(ΣΤΟΙΧΕΙΑ!P62=0,"",ΣΤΟΙΧΕΙΑ!P62)</f>
        <v/>
      </c>
      <c r="T29" s="159" t="str">
        <f t="shared" ca="1" si="10"/>
        <v/>
      </c>
    </row>
    <row r="30" spans="1:20" s="6" customFormat="1" ht="26.25">
      <c r="A30" s="700" t="s">
        <v>467</v>
      </c>
      <c r="B30" s="700"/>
      <c r="C30" s="700"/>
      <c r="D30" s="700"/>
      <c r="E30" s="700"/>
      <c r="F30" s="454">
        <f ca="1">SUM(F8:F29)</f>
        <v>387</v>
      </c>
      <c r="G30" s="282" t="str">
        <f>IF(ΣΤΟΙΧΕΙΑ!D63=0,"",ΣΤΟΙΧΕΙΑ!D63)</f>
        <v/>
      </c>
      <c r="H30" s="282">
        <f ca="1">IF(ΣΤΟΙΧΕΙΑ!E63=0,"",ΣΤΟΙΧΕΙΑ!E63)</f>
        <v>1479.9999999999995</v>
      </c>
      <c r="I30" s="282" t="str">
        <f>IF(ΣΤΟΙΧΕΙΑ!F63=0,"",ΣΤΟΙΧΕΙΑ!F63)</f>
        <v/>
      </c>
      <c r="J30" s="282" t="str">
        <f>IF(ΣΤΟΙΧΕΙΑ!G63=0,"",ΣΤΟΙΧΕΙΑ!G63)</f>
        <v/>
      </c>
      <c r="K30" s="282" t="str">
        <f>IF(ΣΤΟΙΧΕΙΑ!H63=0,"",ΣΤΟΙΧΕΙΑ!H63)</f>
        <v/>
      </c>
      <c r="L30" s="282" t="str">
        <f>IF(ΣΤΟΙΧΕΙΑ!I63=0,"",ΣΤΟΙΧΕΙΑ!I63)</f>
        <v/>
      </c>
      <c r="M30" s="282" t="str">
        <f>IF(ΣΤΟΙΧΕΙΑ!J63=0,"",ΣΤΟΙΧΕΙΑ!J63)</f>
        <v/>
      </c>
      <c r="N30" s="282" t="str">
        <f>IF(ΣΤΟΙΧΕΙΑ!K63=0,"",ΣΤΟΙΧΕΙΑ!K63)</f>
        <v/>
      </c>
      <c r="O30" s="282" t="str">
        <f>IF(ΣΤΟΙΧΕΙΑ!L63=0,"",ΣΤΟΙΧΕΙΑ!L63)</f>
        <v/>
      </c>
      <c r="P30" s="282" t="str">
        <f>IF(ΣΤΟΙΧΕΙΑ!M63=0,"",ΣΤΟΙΧΕΙΑ!M63)</f>
        <v/>
      </c>
      <c r="Q30" s="282" t="str">
        <f>IF(ΣΤΟΙΧΕΙΑ!N63=0,"",ΣΤΟΙΧΕΙΑ!N63)</f>
        <v/>
      </c>
      <c r="R30" s="282" t="str">
        <f>IF(ΣΤΟΙΧΕΙΑ!O63=0,"",ΣΤΟΙΧΕΙΑ!O63)</f>
        <v/>
      </c>
      <c r="S30" s="282" t="str">
        <f>IF(ΣΤΟΙΧΕΙΑ!P63=0,"",ΣΤΟΙΧΕΙΑ!P63)</f>
        <v/>
      </c>
      <c r="T30" s="160">
        <f ca="1">SUM(T8:T29)</f>
        <v>1479.9999999999995</v>
      </c>
    </row>
  </sheetData>
  <sheetProtection password="E4A3" sheet="1" objects="1" scenarios="1"/>
  <mergeCells count="29">
    <mergeCell ref="C18:E18"/>
    <mergeCell ref="C29:E29"/>
    <mergeCell ref="C14:E14"/>
    <mergeCell ref="C15:E15"/>
    <mergeCell ref="C16:E16"/>
    <mergeCell ref="C17:E17"/>
    <mergeCell ref="C22:E22"/>
    <mergeCell ref="C23:E23"/>
    <mergeCell ref="C24:E24"/>
    <mergeCell ref="C25:E25"/>
    <mergeCell ref="C26:E26"/>
    <mergeCell ref="C27:E27"/>
    <mergeCell ref="C28:E28"/>
    <mergeCell ref="A30:E30"/>
    <mergeCell ref="C1:T1"/>
    <mergeCell ref="C2:T2"/>
    <mergeCell ref="C3:T3"/>
    <mergeCell ref="C5:D5"/>
    <mergeCell ref="C6:E6"/>
    <mergeCell ref="C7:E7"/>
    <mergeCell ref="C8:E8"/>
    <mergeCell ref="C9:E9"/>
    <mergeCell ref="C10:E10"/>
    <mergeCell ref="C11:E11"/>
    <mergeCell ref="C12:E12"/>
    <mergeCell ref="C13:E13"/>
    <mergeCell ref="C19:E19"/>
    <mergeCell ref="C20:E20"/>
    <mergeCell ref="C21:E21"/>
  </mergeCells>
  <conditionalFormatting sqref="G30:S30 A8:C29 F8:T29">
    <cfRule type="dataBar" priority="6">
      <dataBar>
        <cfvo type="min" val="0"/>
        <cfvo type="max" val="0"/>
        <color rgb="FFD6007B"/>
      </dataBar>
    </cfRule>
  </conditionalFormatting>
  <conditionalFormatting sqref="A8:A29">
    <cfRule type="dataBar" priority="13">
      <dataBar>
        <cfvo type="min" val="0"/>
        <cfvo type="max" val="0"/>
        <color rgb="FFFFB628"/>
      </dataBar>
    </cfRule>
  </conditionalFormatting>
  <conditionalFormatting sqref="T8:T29">
    <cfRule type="dataBar" priority="14">
      <dataBar>
        <cfvo type="min" val="0"/>
        <cfvo type="max" val="0"/>
        <color theme="6" tint="-0.249977111117893"/>
      </dataBar>
    </cfRule>
  </conditionalFormatting>
  <pageMargins left="0.39370078740157483" right="0.39370078740157483" top="0.19685039370078741" bottom="0.19685039370078741" header="0" footer="0"/>
  <pageSetup paperSize="9" scale="65" orientation="portrait" r:id="rId1"/>
  <customProperties>
    <customPr name="DVSECTIONID" r:id="rId2"/>
  </customProperties>
  <drawing r:id="rId3"/>
</worksheet>
</file>

<file path=xl/worksheets/sheet4.xml><?xml version="1.0" encoding="utf-8"?>
<worksheet xmlns="http://schemas.openxmlformats.org/spreadsheetml/2006/main" xmlns:r="http://schemas.openxmlformats.org/officeDocument/2006/relationships">
  <sheetPr codeName="Φύλλο4">
    <tabColor rgb="FFFF0000"/>
  </sheetPr>
  <dimension ref="A1:AB44"/>
  <sheetViews>
    <sheetView zoomScaleNormal="100" workbookViewId="0">
      <selection activeCell="S17" sqref="S17"/>
    </sheetView>
  </sheetViews>
  <sheetFormatPr defaultColWidth="9.140625" defaultRowHeight="9"/>
  <cols>
    <col min="1" max="1" width="4.7109375" style="1" bestFit="1" customWidth="1"/>
    <col min="2" max="2" width="6.140625" style="1" bestFit="1" customWidth="1"/>
    <col min="3" max="3" width="7.5703125" style="1" bestFit="1" customWidth="1"/>
    <col min="4" max="4" width="8.140625" style="1" customWidth="1"/>
    <col min="5" max="5" width="7.5703125" style="1" bestFit="1" customWidth="1"/>
    <col min="6" max="7" width="5.85546875" style="1" customWidth="1"/>
    <col min="8" max="8" width="5" style="1" bestFit="1" customWidth="1"/>
    <col min="9" max="10" width="5.42578125" style="1" bestFit="1" customWidth="1"/>
    <col min="11" max="11" width="5.42578125" style="1" customWidth="1"/>
    <col min="12" max="12" width="6.28515625" style="1" customWidth="1"/>
    <col min="13" max="13" width="6.28515625" style="1" bestFit="1" customWidth="1"/>
    <col min="14" max="15" width="4.85546875" style="1" bestFit="1" customWidth="1"/>
    <col min="16" max="16" width="5.5703125" style="1" customWidth="1"/>
    <col min="17" max="17" width="6.140625" style="1" customWidth="1"/>
    <col min="18" max="18" width="9.140625" style="1" customWidth="1"/>
    <col min="19" max="19" width="6.28515625" style="1" customWidth="1"/>
    <col min="20" max="20" width="5.28515625" style="1" customWidth="1"/>
    <col min="21" max="21" width="9.42578125" style="1" bestFit="1" customWidth="1"/>
    <col min="22" max="23" width="9.140625" style="1"/>
    <col min="24" max="24" width="5.7109375" style="579" bestFit="1" customWidth="1"/>
    <col min="25" max="25" width="9.85546875" style="580" bestFit="1" customWidth="1"/>
    <col min="26" max="26" width="5.5703125" style="579" bestFit="1" customWidth="1"/>
    <col min="27" max="27" width="11.28515625" style="580" bestFit="1" customWidth="1"/>
    <col min="28" max="28" width="13.85546875" style="579" bestFit="1" customWidth="1"/>
    <col min="29" max="16384" width="9.140625" style="1"/>
  </cols>
  <sheetData>
    <row r="1" spans="1:28" ht="15.75">
      <c r="A1" s="724" t="s">
        <v>93</v>
      </c>
      <c r="B1" s="724"/>
      <c r="C1" s="724"/>
      <c r="D1" s="724"/>
      <c r="E1" s="724"/>
      <c r="F1" s="724"/>
      <c r="G1" s="725"/>
      <c r="H1" s="727" t="str">
        <f>ΣΤΟΙΧΕΙΑ!C3</f>
        <v>Κ Ο Ι Ν Ο Χ Ρ Η Σ Τ Α :</v>
      </c>
      <c r="I1" s="727"/>
      <c r="J1" s="727"/>
      <c r="K1" s="727"/>
      <c r="L1" s="727"/>
      <c r="M1" s="727"/>
      <c r="N1" s="727"/>
      <c r="O1" s="727"/>
      <c r="P1" s="727"/>
      <c r="Q1" s="727"/>
      <c r="X1" s="711" t="s">
        <v>553</v>
      </c>
      <c r="Y1" s="711"/>
      <c r="Z1" s="711"/>
      <c r="AA1" s="711"/>
      <c r="AB1" s="711"/>
    </row>
    <row r="2" spans="1:28" ht="12.75">
      <c r="A2" s="714" t="s">
        <v>100</v>
      </c>
      <c r="B2" s="714"/>
      <c r="C2" s="714"/>
      <c r="D2" s="283" t="s">
        <v>101</v>
      </c>
      <c r="E2" s="283" t="s">
        <v>102</v>
      </c>
      <c r="F2" s="715" t="s">
        <v>99</v>
      </c>
      <c r="G2" s="716" t="s">
        <v>103</v>
      </c>
      <c r="H2" s="726" t="str">
        <f>ΣΤΟΙΧΕΙΑ!C12</f>
        <v>Διευθύνση 123</v>
      </c>
      <c r="I2" s="726"/>
      <c r="J2" s="726"/>
      <c r="K2" s="726"/>
      <c r="L2" s="726"/>
      <c r="M2" s="726"/>
      <c r="N2" s="726"/>
      <c r="O2" s="726"/>
      <c r="P2" s="726"/>
      <c r="Q2" s="726"/>
      <c r="X2" s="562" t="s">
        <v>554</v>
      </c>
      <c r="Y2" s="573" t="s">
        <v>555</v>
      </c>
      <c r="Z2" s="562" t="s">
        <v>21</v>
      </c>
      <c r="AA2" s="573" t="s">
        <v>556</v>
      </c>
      <c r="AB2" s="562" t="s">
        <v>557</v>
      </c>
    </row>
    <row r="3" spans="1:28" ht="12">
      <c r="A3" s="283" t="s">
        <v>94</v>
      </c>
      <c r="B3" s="283" t="s">
        <v>95</v>
      </c>
      <c r="C3" s="283" t="s">
        <v>96</v>
      </c>
      <c r="D3" s="283" t="s">
        <v>97</v>
      </c>
      <c r="E3" s="283" t="s">
        <v>98</v>
      </c>
      <c r="F3" s="715"/>
      <c r="G3" s="716"/>
      <c r="H3" s="726"/>
      <c r="I3" s="726"/>
      <c r="J3" s="726"/>
      <c r="K3" s="726"/>
      <c r="L3" s="726"/>
      <c r="M3" s="726"/>
      <c r="N3" s="726"/>
      <c r="O3" s="726"/>
      <c r="P3" s="726"/>
      <c r="Q3" s="726"/>
      <c r="X3" s="574">
        <v>5.5</v>
      </c>
      <c r="Y3" s="575">
        <f>X3-0</f>
        <v>5.5</v>
      </c>
      <c r="Z3" s="576">
        <v>50</v>
      </c>
      <c r="AA3" s="577">
        <f>Z3-0</f>
        <v>50</v>
      </c>
      <c r="AB3" s="578">
        <v>2.5</v>
      </c>
    </row>
    <row r="4" spans="1:28" s="9" customFormat="1" ht="12">
      <c r="A4" s="121">
        <v>2.5</v>
      </c>
      <c r="B4" s="121">
        <v>1.25</v>
      </c>
      <c r="C4" s="121">
        <v>1.25</v>
      </c>
      <c r="D4" s="122">
        <f>ROUND(A4*B4,3)</f>
        <v>3.125</v>
      </c>
      <c r="E4" s="123">
        <f>ROUND(A4*B4*C4,2)</f>
        <v>3.91</v>
      </c>
      <c r="F4" s="124">
        <f>E4*1000</f>
        <v>3910</v>
      </c>
      <c r="G4" s="125">
        <f>ROUND(D4*0.01*1000,2)</f>
        <v>31.25</v>
      </c>
      <c r="H4" s="726"/>
      <c r="I4" s="726"/>
      <c r="J4" s="726"/>
      <c r="K4" s="726"/>
      <c r="L4" s="726"/>
      <c r="M4" s="726"/>
      <c r="N4" s="726"/>
      <c r="O4" s="726"/>
      <c r="P4" s="726"/>
      <c r="Q4" s="726"/>
      <c r="X4" s="574">
        <v>9</v>
      </c>
      <c r="Y4" s="575">
        <f>X4-X3</f>
        <v>3.5</v>
      </c>
      <c r="Z4" s="576">
        <v>100</v>
      </c>
      <c r="AA4" s="577">
        <f>Z4-Z3</f>
        <v>50</v>
      </c>
      <c r="AB4" s="578">
        <v>5</v>
      </c>
    </row>
    <row r="5" spans="1:28" s="9" customFormat="1" ht="21">
      <c r="A5" s="567">
        <f>A4</f>
        <v>2.5</v>
      </c>
      <c r="B5" s="567">
        <f>B4</f>
        <v>1.25</v>
      </c>
      <c r="C5" s="568">
        <f>ROUND((E5/D5)*100,1)</f>
        <v>30.9</v>
      </c>
      <c r="D5" s="569">
        <f>ROUND(A5*B5,3)</f>
        <v>3.125</v>
      </c>
      <c r="E5" s="570">
        <f>ROUND(F5/1000,3)</f>
        <v>0.96599999999999997</v>
      </c>
      <c r="F5" s="571">
        <v>966</v>
      </c>
      <c r="G5" s="572">
        <f>ROUND(D5*0.01*1000,2)</f>
        <v>31.25</v>
      </c>
      <c r="H5" s="721" t="s">
        <v>552</v>
      </c>
      <c r="I5" s="722"/>
      <c r="J5" s="722"/>
      <c r="K5" s="722"/>
      <c r="L5" s="722"/>
      <c r="M5" s="722"/>
      <c r="N5" s="722"/>
      <c r="O5" s="722"/>
      <c r="P5" s="722"/>
      <c r="Q5" s="723"/>
      <c r="X5" s="574">
        <v>12</v>
      </c>
      <c r="Y5" s="575">
        <f t="shared" ref="Y5:Y44" si="0">X5-X4</f>
        <v>3</v>
      </c>
      <c r="Z5" s="576">
        <v>150</v>
      </c>
      <c r="AA5" s="577">
        <f t="shared" ref="AA5:AA44" si="1">Z5-Z4</f>
        <v>50</v>
      </c>
      <c r="AB5" s="578">
        <v>7.5</v>
      </c>
    </row>
    <row r="6" spans="1:28" ht="40.5" customHeight="1">
      <c r="A6" s="713" t="s">
        <v>225</v>
      </c>
      <c r="B6" s="713"/>
      <c r="C6" s="713"/>
      <c r="D6" s="713"/>
      <c r="E6" s="713"/>
      <c r="F6" s="713"/>
      <c r="G6" s="713"/>
      <c r="H6" s="713"/>
      <c r="I6" s="713"/>
      <c r="J6" s="713"/>
      <c r="K6" s="713"/>
      <c r="L6" s="713"/>
      <c r="M6" s="713"/>
      <c r="N6" s="713"/>
      <c r="O6" s="713"/>
      <c r="P6" s="713"/>
      <c r="Q6" s="713"/>
      <c r="X6" s="574">
        <v>14.5</v>
      </c>
      <c r="Y6" s="575">
        <f>X6-X5</f>
        <v>2.5</v>
      </c>
      <c r="Z6" s="576">
        <v>200</v>
      </c>
      <c r="AA6" s="577">
        <f>Z6-Z5</f>
        <v>50</v>
      </c>
      <c r="AB6" s="578">
        <v>10</v>
      </c>
    </row>
    <row r="7" spans="1:28" ht="15">
      <c r="A7" s="717" t="s">
        <v>549</v>
      </c>
      <c r="B7" s="717"/>
      <c r="C7" s="719" t="s">
        <v>550</v>
      </c>
      <c r="D7" s="719"/>
      <c r="E7" s="719"/>
      <c r="F7" s="719"/>
      <c r="G7" s="719"/>
      <c r="H7" s="719"/>
      <c r="I7" s="719"/>
      <c r="J7" s="719"/>
      <c r="K7" s="566"/>
      <c r="L7" s="566"/>
      <c r="M7" s="566"/>
      <c r="N7" s="566"/>
      <c r="O7" s="566"/>
      <c r="X7" s="574">
        <v>17.5</v>
      </c>
      <c r="Y7" s="575">
        <f t="shared" si="0"/>
        <v>3</v>
      </c>
      <c r="Z7" s="576">
        <v>250</v>
      </c>
      <c r="AA7" s="577">
        <f t="shared" si="1"/>
        <v>50</v>
      </c>
      <c r="AB7" s="578">
        <v>12.5</v>
      </c>
    </row>
    <row r="8" spans="1:28" ht="15">
      <c r="A8" s="718"/>
      <c r="B8" s="718"/>
      <c r="C8" s="720" t="s">
        <v>551</v>
      </c>
      <c r="D8" s="720"/>
      <c r="E8" s="720"/>
      <c r="F8" s="720"/>
      <c r="G8" s="720"/>
      <c r="H8" s="720"/>
      <c r="I8" s="720"/>
      <c r="J8" s="720"/>
      <c r="X8" s="574">
        <v>20</v>
      </c>
      <c r="Y8" s="575">
        <f t="shared" si="0"/>
        <v>2.5</v>
      </c>
      <c r="Z8" s="576">
        <v>300</v>
      </c>
      <c r="AA8" s="577">
        <f t="shared" si="1"/>
        <v>50</v>
      </c>
      <c r="AB8" s="578">
        <v>15</v>
      </c>
    </row>
    <row r="9" spans="1:28" ht="18.75">
      <c r="A9" s="730" t="s">
        <v>117</v>
      </c>
      <c r="B9" s="731"/>
      <c r="C9" s="731"/>
      <c r="D9" s="731"/>
      <c r="E9" s="731"/>
      <c r="F9" s="731"/>
      <c r="G9" s="731"/>
      <c r="H9" s="731"/>
      <c r="I9" s="731"/>
      <c r="J9" s="731"/>
      <c r="K9" s="731"/>
      <c r="L9" s="731"/>
      <c r="M9" s="731"/>
      <c r="N9" s="731"/>
      <c r="O9" s="731"/>
      <c r="P9" s="731"/>
      <c r="Q9" s="731"/>
      <c r="R9" s="731"/>
      <c r="S9" s="731"/>
      <c r="T9" s="731"/>
      <c r="U9" s="731"/>
      <c r="V9" s="732"/>
      <c r="X9" s="574">
        <v>22.5</v>
      </c>
      <c r="Y9" s="575">
        <f t="shared" si="0"/>
        <v>2.5</v>
      </c>
      <c r="Z9" s="576">
        <v>350</v>
      </c>
      <c r="AA9" s="577">
        <f t="shared" si="1"/>
        <v>50</v>
      </c>
      <c r="AB9" s="578">
        <v>17.5</v>
      </c>
    </row>
    <row r="10" spans="1:28" s="9" customFormat="1" ht="12.75" customHeight="1">
      <c r="A10" s="736" t="s">
        <v>24</v>
      </c>
      <c r="B10" s="742" t="s">
        <v>66</v>
      </c>
      <c r="C10" s="728" t="s">
        <v>106</v>
      </c>
      <c r="D10" s="729"/>
      <c r="E10" s="741"/>
      <c r="F10" s="714" t="s">
        <v>118</v>
      </c>
      <c r="G10" s="714"/>
      <c r="H10" s="714"/>
      <c r="I10" s="738" t="s">
        <v>115</v>
      </c>
      <c r="J10" s="739"/>
      <c r="K10" s="739"/>
      <c r="L10" s="739"/>
      <c r="M10" s="740"/>
      <c r="N10" s="737" t="s">
        <v>121</v>
      </c>
      <c r="O10" s="737"/>
      <c r="P10" s="737"/>
      <c r="Q10" s="735" t="s">
        <v>167</v>
      </c>
      <c r="R10" s="733" t="s">
        <v>220</v>
      </c>
      <c r="S10" s="728" t="s">
        <v>110</v>
      </c>
      <c r="T10" s="729"/>
      <c r="U10" s="729"/>
      <c r="V10" s="45" t="s">
        <v>212</v>
      </c>
      <c r="X10" s="574">
        <v>24.5</v>
      </c>
      <c r="Y10" s="575">
        <f t="shared" si="0"/>
        <v>2</v>
      </c>
      <c r="Z10" s="576">
        <v>400</v>
      </c>
      <c r="AA10" s="577">
        <f t="shared" si="1"/>
        <v>50</v>
      </c>
      <c r="AB10" s="578">
        <v>20</v>
      </c>
    </row>
    <row r="11" spans="1:28" ht="23.25" customHeight="1">
      <c r="A11" s="736"/>
      <c r="B11" s="743"/>
      <c r="C11" s="284" t="s">
        <v>229</v>
      </c>
      <c r="D11" s="284" t="s">
        <v>107</v>
      </c>
      <c r="E11" s="285" t="s">
        <v>108</v>
      </c>
      <c r="F11" s="286" t="s">
        <v>116</v>
      </c>
      <c r="G11" s="64" t="s">
        <v>104</v>
      </c>
      <c r="H11" s="286" t="s">
        <v>105</v>
      </c>
      <c r="I11" s="286" t="s">
        <v>213</v>
      </c>
      <c r="J11" s="287" t="s">
        <v>164</v>
      </c>
      <c r="K11" s="286" t="s">
        <v>214</v>
      </c>
      <c r="L11" s="285" t="s">
        <v>215</v>
      </c>
      <c r="M11" s="286" t="s">
        <v>216</v>
      </c>
      <c r="N11" s="286" t="s">
        <v>114</v>
      </c>
      <c r="O11" s="64" t="s">
        <v>109</v>
      </c>
      <c r="P11" s="286" t="s">
        <v>166</v>
      </c>
      <c r="Q11" s="735"/>
      <c r="R11" s="734"/>
      <c r="S11" s="286" t="s">
        <v>112</v>
      </c>
      <c r="T11" s="286" t="s">
        <v>113</v>
      </c>
      <c r="U11" s="285" t="s">
        <v>111</v>
      </c>
      <c r="V11" s="288" t="s">
        <v>165</v>
      </c>
      <c r="X11" s="574">
        <v>27.3</v>
      </c>
      <c r="Y11" s="575">
        <f t="shared" si="0"/>
        <v>2.8000000000000007</v>
      </c>
      <c r="Z11" s="576">
        <v>450</v>
      </c>
      <c r="AA11" s="577">
        <f t="shared" si="1"/>
        <v>50</v>
      </c>
      <c r="AB11" s="578">
        <v>22.5</v>
      </c>
    </row>
    <row r="12" spans="1:28" ht="12">
      <c r="A12" s="289">
        <v>1</v>
      </c>
      <c r="B12" s="289">
        <f>A12+1</f>
        <v>2</v>
      </c>
      <c r="C12" s="289">
        <f t="shared" ref="C12:V12" si="2">B12+1</f>
        <v>3</v>
      </c>
      <c r="D12" s="289">
        <f t="shared" si="2"/>
        <v>4</v>
      </c>
      <c r="E12" s="289">
        <f t="shared" si="2"/>
        <v>5</v>
      </c>
      <c r="F12" s="289">
        <f t="shared" si="2"/>
        <v>6</v>
      </c>
      <c r="G12" s="289">
        <f t="shared" si="2"/>
        <v>7</v>
      </c>
      <c r="H12" s="289">
        <f t="shared" si="2"/>
        <v>8</v>
      </c>
      <c r="I12" s="289">
        <f t="shared" si="2"/>
        <v>9</v>
      </c>
      <c r="J12" s="289">
        <f t="shared" si="2"/>
        <v>10</v>
      </c>
      <c r="K12" s="289">
        <f t="shared" si="2"/>
        <v>11</v>
      </c>
      <c r="L12" s="289">
        <f t="shared" si="2"/>
        <v>12</v>
      </c>
      <c r="M12" s="289">
        <f t="shared" si="2"/>
        <v>13</v>
      </c>
      <c r="N12" s="289">
        <f t="shared" si="2"/>
        <v>14</v>
      </c>
      <c r="O12" s="289">
        <f t="shared" si="2"/>
        <v>15</v>
      </c>
      <c r="P12" s="289">
        <f t="shared" si="2"/>
        <v>16</v>
      </c>
      <c r="Q12" s="289">
        <f t="shared" si="2"/>
        <v>17</v>
      </c>
      <c r="R12" s="289">
        <f t="shared" si="2"/>
        <v>18</v>
      </c>
      <c r="S12" s="289">
        <f t="shared" si="2"/>
        <v>19</v>
      </c>
      <c r="T12" s="289">
        <f t="shared" si="2"/>
        <v>20</v>
      </c>
      <c r="U12" s="289">
        <f t="shared" si="2"/>
        <v>21</v>
      </c>
      <c r="V12" s="289">
        <f t="shared" si="2"/>
        <v>22</v>
      </c>
      <c r="X12" s="574">
        <v>29.5</v>
      </c>
      <c r="Y12" s="575">
        <f t="shared" si="0"/>
        <v>2.1999999999999993</v>
      </c>
      <c r="Z12" s="576">
        <v>500</v>
      </c>
      <c r="AA12" s="577">
        <f t="shared" si="1"/>
        <v>50</v>
      </c>
      <c r="AB12" s="578">
        <v>25</v>
      </c>
    </row>
    <row r="13" spans="1:28" ht="12">
      <c r="A13" s="128">
        <v>1</v>
      </c>
      <c r="B13" s="157">
        <f>ΣΤΟΙΧΕΙΑ!F1</f>
        <v>40848</v>
      </c>
      <c r="C13" s="10"/>
      <c r="D13" s="136" t="str">
        <f>IF(G13="","",ΣΤΟΙΧΕΙΑ!$C$14)</f>
        <v/>
      </c>
      <c r="E13" s="7"/>
      <c r="F13" s="517">
        <v>110</v>
      </c>
      <c r="G13" s="11"/>
      <c r="H13" s="137">
        <f t="shared" ref="H13:H18" si="3">SUM(F13:G13)</f>
        <v>110</v>
      </c>
      <c r="I13" s="137">
        <f>ROUND(F13*H4,1)</f>
        <v>0</v>
      </c>
      <c r="J13" s="8">
        <v>110</v>
      </c>
      <c r="K13" s="137">
        <f>I13+J13</f>
        <v>110</v>
      </c>
      <c r="L13" s="138">
        <f>IF(G13="",0,ROUND(J13/G13,3))</f>
        <v>0</v>
      </c>
      <c r="M13" s="150">
        <f>IF(H13=0,0,ROUND(K13/H13,4))</f>
        <v>1</v>
      </c>
      <c r="N13" s="518">
        <f>ROUND(F13/$G$4,1)</f>
        <v>3.5</v>
      </c>
      <c r="O13" s="152">
        <f>ROUND(H13/$G$4,1)</f>
        <v>3.5</v>
      </c>
      <c r="P13" s="151">
        <f>O13-N13</f>
        <v>0</v>
      </c>
      <c r="Q13" s="139">
        <f>IF(ROUND(P13*$G$4,0)&lt;G13,"ΚΛΕΒΕΙ",ROUND(P13*$G$4,0))</f>
        <v>0</v>
      </c>
      <c r="R13" s="290">
        <f>ΣΤΟΙΧΕΙΑ!F1+27</f>
        <v>40875</v>
      </c>
      <c r="S13" s="153">
        <v>3.5</v>
      </c>
      <c r="T13" s="154">
        <f>IF(S13="",0,IF(G13="",ROUND(N13-S13,1),ROUND(O13-S13,1)))</f>
        <v>0</v>
      </c>
      <c r="U13" s="155">
        <f>ROUND(T13*$G$4,1)</f>
        <v>0</v>
      </c>
      <c r="V13" s="137">
        <f>ROUND(U13*M13,0)</f>
        <v>0</v>
      </c>
      <c r="X13" s="574">
        <v>32.299999999999997</v>
      </c>
      <c r="Y13" s="575">
        <f t="shared" si="0"/>
        <v>2.7999999999999972</v>
      </c>
      <c r="Z13" s="576">
        <v>550</v>
      </c>
      <c r="AA13" s="577">
        <f t="shared" si="1"/>
        <v>50</v>
      </c>
      <c r="AB13" s="578">
        <v>27.5</v>
      </c>
    </row>
    <row r="14" spans="1:28" ht="12">
      <c r="A14" s="128">
        <f>A13+1</f>
        <v>2</v>
      </c>
      <c r="B14" s="157">
        <f>ΣΤΟΙΧΕΙΑ!F2</f>
        <v>40878</v>
      </c>
      <c r="C14" s="10"/>
      <c r="D14" s="136" t="str">
        <f>IF(G14="","",ΣΤΟΙΧΕΙΑ!$C$14)</f>
        <v>Βενζινάς</v>
      </c>
      <c r="E14" s="7"/>
      <c r="F14" s="128">
        <f>IF(S13="",H13,ROUND(S13*$G$4,0))</f>
        <v>109</v>
      </c>
      <c r="G14" s="11">
        <v>1200</v>
      </c>
      <c r="H14" s="137">
        <f t="shared" si="3"/>
        <v>1309</v>
      </c>
      <c r="I14" s="137">
        <f>ROUND(F14*M13,1)</f>
        <v>109</v>
      </c>
      <c r="J14" s="8">
        <v>981</v>
      </c>
      <c r="K14" s="137">
        <f>I14+J14</f>
        <v>1090</v>
      </c>
      <c r="L14" s="138">
        <f>IF(G14="",0,ROUND(J14/G14,3))</f>
        <v>0.81799999999999995</v>
      </c>
      <c r="M14" s="150">
        <f t="shared" ref="M14:M26" si="4">IF(H14=0,0,ROUND(K14/H14,4))</f>
        <v>0.8327</v>
      </c>
      <c r="N14" s="151">
        <f>ROUND(F14/$G$4,1)</f>
        <v>3.5</v>
      </c>
      <c r="O14" s="152">
        <f>ROUND(H14/$G$4,1)</f>
        <v>41.9</v>
      </c>
      <c r="P14" s="151">
        <f>IF(G14="",0,IF(S13="",ROUND((H14-F14)/$G$4,0),O14-N14))</f>
        <v>38.4</v>
      </c>
      <c r="Q14" s="139">
        <f t="shared" ref="Q14" si="5">IF(ROUND(P14*$G$4,0)&lt;G14,"ΚΛΕΒΕΙ",ROUND(P14*$G$4,0))</f>
        <v>1200</v>
      </c>
      <c r="R14" s="290">
        <f>ΣΤΟΙΧΕΙΑ!F2+27</f>
        <v>40905</v>
      </c>
      <c r="S14" s="153">
        <v>15</v>
      </c>
      <c r="T14" s="154">
        <f>IF(S14="",0,IF(G14="",ROUND(N14-S14,1),ROUND(O14-S14,1)))</f>
        <v>26.9</v>
      </c>
      <c r="U14" s="155">
        <f>ROUND(T14*$G$4,1)</f>
        <v>840.6</v>
      </c>
      <c r="V14" s="137">
        <f>ROUND(U14*M14,0)</f>
        <v>700</v>
      </c>
      <c r="X14" s="574">
        <v>34.5</v>
      </c>
      <c r="Y14" s="575">
        <f t="shared" si="0"/>
        <v>2.2000000000000028</v>
      </c>
      <c r="Z14" s="576">
        <v>600</v>
      </c>
      <c r="AA14" s="577">
        <f t="shared" si="1"/>
        <v>50</v>
      </c>
      <c r="AB14" s="578">
        <v>30</v>
      </c>
    </row>
    <row r="15" spans="1:28" ht="12">
      <c r="A15" s="128">
        <f t="shared" ref="A15:A33" si="6">A14+1</f>
        <v>3</v>
      </c>
      <c r="B15" s="157">
        <f>ΣΤΟΙΧΕΙΑ!F3</f>
        <v>40909</v>
      </c>
      <c r="C15" s="10"/>
      <c r="D15" s="136" t="str">
        <f>IF(G15="","",ΣΤΟΙΧΕΙΑ!$C$14)</f>
        <v/>
      </c>
      <c r="E15" s="7"/>
      <c r="F15" s="128">
        <f>IF(S14="",H14,ROUND(S14*$G$4,0))</f>
        <v>469</v>
      </c>
      <c r="G15" s="11"/>
      <c r="H15" s="137">
        <f t="shared" si="3"/>
        <v>469</v>
      </c>
      <c r="I15" s="137">
        <f t="shared" ref="I15:I26" si="7">ROUND(F15*M14,1)</f>
        <v>390.5</v>
      </c>
      <c r="J15" s="8"/>
      <c r="K15" s="137">
        <f t="shared" ref="K15:K26" si="8">I15+J15</f>
        <v>390.5</v>
      </c>
      <c r="L15" s="138">
        <f t="shared" ref="L15:L26" si="9">IF(G15="",0,ROUND(J15/G15,3))</f>
        <v>0</v>
      </c>
      <c r="M15" s="150">
        <f t="shared" si="4"/>
        <v>0.83260000000000001</v>
      </c>
      <c r="N15" s="151">
        <f t="shared" ref="N15:N26" si="10">ROUND(F15/$G$4,1)</f>
        <v>15</v>
      </c>
      <c r="O15" s="152">
        <f t="shared" ref="O15:O33" si="11">ROUND(H15/$G$4,1)</f>
        <v>15</v>
      </c>
      <c r="P15" s="151">
        <f t="shared" ref="P15:P26" si="12">IF(G15="",0,IF(S14="",ROUND((H15-F15)/$G$4,0),O15-N15))</f>
        <v>0</v>
      </c>
      <c r="Q15" s="139">
        <f t="shared" ref="Q15:Q26" si="13">IF(ROUND(P15*$G$4,0)&lt;G15,"ΚΛΕΒΕΙ",ROUND(P15*$G$4,0))</f>
        <v>0</v>
      </c>
      <c r="R15" s="290">
        <f>ΣΤΟΙΧΕΙΑ!F3+27</f>
        <v>40936</v>
      </c>
      <c r="S15" s="153">
        <v>0</v>
      </c>
      <c r="T15" s="154">
        <f t="shared" ref="T15:T26" si="14">IF(S15="",0,IF(G15="",ROUND(N15-S15,1),ROUND(O15-S15,1)))</f>
        <v>15</v>
      </c>
      <c r="U15" s="155">
        <f t="shared" ref="U15:U26" si="15">ROUND(T15*$G$4,1)</f>
        <v>468.8</v>
      </c>
      <c r="V15" s="137">
        <f t="shared" ref="V15:V26" si="16">ROUND(U15*M15,0)</f>
        <v>390</v>
      </c>
      <c r="X15" s="574">
        <v>36.5</v>
      </c>
      <c r="Y15" s="575">
        <f t="shared" si="0"/>
        <v>2</v>
      </c>
      <c r="Z15" s="576">
        <v>650</v>
      </c>
      <c r="AA15" s="577">
        <f t="shared" si="1"/>
        <v>50</v>
      </c>
      <c r="AB15" s="578">
        <v>32.5</v>
      </c>
    </row>
    <row r="16" spans="1:28" ht="12">
      <c r="A16" s="128">
        <f t="shared" si="6"/>
        <v>4</v>
      </c>
      <c r="B16" s="157">
        <f>ΣΤΟΙΧΕΙΑ!F4</f>
        <v>40940</v>
      </c>
      <c r="C16" s="10"/>
      <c r="D16" s="136" t="str">
        <f>IF(G16="","",ΣΤΟΙΧΕΙΑ!$C$14)</f>
        <v/>
      </c>
      <c r="E16" s="7"/>
      <c r="F16" s="128">
        <f>IF(S15="",H15,ROUND(S15*$G$4,0))</f>
        <v>0</v>
      </c>
      <c r="G16" s="12"/>
      <c r="H16" s="137">
        <f t="shared" si="3"/>
        <v>0</v>
      </c>
      <c r="I16" s="137">
        <f t="shared" si="7"/>
        <v>0</v>
      </c>
      <c r="J16" s="8"/>
      <c r="K16" s="137">
        <f t="shared" si="8"/>
        <v>0</v>
      </c>
      <c r="L16" s="138">
        <f t="shared" si="9"/>
        <v>0</v>
      </c>
      <c r="M16" s="150">
        <f t="shared" si="4"/>
        <v>0</v>
      </c>
      <c r="N16" s="151">
        <f t="shared" si="10"/>
        <v>0</v>
      </c>
      <c r="O16" s="152">
        <f t="shared" si="11"/>
        <v>0</v>
      </c>
      <c r="P16" s="151">
        <f t="shared" si="12"/>
        <v>0</v>
      </c>
      <c r="Q16" s="139">
        <f t="shared" si="13"/>
        <v>0</v>
      </c>
      <c r="R16" s="290">
        <f>ΣΤΟΙΧΕΙΑ!F4+27</f>
        <v>40967</v>
      </c>
      <c r="S16" s="153">
        <v>0</v>
      </c>
      <c r="T16" s="154">
        <f t="shared" si="14"/>
        <v>0</v>
      </c>
      <c r="U16" s="155">
        <f t="shared" si="15"/>
        <v>0</v>
      </c>
      <c r="V16" s="137">
        <f t="shared" si="16"/>
        <v>0</v>
      </c>
      <c r="X16" s="574">
        <v>38.700000000000003</v>
      </c>
      <c r="Y16" s="575">
        <f t="shared" si="0"/>
        <v>2.2000000000000028</v>
      </c>
      <c r="Z16" s="576">
        <v>700</v>
      </c>
      <c r="AA16" s="577">
        <f t="shared" si="1"/>
        <v>50</v>
      </c>
      <c r="AB16" s="578">
        <v>35</v>
      </c>
    </row>
    <row r="17" spans="1:28" ht="12">
      <c r="A17" s="128">
        <f t="shared" si="6"/>
        <v>5</v>
      </c>
      <c r="B17" s="157">
        <f>ΣΤΟΙΧΕΙΑ!F5</f>
        <v>40969</v>
      </c>
      <c r="C17" s="10"/>
      <c r="D17" s="136" t="str">
        <f>IF(G17="","",ΣΤΟΙΧΕΙΑ!$C$14)</f>
        <v/>
      </c>
      <c r="E17" s="7"/>
      <c r="F17" s="128">
        <f>IF(S16="",H16,ROUND(S16*$G$4,0))</f>
        <v>0</v>
      </c>
      <c r="G17" s="12"/>
      <c r="H17" s="137">
        <f t="shared" si="3"/>
        <v>0</v>
      </c>
      <c r="I17" s="137">
        <f t="shared" si="7"/>
        <v>0</v>
      </c>
      <c r="J17" s="8"/>
      <c r="K17" s="137">
        <f t="shared" si="8"/>
        <v>0</v>
      </c>
      <c r="L17" s="138">
        <f t="shared" si="9"/>
        <v>0</v>
      </c>
      <c r="M17" s="150">
        <f t="shared" si="4"/>
        <v>0</v>
      </c>
      <c r="N17" s="151">
        <f t="shared" si="10"/>
        <v>0</v>
      </c>
      <c r="O17" s="152">
        <f t="shared" si="11"/>
        <v>0</v>
      </c>
      <c r="P17" s="151">
        <f t="shared" si="12"/>
        <v>0</v>
      </c>
      <c r="Q17" s="139">
        <f t="shared" si="13"/>
        <v>0</v>
      </c>
      <c r="R17" s="290">
        <f>ΣΤΟΙΧΕΙΑ!F5+27</f>
        <v>40996</v>
      </c>
      <c r="S17" s="153">
        <v>0</v>
      </c>
      <c r="T17" s="154">
        <f t="shared" si="14"/>
        <v>0</v>
      </c>
      <c r="U17" s="155">
        <f t="shared" si="15"/>
        <v>0</v>
      </c>
      <c r="V17" s="137">
        <f t="shared" si="16"/>
        <v>0</v>
      </c>
      <c r="X17" s="574">
        <v>41.3</v>
      </c>
      <c r="Y17" s="575">
        <f t="shared" si="0"/>
        <v>2.5999999999999943</v>
      </c>
      <c r="Z17" s="576">
        <v>750</v>
      </c>
      <c r="AA17" s="577">
        <f t="shared" si="1"/>
        <v>50</v>
      </c>
      <c r="AB17" s="578">
        <v>37.5</v>
      </c>
    </row>
    <row r="18" spans="1:28" ht="12">
      <c r="A18" s="128">
        <f t="shared" si="6"/>
        <v>6</v>
      </c>
      <c r="B18" s="157">
        <f>ΣΤΟΙΧΕΙΑ!F6</f>
        <v>41000</v>
      </c>
      <c r="C18" s="13"/>
      <c r="D18" s="136" t="str">
        <f>IF(G18="","",ΣΤΟΙΧΕΙΑ!$C$14)</f>
        <v/>
      </c>
      <c r="E18" s="7"/>
      <c r="F18" s="128">
        <f>IF(S17="",H17,ROUND(S17*$G$4,0))</f>
        <v>0</v>
      </c>
      <c r="G18" s="643"/>
      <c r="H18" s="137">
        <f t="shared" si="3"/>
        <v>0</v>
      </c>
      <c r="I18" s="137">
        <f t="shared" si="7"/>
        <v>0</v>
      </c>
      <c r="J18" s="644"/>
      <c r="K18" s="137">
        <f t="shared" si="8"/>
        <v>0</v>
      </c>
      <c r="L18" s="138">
        <f t="shared" si="9"/>
        <v>0</v>
      </c>
      <c r="M18" s="150">
        <f t="shared" si="4"/>
        <v>0</v>
      </c>
      <c r="N18" s="151">
        <f t="shared" si="10"/>
        <v>0</v>
      </c>
      <c r="O18" s="152">
        <f t="shared" si="11"/>
        <v>0</v>
      </c>
      <c r="P18" s="151">
        <f t="shared" si="12"/>
        <v>0</v>
      </c>
      <c r="Q18" s="139">
        <f t="shared" si="13"/>
        <v>0</v>
      </c>
      <c r="R18" s="290">
        <f>ΣΤΟΙΧΕΙΑ!F6+27</f>
        <v>41027</v>
      </c>
      <c r="S18" s="645">
        <v>0</v>
      </c>
      <c r="T18" s="154">
        <f t="shared" si="14"/>
        <v>0</v>
      </c>
      <c r="U18" s="155">
        <f t="shared" si="15"/>
        <v>0</v>
      </c>
      <c r="V18" s="137">
        <f t="shared" si="16"/>
        <v>0</v>
      </c>
      <c r="X18" s="574">
        <v>43.3</v>
      </c>
      <c r="Y18" s="575">
        <f t="shared" si="0"/>
        <v>2</v>
      </c>
      <c r="Z18" s="576">
        <v>800</v>
      </c>
      <c r="AA18" s="577">
        <f t="shared" si="1"/>
        <v>50</v>
      </c>
      <c r="AB18" s="578">
        <v>40</v>
      </c>
    </row>
    <row r="19" spans="1:28" ht="12">
      <c r="A19" s="128">
        <f t="shared" si="6"/>
        <v>7</v>
      </c>
      <c r="B19" s="157">
        <f>ΣΤΟΙΧΕΙΑ!F7</f>
        <v>41030</v>
      </c>
      <c r="C19" s="13"/>
      <c r="D19" s="136" t="str">
        <f>IF(G19="","",ΣΤΟΙΧΕΙΑ!$C$14)</f>
        <v/>
      </c>
      <c r="E19" s="7"/>
      <c r="F19" s="128">
        <f t="shared" ref="F19:F22" si="17">IF(S18="",H18,ROUND(S18*$G$4,0))</f>
        <v>0</v>
      </c>
      <c r="G19" s="643"/>
      <c r="H19" s="137">
        <f t="shared" ref="H19:H22" si="18">SUM(F19:G19)</f>
        <v>0</v>
      </c>
      <c r="I19" s="137">
        <f t="shared" si="7"/>
        <v>0</v>
      </c>
      <c r="J19" s="644"/>
      <c r="K19" s="137">
        <f t="shared" si="8"/>
        <v>0</v>
      </c>
      <c r="L19" s="138">
        <f t="shared" si="9"/>
        <v>0</v>
      </c>
      <c r="M19" s="150">
        <f t="shared" si="4"/>
        <v>0</v>
      </c>
      <c r="N19" s="151">
        <f t="shared" si="10"/>
        <v>0</v>
      </c>
      <c r="O19" s="152">
        <f t="shared" si="11"/>
        <v>0</v>
      </c>
      <c r="P19" s="151">
        <f t="shared" si="12"/>
        <v>0</v>
      </c>
      <c r="Q19" s="139">
        <f t="shared" si="13"/>
        <v>0</v>
      </c>
      <c r="R19" s="290">
        <f>ΣΤΟΙΧΕΙΑ!F7+27</f>
        <v>41057</v>
      </c>
      <c r="S19" s="645">
        <v>0</v>
      </c>
      <c r="T19" s="154">
        <f t="shared" si="14"/>
        <v>0</v>
      </c>
      <c r="U19" s="155">
        <f t="shared" si="15"/>
        <v>0</v>
      </c>
      <c r="V19" s="137">
        <f t="shared" si="16"/>
        <v>0</v>
      </c>
      <c r="X19" s="574">
        <v>45.5</v>
      </c>
      <c r="Y19" s="575">
        <f t="shared" si="0"/>
        <v>2.2000000000000028</v>
      </c>
      <c r="Z19" s="576">
        <v>850</v>
      </c>
      <c r="AA19" s="577">
        <f t="shared" si="1"/>
        <v>50</v>
      </c>
      <c r="AB19" s="578">
        <v>42.5</v>
      </c>
    </row>
    <row r="20" spans="1:28" ht="12">
      <c r="A20" s="128">
        <f t="shared" si="6"/>
        <v>8</v>
      </c>
      <c r="B20" s="157">
        <f>ΣΤΟΙΧΕΙΑ!F8</f>
        <v>41061</v>
      </c>
      <c r="C20" s="13"/>
      <c r="D20" s="136" t="str">
        <f>IF(G20="","",ΣΤΟΙΧΕΙΑ!$C$14)</f>
        <v/>
      </c>
      <c r="E20" s="7"/>
      <c r="F20" s="128">
        <f t="shared" si="17"/>
        <v>0</v>
      </c>
      <c r="G20" s="643"/>
      <c r="H20" s="137">
        <f t="shared" si="18"/>
        <v>0</v>
      </c>
      <c r="I20" s="137">
        <f t="shared" si="7"/>
        <v>0</v>
      </c>
      <c r="J20" s="644"/>
      <c r="K20" s="137">
        <f t="shared" si="8"/>
        <v>0</v>
      </c>
      <c r="L20" s="138">
        <f t="shared" si="9"/>
        <v>0</v>
      </c>
      <c r="M20" s="150">
        <f t="shared" si="4"/>
        <v>0</v>
      </c>
      <c r="N20" s="151">
        <f t="shared" si="10"/>
        <v>0</v>
      </c>
      <c r="O20" s="152">
        <f t="shared" si="11"/>
        <v>0</v>
      </c>
      <c r="P20" s="151">
        <f t="shared" si="12"/>
        <v>0</v>
      </c>
      <c r="Q20" s="139">
        <f t="shared" si="13"/>
        <v>0</v>
      </c>
      <c r="R20" s="290">
        <f>ΣΤΟΙΧΕΙΑ!F8+27</f>
        <v>41088</v>
      </c>
      <c r="S20" s="645">
        <v>0</v>
      </c>
      <c r="T20" s="154">
        <f t="shared" si="14"/>
        <v>0</v>
      </c>
      <c r="U20" s="155">
        <f t="shared" si="15"/>
        <v>0</v>
      </c>
      <c r="V20" s="137">
        <f t="shared" si="16"/>
        <v>0</v>
      </c>
      <c r="X20" s="574">
        <v>48</v>
      </c>
      <c r="Y20" s="575">
        <f t="shared" si="0"/>
        <v>2.5</v>
      </c>
      <c r="Z20" s="576">
        <v>900</v>
      </c>
      <c r="AA20" s="577">
        <f t="shared" si="1"/>
        <v>50</v>
      </c>
      <c r="AB20" s="578">
        <v>45</v>
      </c>
    </row>
    <row r="21" spans="1:28" ht="12">
      <c r="A21" s="128">
        <f t="shared" si="6"/>
        <v>9</v>
      </c>
      <c r="B21" s="157">
        <f>ΣΤΟΙΧΕΙΑ!F9</f>
        <v>41091</v>
      </c>
      <c r="C21" s="13"/>
      <c r="D21" s="136" t="str">
        <f>IF(G21="","",ΣΤΟΙΧΕΙΑ!$C$14)</f>
        <v/>
      </c>
      <c r="E21" s="7"/>
      <c r="F21" s="128">
        <f t="shared" si="17"/>
        <v>0</v>
      </c>
      <c r="G21" s="643"/>
      <c r="H21" s="137">
        <f t="shared" si="18"/>
        <v>0</v>
      </c>
      <c r="I21" s="137">
        <f t="shared" si="7"/>
        <v>0</v>
      </c>
      <c r="J21" s="644"/>
      <c r="K21" s="137">
        <f t="shared" si="8"/>
        <v>0</v>
      </c>
      <c r="L21" s="138">
        <f t="shared" si="9"/>
        <v>0</v>
      </c>
      <c r="M21" s="150">
        <f t="shared" si="4"/>
        <v>0</v>
      </c>
      <c r="N21" s="151">
        <f t="shared" si="10"/>
        <v>0</v>
      </c>
      <c r="O21" s="152">
        <f t="shared" si="11"/>
        <v>0</v>
      </c>
      <c r="P21" s="151">
        <f t="shared" si="12"/>
        <v>0</v>
      </c>
      <c r="Q21" s="139">
        <f t="shared" si="13"/>
        <v>0</v>
      </c>
      <c r="R21" s="290">
        <f>ΣΤΟΙΧΕΙΑ!F9+27</f>
        <v>41118</v>
      </c>
      <c r="S21" s="645">
        <v>0</v>
      </c>
      <c r="T21" s="154">
        <f t="shared" si="14"/>
        <v>0</v>
      </c>
      <c r="U21" s="155">
        <f t="shared" si="15"/>
        <v>0</v>
      </c>
      <c r="V21" s="137">
        <f t="shared" si="16"/>
        <v>0</v>
      </c>
      <c r="X21" s="574">
        <v>50.3</v>
      </c>
      <c r="Y21" s="575">
        <f t="shared" si="0"/>
        <v>2.2999999999999972</v>
      </c>
      <c r="Z21" s="576">
        <v>950</v>
      </c>
      <c r="AA21" s="577">
        <f t="shared" si="1"/>
        <v>50</v>
      </c>
      <c r="AB21" s="578">
        <v>47.5</v>
      </c>
    </row>
    <row r="22" spans="1:28" ht="12">
      <c r="A22" s="128">
        <f t="shared" si="6"/>
        <v>10</v>
      </c>
      <c r="B22" s="157">
        <f>ΣΤΟΙΧΕΙΑ!F10</f>
        <v>41122</v>
      </c>
      <c r="C22" s="13"/>
      <c r="D22" s="136" t="str">
        <f>IF(G22="","",ΣΤΟΙΧΕΙΑ!$C$14)</f>
        <v/>
      </c>
      <c r="E22" s="7"/>
      <c r="F22" s="128">
        <f t="shared" si="17"/>
        <v>0</v>
      </c>
      <c r="G22" s="643"/>
      <c r="H22" s="137">
        <f t="shared" si="18"/>
        <v>0</v>
      </c>
      <c r="I22" s="137">
        <f t="shared" si="7"/>
        <v>0</v>
      </c>
      <c r="J22" s="644"/>
      <c r="K22" s="137">
        <f t="shared" si="8"/>
        <v>0</v>
      </c>
      <c r="L22" s="138">
        <f t="shared" si="9"/>
        <v>0</v>
      </c>
      <c r="M22" s="150">
        <f t="shared" si="4"/>
        <v>0</v>
      </c>
      <c r="N22" s="151">
        <f t="shared" si="10"/>
        <v>0</v>
      </c>
      <c r="O22" s="152">
        <f t="shared" si="11"/>
        <v>0</v>
      </c>
      <c r="P22" s="151">
        <f t="shared" si="12"/>
        <v>0</v>
      </c>
      <c r="Q22" s="139">
        <f t="shared" si="13"/>
        <v>0</v>
      </c>
      <c r="R22" s="290">
        <f>ΣΤΟΙΧΕΙΑ!F10+27</f>
        <v>41149</v>
      </c>
      <c r="S22" s="645">
        <v>0</v>
      </c>
      <c r="T22" s="154">
        <f t="shared" si="14"/>
        <v>0</v>
      </c>
      <c r="U22" s="155">
        <f t="shared" si="15"/>
        <v>0</v>
      </c>
      <c r="V22" s="137">
        <f t="shared" si="16"/>
        <v>0</v>
      </c>
      <c r="X22" s="574">
        <v>52.5</v>
      </c>
      <c r="Y22" s="575">
        <f t="shared" si="0"/>
        <v>2.2000000000000028</v>
      </c>
      <c r="Z22" s="576">
        <v>1000</v>
      </c>
      <c r="AA22" s="577">
        <f t="shared" si="1"/>
        <v>50</v>
      </c>
      <c r="AB22" s="578">
        <v>50</v>
      </c>
    </row>
    <row r="23" spans="1:28" ht="12">
      <c r="A23" s="128">
        <f t="shared" si="6"/>
        <v>11</v>
      </c>
      <c r="B23" s="157">
        <f>ΣΤΟΙΧΕΙΑ!F11</f>
        <v>41153</v>
      </c>
      <c r="C23" s="13"/>
      <c r="D23" s="136" t="str">
        <f>IF(G23="","",ΣΤΟΙΧΕΙΑ!$C$14)</f>
        <v/>
      </c>
      <c r="E23" s="7"/>
      <c r="F23" s="128">
        <f t="shared" ref="F23:F26" si="19">IF(S22="",H22,ROUND(S22*$G$4,0))</f>
        <v>0</v>
      </c>
      <c r="G23" s="643"/>
      <c r="H23" s="137">
        <f t="shared" ref="H23:H26" si="20">SUM(F23:G23)</f>
        <v>0</v>
      </c>
      <c r="I23" s="137">
        <f t="shared" si="7"/>
        <v>0</v>
      </c>
      <c r="J23" s="644"/>
      <c r="K23" s="137">
        <f t="shared" si="8"/>
        <v>0</v>
      </c>
      <c r="L23" s="138">
        <f t="shared" si="9"/>
        <v>0</v>
      </c>
      <c r="M23" s="150">
        <f t="shared" si="4"/>
        <v>0</v>
      </c>
      <c r="N23" s="151">
        <f t="shared" si="10"/>
        <v>0</v>
      </c>
      <c r="O23" s="152">
        <f t="shared" si="11"/>
        <v>0</v>
      </c>
      <c r="P23" s="151">
        <f t="shared" si="12"/>
        <v>0</v>
      </c>
      <c r="Q23" s="139">
        <f t="shared" si="13"/>
        <v>0</v>
      </c>
      <c r="R23" s="290">
        <f>ΣΤΟΙΧΕΙΑ!F11+27</f>
        <v>41180</v>
      </c>
      <c r="S23" s="645">
        <v>0</v>
      </c>
      <c r="T23" s="154">
        <f t="shared" si="14"/>
        <v>0</v>
      </c>
      <c r="U23" s="155">
        <f t="shared" si="15"/>
        <v>0</v>
      </c>
      <c r="V23" s="137">
        <f t="shared" si="16"/>
        <v>0</v>
      </c>
      <c r="X23" s="574">
        <v>54.5</v>
      </c>
      <c r="Y23" s="575">
        <f t="shared" si="0"/>
        <v>2</v>
      </c>
      <c r="Z23" s="576">
        <v>1050</v>
      </c>
      <c r="AA23" s="577">
        <f t="shared" si="1"/>
        <v>50</v>
      </c>
      <c r="AB23" s="578">
        <v>52.5</v>
      </c>
    </row>
    <row r="24" spans="1:28" ht="12">
      <c r="A24" s="128">
        <f t="shared" si="6"/>
        <v>12</v>
      </c>
      <c r="B24" s="157">
        <f>ΣΤΟΙΧΕΙΑ!F12</f>
        <v>41183</v>
      </c>
      <c r="C24" s="13"/>
      <c r="D24" s="136" t="str">
        <f>IF(G24="","",ΣΤΟΙΧΕΙΑ!$C$14)</f>
        <v/>
      </c>
      <c r="E24" s="7"/>
      <c r="F24" s="128">
        <f t="shared" si="19"/>
        <v>0</v>
      </c>
      <c r="G24" s="643"/>
      <c r="H24" s="137">
        <f t="shared" si="20"/>
        <v>0</v>
      </c>
      <c r="I24" s="137">
        <f t="shared" si="7"/>
        <v>0</v>
      </c>
      <c r="J24" s="644"/>
      <c r="K24" s="137">
        <f t="shared" si="8"/>
        <v>0</v>
      </c>
      <c r="L24" s="138">
        <f t="shared" si="9"/>
        <v>0</v>
      </c>
      <c r="M24" s="150">
        <f t="shared" si="4"/>
        <v>0</v>
      </c>
      <c r="N24" s="151">
        <f t="shared" si="10"/>
        <v>0</v>
      </c>
      <c r="O24" s="152">
        <f t="shared" si="11"/>
        <v>0</v>
      </c>
      <c r="P24" s="151">
        <f t="shared" si="12"/>
        <v>0</v>
      </c>
      <c r="Q24" s="139">
        <f t="shared" si="13"/>
        <v>0</v>
      </c>
      <c r="R24" s="290">
        <f>ΣΤΟΙΧΕΙΑ!F12+27</f>
        <v>41210</v>
      </c>
      <c r="S24" s="645">
        <v>0</v>
      </c>
      <c r="T24" s="154">
        <f t="shared" si="14"/>
        <v>0</v>
      </c>
      <c r="U24" s="155">
        <f t="shared" si="15"/>
        <v>0</v>
      </c>
      <c r="V24" s="137">
        <f t="shared" si="16"/>
        <v>0</v>
      </c>
      <c r="X24" s="574">
        <v>56.7</v>
      </c>
      <c r="Y24" s="575">
        <f t="shared" si="0"/>
        <v>2.2000000000000028</v>
      </c>
      <c r="Z24" s="576">
        <v>1100</v>
      </c>
      <c r="AA24" s="577">
        <f t="shared" si="1"/>
        <v>50</v>
      </c>
      <c r="AB24" s="578">
        <v>55</v>
      </c>
    </row>
    <row r="25" spans="1:28" ht="12">
      <c r="A25" s="128">
        <f t="shared" si="6"/>
        <v>13</v>
      </c>
      <c r="B25" s="157">
        <f>ΣΤΟΙΧΕΙΑ!F13</f>
        <v>41214</v>
      </c>
      <c r="C25" s="13"/>
      <c r="D25" s="136" t="str">
        <f>IF(G25="","",ΣΤΟΙΧΕΙΑ!$C$14)</f>
        <v/>
      </c>
      <c r="E25" s="7"/>
      <c r="F25" s="128">
        <f t="shared" si="19"/>
        <v>0</v>
      </c>
      <c r="G25" s="643"/>
      <c r="H25" s="137">
        <f t="shared" si="20"/>
        <v>0</v>
      </c>
      <c r="I25" s="137">
        <f t="shared" si="7"/>
        <v>0</v>
      </c>
      <c r="J25" s="644"/>
      <c r="K25" s="137">
        <f t="shared" si="8"/>
        <v>0</v>
      </c>
      <c r="L25" s="138">
        <f t="shared" si="9"/>
        <v>0</v>
      </c>
      <c r="M25" s="150">
        <f t="shared" si="4"/>
        <v>0</v>
      </c>
      <c r="N25" s="151">
        <f t="shared" si="10"/>
        <v>0</v>
      </c>
      <c r="O25" s="152">
        <f t="shared" si="11"/>
        <v>0</v>
      </c>
      <c r="P25" s="151">
        <f t="shared" si="12"/>
        <v>0</v>
      </c>
      <c r="Q25" s="139">
        <f t="shared" si="13"/>
        <v>0</v>
      </c>
      <c r="R25" s="290">
        <f>ΣΤΟΙΧΕΙΑ!F13+27</f>
        <v>41241</v>
      </c>
      <c r="S25" s="645">
        <v>0</v>
      </c>
      <c r="T25" s="154">
        <f t="shared" si="14"/>
        <v>0</v>
      </c>
      <c r="U25" s="155">
        <f t="shared" si="15"/>
        <v>0</v>
      </c>
      <c r="V25" s="137">
        <f t="shared" si="16"/>
        <v>0</v>
      </c>
      <c r="X25" s="574">
        <v>59</v>
      </c>
      <c r="Y25" s="575">
        <f t="shared" si="0"/>
        <v>2.2999999999999972</v>
      </c>
      <c r="Z25" s="576">
        <v>1150</v>
      </c>
      <c r="AA25" s="577">
        <f t="shared" si="1"/>
        <v>50</v>
      </c>
      <c r="AB25" s="578">
        <v>57.5</v>
      </c>
    </row>
    <row r="26" spans="1:28" ht="12">
      <c r="A26" s="167">
        <f t="shared" si="6"/>
        <v>14</v>
      </c>
      <c r="B26" s="168">
        <f>ΣΤΟΙΧΕΙΑ!F14</f>
        <v>41244</v>
      </c>
      <c r="C26" s="13"/>
      <c r="D26" s="169" t="str">
        <f>IF(G26="","",ΣΤΟΙΧΕΙΑ!$C$14)</f>
        <v/>
      </c>
      <c r="E26" s="7"/>
      <c r="F26" s="167">
        <f t="shared" si="19"/>
        <v>0</v>
      </c>
      <c r="G26" s="643"/>
      <c r="H26" s="170">
        <f t="shared" si="20"/>
        <v>0</v>
      </c>
      <c r="I26" s="170">
        <f t="shared" si="7"/>
        <v>0</v>
      </c>
      <c r="J26" s="644"/>
      <c r="K26" s="170">
        <f t="shared" si="8"/>
        <v>0</v>
      </c>
      <c r="L26" s="171">
        <f t="shared" si="9"/>
        <v>0</v>
      </c>
      <c r="M26" s="172">
        <f t="shared" si="4"/>
        <v>0</v>
      </c>
      <c r="N26" s="173">
        <f t="shared" si="10"/>
        <v>0</v>
      </c>
      <c r="O26" s="174">
        <f t="shared" si="11"/>
        <v>0</v>
      </c>
      <c r="P26" s="173">
        <f t="shared" si="12"/>
        <v>0</v>
      </c>
      <c r="Q26" s="175">
        <f t="shared" si="13"/>
        <v>0</v>
      </c>
      <c r="R26" s="291">
        <f>ΣΤΟΙΧΕΙΑ!F14+27</f>
        <v>41271</v>
      </c>
      <c r="S26" s="645">
        <v>0</v>
      </c>
      <c r="T26" s="176">
        <f t="shared" si="14"/>
        <v>0</v>
      </c>
      <c r="U26" s="177">
        <f t="shared" si="15"/>
        <v>0</v>
      </c>
      <c r="V26" s="170">
        <f t="shared" si="16"/>
        <v>0</v>
      </c>
      <c r="X26" s="574">
        <v>61</v>
      </c>
      <c r="Y26" s="575">
        <f t="shared" si="0"/>
        <v>2</v>
      </c>
      <c r="Z26" s="576">
        <v>1200</v>
      </c>
      <c r="AA26" s="577">
        <f t="shared" si="1"/>
        <v>50</v>
      </c>
      <c r="AB26" s="578">
        <v>60</v>
      </c>
    </row>
    <row r="27" spans="1:28" ht="12">
      <c r="A27" s="167">
        <f t="shared" si="6"/>
        <v>15</v>
      </c>
      <c r="B27" s="168">
        <f>ΣΤΟΙΧΕΙΑ!F15</f>
        <v>41275</v>
      </c>
      <c r="C27" s="13"/>
      <c r="D27" s="169" t="str">
        <f>IF(G27="","",ΣΤΟΙΧΕΙΑ!$C$14)</f>
        <v/>
      </c>
      <c r="E27" s="7"/>
      <c r="F27" s="167">
        <f t="shared" ref="F27:F33" si="21">IF(S26="",H26,ROUND(S26*$G$4,0))</f>
        <v>0</v>
      </c>
      <c r="G27" s="643"/>
      <c r="H27" s="170">
        <f t="shared" ref="H27:H33" si="22">SUM(F27:G27)</f>
        <v>0</v>
      </c>
      <c r="I27" s="170">
        <f t="shared" ref="I27:I33" si="23">ROUND(F27*M26,1)</f>
        <v>0</v>
      </c>
      <c r="J27" s="644"/>
      <c r="K27" s="170">
        <f t="shared" ref="K27:K33" si="24">I27+J27</f>
        <v>0</v>
      </c>
      <c r="L27" s="171">
        <f t="shared" ref="L27:L33" si="25">IF(G27="",0,ROUND(J27/G27,3))</f>
        <v>0</v>
      </c>
      <c r="M27" s="172">
        <f t="shared" ref="M27:M33" si="26">IF(H27=0,0,ROUND(K27/H27,4))</f>
        <v>0</v>
      </c>
      <c r="N27" s="173">
        <f t="shared" ref="N27:N33" si="27">ROUND(F27/$G$4,1)</f>
        <v>0</v>
      </c>
      <c r="O27" s="174">
        <f t="shared" si="11"/>
        <v>0</v>
      </c>
      <c r="P27" s="173">
        <f t="shared" ref="P27:P33" si="28">IF(G27="",0,IF(S26="",ROUND((H27-F27)/$G$4,0),O27-N27))</f>
        <v>0</v>
      </c>
      <c r="Q27" s="175">
        <f t="shared" ref="Q27:Q33" si="29">IF(ROUND(P27*$G$4,0)&lt;G27,"ΚΛΕΒΕΙ",ROUND(P27*$G$4,0))</f>
        <v>0</v>
      </c>
      <c r="R27" s="291">
        <f>ΣΤΟΙΧΕΙΑ!F15+27</f>
        <v>41302</v>
      </c>
      <c r="S27" s="645">
        <v>0</v>
      </c>
      <c r="T27" s="176">
        <f t="shared" ref="T27:T33" si="30">IF(S27="",0,IF(G27="",ROUND(N27-S27,1),ROUND(O27-S27,1)))</f>
        <v>0</v>
      </c>
      <c r="U27" s="177">
        <f t="shared" ref="U27:U33" si="31">ROUND(T27*$G$4,1)</f>
        <v>0</v>
      </c>
      <c r="V27" s="170">
        <f t="shared" ref="V27:V33" si="32">ROUND(U27*M27,0)</f>
        <v>0</v>
      </c>
      <c r="X27" s="574">
        <v>63.5</v>
      </c>
      <c r="Y27" s="575">
        <f t="shared" si="0"/>
        <v>2.5</v>
      </c>
      <c r="Z27" s="576">
        <v>1250</v>
      </c>
      <c r="AA27" s="577">
        <f t="shared" si="1"/>
        <v>50</v>
      </c>
      <c r="AB27" s="578">
        <v>62.5</v>
      </c>
    </row>
    <row r="28" spans="1:28" ht="12">
      <c r="A28" s="167">
        <f t="shared" si="6"/>
        <v>16</v>
      </c>
      <c r="B28" s="168">
        <f>ΣΤΟΙΧΕΙΑ!F16</f>
        <v>41306</v>
      </c>
      <c r="C28" s="13"/>
      <c r="D28" s="169" t="str">
        <f>IF(G28="","",ΣΤΟΙΧΕΙΑ!$C$14)</f>
        <v/>
      </c>
      <c r="E28" s="7"/>
      <c r="F28" s="167">
        <f t="shared" si="21"/>
        <v>0</v>
      </c>
      <c r="G28" s="643"/>
      <c r="H28" s="170">
        <f t="shared" si="22"/>
        <v>0</v>
      </c>
      <c r="I28" s="170">
        <f t="shared" si="23"/>
        <v>0</v>
      </c>
      <c r="J28" s="644"/>
      <c r="K28" s="170">
        <f t="shared" si="24"/>
        <v>0</v>
      </c>
      <c r="L28" s="171">
        <f t="shared" si="25"/>
        <v>0</v>
      </c>
      <c r="M28" s="172">
        <f t="shared" si="26"/>
        <v>0</v>
      </c>
      <c r="N28" s="173">
        <f t="shared" si="27"/>
        <v>0</v>
      </c>
      <c r="O28" s="174">
        <f t="shared" si="11"/>
        <v>0</v>
      </c>
      <c r="P28" s="173">
        <f t="shared" si="28"/>
        <v>0</v>
      </c>
      <c r="Q28" s="175">
        <f t="shared" si="29"/>
        <v>0</v>
      </c>
      <c r="R28" s="291">
        <f>ΣΤΟΙΧΕΙΑ!F16+27</f>
        <v>41333</v>
      </c>
      <c r="S28" s="645">
        <v>0</v>
      </c>
      <c r="T28" s="176">
        <f t="shared" si="30"/>
        <v>0</v>
      </c>
      <c r="U28" s="177">
        <f t="shared" si="31"/>
        <v>0</v>
      </c>
      <c r="V28" s="170">
        <f t="shared" si="32"/>
        <v>0</v>
      </c>
      <c r="X28" s="574">
        <v>66</v>
      </c>
      <c r="Y28" s="575">
        <f t="shared" si="0"/>
        <v>2.5</v>
      </c>
      <c r="Z28" s="576">
        <v>1300</v>
      </c>
      <c r="AA28" s="577">
        <f t="shared" si="1"/>
        <v>50</v>
      </c>
      <c r="AB28" s="578">
        <v>65</v>
      </c>
    </row>
    <row r="29" spans="1:28" ht="12">
      <c r="A29" s="167">
        <f t="shared" si="6"/>
        <v>17</v>
      </c>
      <c r="B29" s="168">
        <f>ΣΤΟΙΧΕΙΑ!F17</f>
        <v>41334</v>
      </c>
      <c r="C29" s="13"/>
      <c r="D29" s="169" t="str">
        <f>IF(G29="","",ΣΤΟΙΧΕΙΑ!$C$14)</f>
        <v/>
      </c>
      <c r="E29" s="7"/>
      <c r="F29" s="167">
        <f t="shared" si="21"/>
        <v>0</v>
      </c>
      <c r="G29" s="643"/>
      <c r="H29" s="170">
        <f t="shared" si="22"/>
        <v>0</v>
      </c>
      <c r="I29" s="170">
        <f t="shared" si="23"/>
        <v>0</v>
      </c>
      <c r="J29" s="644"/>
      <c r="K29" s="170">
        <f t="shared" si="24"/>
        <v>0</v>
      </c>
      <c r="L29" s="171">
        <f t="shared" si="25"/>
        <v>0</v>
      </c>
      <c r="M29" s="172">
        <f t="shared" si="26"/>
        <v>0</v>
      </c>
      <c r="N29" s="173">
        <f t="shared" si="27"/>
        <v>0</v>
      </c>
      <c r="O29" s="174">
        <f t="shared" si="11"/>
        <v>0</v>
      </c>
      <c r="P29" s="173">
        <f t="shared" si="28"/>
        <v>0</v>
      </c>
      <c r="Q29" s="175">
        <f t="shared" si="29"/>
        <v>0</v>
      </c>
      <c r="R29" s="291">
        <f>ΣΤΟΙΧΕΙΑ!F17+27</f>
        <v>41361</v>
      </c>
      <c r="S29" s="645">
        <v>0</v>
      </c>
      <c r="T29" s="176">
        <f t="shared" si="30"/>
        <v>0</v>
      </c>
      <c r="U29" s="177">
        <f t="shared" si="31"/>
        <v>0</v>
      </c>
      <c r="V29" s="170">
        <f t="shared" si="32"/>
        <v>0</v>
      </c>
      <c r="X29" s="574">
        <v>68.3</v>
      </c>
      <c r="Y29" s="575">
        <f t="shared" si="0"/>
        <v>2.2999999999999972</v>
      </c>
      <c r="Z29" s="576">
        <v>1350</v>
      </c>
      <c r="AA29" s="577">
        <f t="shared" si="1"/>
        <v>50</v>
      </c>
      <c r="AB29" s="578">
        <v>67.5</v>
      </c>
    </row>
    <row r="30" spans="1:28" ht="12">
      <c r="A30" s="167">
        <f t="shared" si="6"/>
        <v>18</v>
      </c>
      <c r="B30" s="168">
        <f>ΣΤΟΙΧΕΙΑ!F18</f>
        <v>41365</v>
      </c>
      <c r="C30" s="13"/>
      <c r="D30" s="169" t="str">
        <f>IF(G30="","",ΣΤΟΙΧΕΙΑ!$C$14)</f>
        <v/>
      </c>
      <c r="E30" s="7"/>
      <c r="F30" s="167">
        <f t="shared" si="21"/>
        <v>0</v>
      </c>
      <c r="G30" s="643"/>
      <c r="H30" s="170">
        <f t="shared" si="22"/>
        <v>0</v>
      </c>
      <c r="I30" s="170">
        <f t="shared" si="23"/>
        <v>0</v>
      </c>
      <c r="J30" s="644"/>
      <c r="K30" s="170">
        <f t="shared" si="24"/>
        <v>0</v>
      </c>
      <c r="L30" s="171">
        <f t="shared" si="25"/>
        <v>0</v>
      </c>
      <c r="M30" s="172">
        <f t="shared" si="26"/>
        <v>0</v>
      </c>
      <c r="N30" s="173">
        <f t="shared" si="27"/>
        <v>0</v>
      </c>
      <c r="O30" s="174">
        <f t="shared" si="11"/>
        <v>0</v>
      </c>
      <c r="P30" s="173">
        <f t="shared" si="28"/>
        <v>0</v>
      </c>
      <c r="Q30" s="175">
        <f t="shared" si="29"/>
        <v>0</v>
      </c>
      <c r="R30" s="291">
        <f>ΣΤΟΙΧΕΙΑ!F18+27</f>
        <v>41392</v>
      </c>
      <c r="S30" s="645">
        <v>0</v>
      </c>
      <c r="T30" s="176">
        <f t="shared" si="30"/>
        <v>0</v>
      </c>
      <c r="U30" s="177">
        <f t="shared" si="31"/>
        <v>0</v>
      </c>
      <c r="V30" s="170">
        <f t="shared" si="32"/>
        <v>0</v>
      </c>
      <c r="X30" s="574">
        <v>70.5</v>
      </c>
      <c r="Y30" s="575">
        <f t="shared" si="0"/>
        <v>2.2000000000000028</v>
      </c>
      <c r="Z30" s="576">
        <v>1400</v>
      </c>
      <c r="AA30" s="577">
        <f t="shared" si="1"/>
        <v>50</v>
      </c>
      <c r="AB30" s="578">
        <v>70</v>
      </c>
    </row>
    <row r="31" spans="1:28" ht="12">
      <c r="A31" s="167">
        <f t="shared" si="6"/>
        <v>19</v>
      </c>
      <c r="B31" s="168">
        <f>ΣΤΟΙΧΕΙΑ!F19</f>
        <v>41395</v>
      </c>
      <c r="C31" s="13"/>
      <c r="D31" s="169" t="str">
        <f>IF(G31="","",ΣΤΟΙΧΕΙΑ!$C$14)</f>
        <v/>
      </c>
      <c r="E31" s="7"/>
      <c r="F31" s="167">
        <f t="shared" si="21"/>
        <v>0</v>
      </c>
      <c r="G31" s="643"/>
      <c r="H31" s="170">
        <f t="shared" si="22"/>
        <v>0</v>
      </c>
      <c r="I31" s="170">
        <f t="shared" si="23"/>
        <v>0</v>
      </c>
      <c r="J31" s="644"/>
      <c r="K31" s="170">
        <f t="shared" si="24"/>
        <v>0</v>
      </c>
      <c r="L31" s="171">
        <f t="shared" si="25"/>
        <v>0</v>
      </c>
      <c r="M31" s="172">
        <f t="shared" si="26"/>
        <v>0</v>
      </c>
      <c r="N31" s="173">
        <f t="shared" si="27"/>
        <v>0</v>
      </c>
      <c r="O31" s="174">
        <f t="shared" si="11"/>
        <v>0</v>
      </c>
      <c r="P31" s="173">
        <f t="shared" si="28"/>
        <v>0</v>
      </c>
      <c r="Q31" s="175">
        <f t="shared" si="29"/>
        <v>0</v>
      </c>
      <c r="R31" s="291">
        <f>ΣΤΟΙΧΕΙΑ!F19+27</f>
        <v>41422</v>
      </c>
      <c r="S31" s="645">
        <v>0</v>
      </c>
      <c r="T31" s="176">
        <f t="shared" si="30"/>
        <v>0</v>
      </c>
      <c r="U31" s="177">
        <f t="shared" si="31"/>
        <v>0</v>
      </c>
      <c r="V31" s="170">
        <f t="shared" si="32"/>
        <v>0</v>
      </c>
      <c r="X31" s="574">
        <v>73.3</v>
      </c>
      <c r="Y31" s="575">
        <f t="shared" si="0"/>
        <v>2.7999999999999972</v>
      </c>
      <c r="Z31" s="576">
        <v>1450</v>
      </c>
      <c r="AA31" s="577">
        <f t="shared" si="1"/>
        <v>50</v>
      </c>
      <c r="AB31" s="578">
        <v>72.5</v>
      </c>
    </row>
    <row r="32" spans="1:28" ht="12">
      <c r="A32" s="167">
        <f t="shared" si="6"/>
        <v>20</v>
      </c>
      <c r="B32" s="168">
        <f>ΣΤΟΙΧΕΙΑ!F20</f>
        <v>41426</v>
      </c>
      <c r="C32" s="13"/>
      <c r="D32" s="169" t="str">
        <f>IF(G32="","",ΣΤΟΙΧΕΙΑ!$C$14)</f>
        <v/>
      </c>
      <c r="E32" s="7"/>
      <c r="F32" s="167">
        <f t="shared" si="21"/>
        <v>0</v>
      </c>
      <c r="G32" s="643"/>
      <c r="H32" s="170">
        <f t="shared" si="22"/>
        <v>0</v>
      </c>
      <c r="I32" s="170">
        <f t="shared" si="23"/>
        <v>0</v>
      </c>
      <c r="J32" s="644"/>
      <c r="K32" s="170">
        <f t="shared" si="24"/>
        <v>0</v>
      </c>
      <c r="L32" s="171">
        <f t="shared" si="25"/>
        <v>0</v>
      </c>
      <c r="M32" s="172">
        <f t="shared" si="26"/>
        <v>0</v>
      </c>
      <c r="N32" s="173">
        <f t="shared" si="27"/>
        <v>0</v>
      </c>
      <c r="O32" s="174">
        <f t="shared" si="11"/>
        <v>0</v>
      </c>
      <c r="P32" s="173">
        <f t="shared" si="28"/>
        <v>0</v>
      </c>
      <c r="Q32" s="175">
        <f t="shared" si="29"/>
        <v>0</v>
      </c>
      <c r="R32" s="291">
        <f>ΣΤΟΙΧΕΙΑ!F20+27</f>
        <v>41453</v>
      </c>
      <c r="S32" s="645"/>
      <c r="T32" s="176">
        <f t="shared" si="30"/>
        <v>0</v>
      </c>
      <c r="U32" s="177">
        <f t="shared" si="31"/>
        <v>0</v>
      </c>
      <c r="V32" s="170">
        <f t="shared" si="32"/>
        <v>0</v>
      </c>
      <c r="X32" s="574">
        <v>75.5</v>
      </c>
      <c r="Y32" s="575">
        <f t="shared" si="0"/>
        <v>2.2000000000000028</v>
      </c>
      <c r="Z32" s="576">
        <v>1500</v>
      </c>
      <c r="AA32" s="577">
        <f t="shared" si="1"/>
        <v>50</v>
      </c>
      <c r="AB32" s="578">
        <v>75</v>
      </c>
    </row>
    <row r="33" spans="1:28" ht="12">
      <c r="A33" s="167">
        <f t="shared" si="6"/>
        <v>21</v>
      </c>
      <c r="B33" s="168">
        <f>ΣΤΟΙΧΕΙΑ!F21</f>
        <v>41456</v>
      </c>
      <c r="C33" s="13"/>
      <c r="D33" s="169" t="str">
        <f>IF(G33="","",ΣΤΟΙΧΕΙΑ!$C$14)</f>
        <v/>
      </c>
      <c r="E33" s="7"/>
      <c r="F33" s="167">
        <f t="shared" si="21"/>
        <v>0</v>
      </c>
      <c r="G33" s="643"/>
      <c r="H33" s="170">
        <f t="shared" si="22"/>
        <v>0</v>
      </c>
      <c r="I33" s="170">
        <f t="shared" si="23"/>
        <v>0</v>
      </c>
      <c r="J33" s="644"/>
      <c r="K33" s="170">
        <f t="shared" si="24"/>
        <v>0</v>
      </c>
      <c r="L33" s="171">
        <f t="shared" si="25"/>
        <v>0</v>
      </c>
      <c r="M33" s="172">
        <f t="shared" si="26"/>
        <v>0</v>
      </c>
      <c r="N33" s="173">
        <f t="shared" si="27"/>
        <v>0</v>
      </c>
      <c r="O33" s="174">
        <f t="shared" si="11"/>
        <v>0</v>
      </c>
      <c r="P33" s="173">
        <f t="shared" si="28"/>
        <v>0</v>
      </c>
      <c r="Q33" s="175">
        <f t="shared" si="29"/>
        <v>0</v>
      </c>
      <c r="R33" s="291">
        <f>ΣΤΟΙΧΕΙΑ!F21+27</f>
        <v>41483</v>
      </c>
      <c r="S33" s="152">
        <v>0</v>
      </c>
      <c r="T33" s="176">
        <f t="shared" si="30"/>
        <v>0</v>
      </c>
      <c r="U33" s="177">
        <f t="shared" si="31"/>
        <v>0</v>
      </c>
      <c r="V33" s="170">
        <f t="shared" si="32"/>
        <v>0</v>
      </c>
      <c r="X33" s="574">
        <v>78.3</v>
      </c>
      <c r="Y33" s="575">
        <f t="shared" si="0"/>
        <v>2.7999999999999972</v>
      </c>
      <c r="Z33" s="576">
        <v>1550</v>
      </c>
      <c r="AA33" s="577">
        <f t="shared" si="1"/>
        <v>50</v>
      </c>
      <c r="AB33" s="578">
        <v>77.5</v>
      </c>
    </row>
    <row r="34" spans="1:28" s="164" customFormat="1" ht="12.75">
      <c r="A34" s="712" t="s">
        <v>221</v>
      </c>
      <c r="B34" s="712"/>
      <c r="C34" s="712"/>
      <c r="D34" s="712"/>
      <c r="E34" s="712"/>
      <c r="F34" s="712"/>
      <c r="G34" s="712"/>
      <c r="H34" s="712"/>
      <c r="I34" s="712"/>
      <c r="J34" s="243">
        <f>SUM(J13:J33)</f>
        <v>1091</v>
      </c>
      <c r="K34" s="712" t="s">
        <v>222</v>
      </c>
      <c r="L34" s="712"/>
      <c r="M34" s="712"/>
      <c r="N34" s="712"/>
      <c r="O34" s="712"/>
      <c r="P34" s="712"/>
      <c r="Q34" s="712"/>
      <c r="R34" s="712"/>
      <c r="S34" s="712"/>
      <c r="T34" s="712"/>
      <c r="U34" s="712"/>
      <c r="V34" s="243">
        <f>SUM(V13:V33)</f>
        <v>1090</v>
      </c>
      <c r="X34" s="574">
        <v>81</v>
      </c>
      <c r="Y34" s="575">
        <f t="shared" si="0"/>
        <v>2.7000000000000028</v>
      </c>
      <c r="Z34" s="576">
        <v>1600</v>
      </c>
      <c r="AA34" s="577">
        <f t="shared" si="1"/>
        <v>50</v>
      </c>
      <c r="AB34" s="578">
        <v>80</v>
      </c>
    </row>
    <row r="35" spans="1:28" ht="12">
      <c r="X35" s="574">
        <v>83.5</v>
      </c>
      <c r="Y35" s="575">
        <f t="shared" si="0"/>
        <v>2.5</v>
      </c>
      <c r="Z35" s="576">
        <v>1650</v>
      </c>
      <c r="AA35" s="577">
        <f t="shared" si="1"/>
        <v>50</v>
      </c>
      <c r="AB35" s="578">
        <v>82.5</v>
      </c>
    </row>
    <row r="36" spans="1:28" ht="12">
      <c r="X36" s="574">
        <v>86</v>
      </c>
      <c r="Y36" s="575">
        <f t="shared" si="0"/>
        <v>2.5</v>
      </c>
      <c r="Z36" s="576">
        <v>1700</v>
      </c>
      <c r="AA36" s="577">
        <f t="shared" si="1"/>
        <v>50</v>
      </c>
      <c r="AB36" s="578">
        <v>85</v>
      </c>
    </row>
    <row r="37" spans="1:28" ht="12">
      <c r="X37" s="574">
        <v>89</v>
      </c>
      <c r="Y37" s="575">
        <f t="shared" si="0"/>
        <v>3</v>
      </c>
      <c r="Z37" s="576">
        <v>1750</v>
      </c>
      <c r="AA37" s="577">
        <f t="shared" si="1"/>
        <v>50</v>
      </c>
      <c r="AB37" s="578">
        <v>87.5</v>
      </c>
    </row>
    <row r="38" spans="1:28" ht="12">
      <c r="X38" s="574">
        <v>92</v>
      </c>
      <c r="Y38" s="575">
        <f t="shared" si="0"/>
        <v>3</v>
      </c>
      <c r="Z38" s="576">
        <v>1800</v>
      </c>
      <c r="AA38" s="577">
        <f t="shared" si="1"/>
        <v>50</v>
      </c>
      <c r="AB38" s="578">
        <v>90</v>
      </c>
    </row>
    <row r="39" spans="1:28" ht="12">
      <c r="X39" s="574">
        <v>95.5</v>
      </c>
      <c r="Y39" s="575">
        <f t="shared" si="0"/>
        <v>3.5</v>
      </c>
      <c r="Z39" s="576">
        <v>1850</v>
      </c>
      <c r="AA39" s="577">
        <f t="shared" si="1"/>
        <v>50</v>
      </c>
      <c r="AB39" s="578">
        <v>92.5</v>
      </c>
    </row>
    <row r="40" spans="1:28" ht="12">
      <c r="X40" s="574">
        <v>98.5</v>
      </c>
      <c r="Y40" s="575">
        <f t="shared" si="0"/>
        <v>3</v>
      </c>
      <c r="Z40" s="576">
        <v>1900</v>
      </c>
      <c r="AA40" s="577">
        <f t="shared" si="1"/>
        <v>50</v>
      </c>
      <c r="AB40" s="578">
        <v>95</v>
      </c>
    </row>
    <row r="41" spans="1:28" ht="12">
      <c r="X41" s="574">
        <v>101.5</v>
      </c>
      <c r="Y41" s="575">
        <f t="shared" si="0"/>
        <v>3</v>
      </c>
      <c r="Z41" s="576">
        <v>1950</v>
      </c>
      <c r="AA41" s="577">
        <f t="shared" si="1"/>
        <v>50</v>
      </c>
      <c r="AB41" s="578">
        <v>97.5</v>
      </c>
    </row>
    <row r="42" spans="1:28" ht="12">
      <c r="X42" s="574">
        <v>106</v>
      </c>
      <c r="Y42" s="575">
        <f t="shared" si="0"/>
        <v>4.5</v>
      </c>
      <c r="Z42" s="576">
        <v>2000</v>
      </c>
      <c r="AA42" s="577">
        <f t="shared" si="1"/>
        <v>50</v>
      </c>
      <c r="AB42" s="578">
        <v>100</v>
      </c>
    </row>
    <row r="43" spans="1:28" ht="12">
      <c r="X43" s="574">
        <v>111.3</v>
      </c>
      <c r="Y43" s="575">
        <f t="shared" si="0"/>
        <v>5.2999999999999972</v>
      </c>
      <c r="Z43" s="576">
        <v>2050</v>
      </c>
      <c r="AA43" s="577">
        <f t="shared" si="1"/>
        <v>50</v>
      </c>
      <c r="AB43" s="578">
        <v>102.5</v>
      </c>
    </row>
    <row r="44" spans="1:28" ht="12">
      <c r="X44" s="574">
        <v>118</v>
      </c>
      <c r="Y44" s="575">
        <f t="shared" si="0"/>
        <v>6.7000000000000028</v>
      </c>
      <c r="Z44" s="576">
        <v>2100</v>
      </c>
      <c r="AA44" s="577">
        <f t="shared" si="1"/>
        <v>50</v>
      </c>
      <c r="AB44" s="578">
        <v>105</v>
      </c>
    </row>
  </sheetData>
  <sheetProtection password="E4A3" sheet="1" objects="1" scenarios="1"/>
  <mergeCells count="24">
    <mergeCell ref="A9:V9"/>
    <mergeCell ref="R10:R11"/>
    <mergeCell ref="Q10:Q11"/>
    <mergeCell ref="A10:A11"/>
    <mergeCell ref="N10:P10"/>
    <mergeCell ref="I10:M10"/>
    <mergeCell ref="C10:E10"/>
    <mergeCell ref="B10:B11"/>
    <mergeCell ref="X1:AB1"/>
    <mergeCell ref="A34:I34"/>
    <mergeCell ref="K34:U34"/>
    <mergeCell ref="A6:Q6"/>
    <mergeCell ref="A2:C2"/>
    <mergeCell ref="F2:F3"/>
    <mergeCell ref="G2:G3"/>
    <mergeCell ref="A7:B8"/>
    <mergeCell ref="C7:J7"/>
    <mergeCell ref="C8:J8"/>
    <mergeCell ref="H5:Q5"/>
    <mergeCell ref="A1:G1"/>
    <mergeCell ref="H2:Q4"/>
    <mergeCell ref="H1:Q1"/>
    <mergeCell ref="F10:H10"/>
    <mergeCell ref="S10:U10"/>
  </mergeCells>
  <hyperlinks>
    <hyperlink ref="A6:Q6" location="ΠΛΟΗΓΗΣΗ!A1" display="Επιστροφή   στην   ΠΛΟΗΓΗΣΗ"/>
    <hyperlink ref="C7" r:id="rId1"/>
    <hyperlink ref="C8" r:id="rId2"/>
  </hyperlinks>
  <pageMargins left="0.19685039370078741" right="0.39370078740157483" top="0.39370078740157483" bottom="0.39370078740157483" header="0.31496062992125984" footer="0.31496062992125984"/>
  <pageSetup paperSize="9" orientation="landscape" r:id="rId3"/>
  <customProperties>
    <customPr name="DVSECTIONID" r:id="rId4"/>
  </customProperties>
  <drawing r:id="rId5"/>
  <legacyDrawing r:id="rId6"/>
</worksheet>
</file>

<file path=xl/worksheets/sheet5.xml><?xml version="1.0" encoding="utf-8"?>
<worksheet xmlns="http://schemas.openxmlformats.org/spreadsheetml/2006/main" xmlns:r="http://schemas.openxmlformats.org/officeDocument/2006/relationships">
  <sheetPr codeName="Φύλλο5">
    <tabColor rgb="FFFF0000"/>
  </sheetPr>
  <dimension ref="A1:P54"/>
  <sheetViews>
    <sheetView zoomScaleNormal="100" workbookViewId="0">
      <selection activeCell="R20" sqref="R20"/>
    </sheetView>
  </sheetViews>
  <sheetFormatPr defaultColWidth="9.140625" defaultRowHeight="12"/>
  <cols>
    <col min="1" max="1" width="3.85546875" style="16" bestFit="1" customWidth="1"/>
    <col min="2" max="2" width="9.42578125" style="16" bestFit="1" customWidth="1"/>
    <col min="3" max="3" width="8" style="16" bestFit="1" customWidth="1"/>
    <col min="4" max="8" width="8.140625" style="16" bestFit="1" customWidth="1"/>
    <col min="9" max="16" width="7.5703125" style="16" customWidth="1"/>
    <col min="17" max="16384" width="9.140625" style="16"/>
  </cols>
  <sheetData>
    <row r="1" spans="1:16" s="14" customFormat="1" ht="54" customHeight="1">
      <c r="B1" s="15"/>
      <c r="C1" s="15"/>
      <c r="D1" s="746" t="str">
        <f>ΣΤΟΙΧΕΙΑ!C15</f>
        <v>Μετρητές  &amp;  Ώρες:</v>
      </c>
      <c r="E1" s="746"/>
      <c r="F1" s="746"/>
      <c r="G1" s="746"/>
      <c r="H1" s="746"/>
      <c r="I1" s="746"/>
      <c r="J1" s="747" t="str">
        <f>ΣΤΟΙΧΕΙΑ!C12</f>
        <v>Διευθύνση 123</v>
      </c>
      <c r="K1" s="747"/>
      <c r="L1" s="747"/>
      <c r="M1" s="747"/>
      <c r="N1" s="747"/>
      <c r="O1" s="747"/>
      <c r="P1" s="747"/>
    </row>
    <row r="2" spans="1:16" s="30" customFormat="1" ht="15.75">
      <c r="A2" s="745" t="s">
        <v>492</v>
      </c>
      <c r="B2" s="745"/>
      <c r="C2" s="745"/>
      <c r="D2" s="745"/>
      <c r="E2" s="745"/>
      <c r="F2" s="745"/>
      <c r="G2" s="745"/>
      <c r="H2" s="745"/>
      <c r="I2" s="745"/>
      <c r="J2" s="745"/>
      <c r="K2" s="745"/>
      <c r="L2" s="745"/>
      <c r="M2" s="745"/>
      <c r="N2" s="745"/>
      <c r="O2" s="745"/>
      <c r="P2" s="745"/>
    </row>
    <row r="3" spans="1:16">
      <c r="A3" s="294" t="s">
        <v>24</v>
      </c>
      <c r="B3" s="294" t="s">
        <v>11</v>
      </c>
      <c r="C3" s="294" t="s">
        <v>89</v>
      </c>
      <c r="D3" s="295">
        <f ca="1">INDIRECT(ADDRESS(A4,6,3,,"ΣΤΟΙΧΕΙΑ"))+27</f>
        <v>40875</v>
      </c>
      <c r="E3" s="295">
        <f t="shared" ref="E3:P3" ca="1" si="0">INDIRECT(ADDRESS(B4,6,3,,"ΣΤΟΙΧΕΙΑ"))+27</f>
        <v>40905</v>
      </c>
      <c r="F3" s="295">
        <f t="shared" ca="1" si="0"/>
        <v>40936</v>
      </c>
      <c r="G3" s="295">
        <f t="shared" ca="1" si="0"/>
        <v>40967</v>
      </c>
      <c r="H3" s="295">
        <f t="shared" ca="1" si="0"/>
        <v>40996</v>
      </c>
      <c r="I3" s="295">
        <f t="shared" ca="1" si="0"/>
        <v>41027</v>
      </c>
      <c r="J3" s="295">
        <f t="shared" ca="1" si="0"/>
        <v>41057</v>
      </c>
      <c r="K3" s="295">
        <f t="shared" ca="1" si="0"/>
        <v>41088</v>
      </c>
      <c r="L3" s="295">
        <f t="shared" ca="1" si="0"/>
        <v>41118</v>
      </c>
      <c r="M3" s="295">
        <f t="shared" ca="1" si="0"/>
        <v>41149</v>
      </c>
      <c r="N3" s="295">
        <f t="shared" ca="1" si="0"/>
        <v>41180</v>
      </c>
      <c r="O3" s="295">
        <f t="shared" ca="1" si="0"/>
        <v>41210</v>
      </c>
      <c r="P3" s="295">
        <f t="shared" ca="1" si="0"/>
        <v>41241</v>
      </c>
    </row>
    <row r="4" spans="1:16" s="31" customFormat="1">
      <c r="A4" s="293">
        <v>1</v>
      </c>
      <c r="B4" s="293">
        <f>A4+1</f>
        <v>2</v>
      </c>
      <c r="C4" s="293">
        <f t="shared" ref="C4:P4" si="1">B4+1</f>
        <v>3</v>
      </c>
      <c r="D4" s="293">
        <f t="shared" si="1"/>
        <v>4</v>
      </c>
      <c r="E4" s="293">
        <f t="shared" si="1"/>
        <v>5</v>
      </c>
      <c r="F4" s="293">
        <f t="shared" si="1"/>
        <v>6</v>
      </c>
      <c r="G4" s="293">
        <f t="shared" si="1"/>
        <v>7</v>
      </c>
      <c r="H4" s="293">
        <f t="shared" si="1"/>
        <v>8</v>
      </c>
      <c r="I4" s="293">
        <f t="shared" si="1"/>
        <v>9</v>
      </c>
      <c r="J4" s="293">
        <f t="shared" si="1"/>
        <v>10</v>
      </c>
      <c r="K4" s="293">
        <f t="shared" si="1"/>
        <v>11</v>
      </c>
      <c r="L4" s="293">
        <f t="shared" si="1"/>
        <v>12</v>
      </c>
      <c r="M4" s="293">
        <f t="shared" si="1"/>
        <v>13</v>
      </c>
      <c r="N4" s="293">
        <f t="shared" si="1"/>
        <v>14</v>
      </c>
      <c r="O4" s="293">
        <f t="shared" si="1"/>
        <v>15</v>
      </c>
      <c r="P4" s="293">
        <f t="shared" si="1"/>
        <v>16</v>
      </c>
    </row>
    <row r="5" spans="1:16">
      <c r="A5" s="45">
        <f>IF(B5="","",1)</f>
        <v>1</v>
      </c>
      <c r="B5" s="128" t="str">
        <f>IF(Διαμερίσματα!B6="","",Διαμερίσματα!B6)</f>
        <v>Κ1</v>
      </c>
      <c r="C5" s="142"/>
      <c r="D5" s="17">
        <v>0</v>
      </c>
      <c r="E5" s="17">
        <v>0</v>
      </c>
      <c r="F5" s="646">
        <v>0</v>
      </c>
      <c r="G5" s="646"/>
      <c r="H5" s="646"/>
      <c r="I5" s="647"/>
      <c r="J5" s="647"/>
      <c r="K5" s="646"/>
      <c r="L5" s="646"/>
      <c r="M5" s="646"/>
      <c r="N5" s="646"/>
      <c r="O5" s="646"/>
      <c r="P5" s="646"/>
    </row>
    <row r="6" spans="1:16">
      <c r="A6" s="45">
        <f>IF(B6="","",A5+1)</f>
        <v>2</v>
      </c>
      <c r="B6" s="128" t="str">
        <f>IF(Διαμερίσματα!B7="","",Διαμερίσματα!B7)</f>
        <v>Κ2</v>
      </c>
      <c r="C6" s="142"/>
      <c r="D6" s="17">
        <v>1520</v>
      </c>
      <c r="E6" s="17">
        <v>1520</v>
      </c>
      <c r="F6" s="646">
        <v>1520</v>
      </c>
      <c r="G6" s="646"/>
      <c r="H6" s="646"/>
      <c r="I6" s="647"/>
      <c r="J6" s="647"/>
      <c r="K6" s="646"/>
      <c r="L6" s="646"/>
      <c r="M6" s="646"/>
      <c r="N6" s="646"/>
      <c r="O6" s="646"/>
      <c r="P6" s="646"/>
    </row>
    <row r="7" spans="1:16">
      <c r="A7" s="45">
        <f t="shared" ref="A7:A14" si="2">IF(B7="","",A6+1)</f>
        <v>3</v>
      </c>
      <c r="B7" s="128" t="str">
        <f>IF(Διαμερίσματα!B8="","",Διαμερίσματα!B8)</f>
        <v>Κ3</v>
      </c>
      <c r="C7" s="142"/>
      <c r="D7" s="17">
        <v>1584</v>
      </c>
      <c r="E7" s="17">
        <v>1683</v>
      </c>
      <c r="F7" s="646">
        <v>1684</v>
      </c>
      <c r="G7" s="646"/>
      <c r="H7" s="646"/>
      <c r="I7" s="647"/>
      <c r="J7" s="647"/>
      <c r="K7" s="646"/>
      <c r="L7" s="646"/>
      <c r="M7" s="646"/>
      <c r="N7" s="646"/>
      <c r="O7" s="646"/>
      <c r="P7" s="646"/>
    </row>
    <row r="8" spans="1:16">
      <c r="A8" s="45">
        <f t="shared" si="2"/>
        <v>4</v>
      </c>
      <c r="B8" s="128" t="str">
        <f>IF(Διαμερίσματα!B9="","",Διαμερίσματα!B9)</f>
        <v>Α1</v>
      </c>
      <c r="C8" s="142"/>
      <c r="D8" s="17">
        <v>1318</v>
      </c>
      <c r="E8" s="17">
        <v>1374</v>
      </c>
      <c r="F8" s="646">
        <v>1374</v>
      </c>
      <c r="G8" s="646"/>
      <c r="H8" s="646"/>
      <c r="I8" s="647"/>
      <c r="J8" s="647"/>
      <c r="K8" s="646"/>
      <c r="L8" s="646"/>
      <c r="M8" s="646"/>
      <c r="N8" s="646"/>
      <c r="O8" s="646"/>
      <c r="P8" s="646"/>
    </row>
    <row r="9" spans="1:16">
      <c r="A9" s="45">
        <f t="shared" si="2"/>
        <v>5</v>
      </c>
      <c r="B9" s="128" t="str">
        <f>IF(Διαμερίσματα!B10="","",Διαμερίσματα!B10)</f>
        <v>Α2</v>
      </c>
      <c r="C9" s="142"/>
      <c r="D9" s="17">
        <v>1706</v>
      </c>
      <c r="E9" s="17">
        <v>1773</v>
      </c>
      <c r="F9" s="646">
        <v>1773</v>
      </c>
      <c r="G9" s="646"/>
      <c r="H9" s="646"/>
      <c r="I9" s="647"/>
      <c r="J9" s="647"/>
      <c r="K9" s="646"/>
      <c r="L9" s="646"/>
      <c r="M9" s="646"/>
      <c r="N9" s="646"/>
      <c r="O9" s="646"/>
      <c r="P9" s="646"/>
    </row>
    <row r="10" spans="1:16">
      <c r="A10" s="45">
        <f t="shared" si="2"/>
        <v>6</v>
      </c>
      <c r="B10" s="128" t="str">
        <f>IF(Διαμερίσματα!B11="","",Διαμερίσματα!B11)</f>
        <v>Α3</v>
      </c>
      <c r="C10" s="142"/>
      <c r="D10" s="17">
        <v>0</v>
      </c>
      <c r="E10" s="17">
        <v>0</v>
      </c>
      <c r="F10" s="646">
        <v>0</v>
      </c>
      <c r="G10" s="646"/>
      <c r="H10" s="646"/>
      <c r="I10" s="647"/>
      <c r="J10" s="647"/>
      <c r="K10" s="646"/>
      <c r="L10" s="646"/>
      <c r="M10" s="646"/>
      <c r="N10" s="646"/>
      <c r="O10" s="646"/>
      <c r="P10" s="646"/>
    </row>
    <row r="11" spans="1:16">
      <c r="A11" s="45">
        <f t="shared" si="2"/>
        <v>7</v>
      </c>
      <c r="B11" s="128" t="str">
        <f>IF(Διαμερίσματα!B12="","",Διαμερίσματα!B12)</f>
        <v>Α4</v>
      </c>
      <c r="C11" s="142"/>
      <c r="D11" s="17">
        <v>0</v>
      </c>
      <c r="E11" s="17">
        <v>0</v>
      </c>
      <c r="F11" s="646">
        <v>0</v>
      </c>
      <c r="G11" s="646"/>
      <c r="H11" s="646"/>
      <c r="I11" s="647"/>
      <c r="J11" s="647"/>
      <c r="K11" s="646"/>
      <c r="L11" s="646"/>
      <c r="M11" s="646"/>
      <c r="N11" s="646"/>
      <c r="O11" s="646"/>
      <c r="P11" s="646"/>
    </row>
    <row r="12" spans="1:16">
      <c r="A12" s="45">
        <f t="shared" si="2"/>
        <v>8</v>
      </c>
      <c r="B12" s="128" t="str">
        <f>IF(Διαμερίσματα!B13="","",Διαμερίσματα!B13)</f>
        <v>Β1</v>
      </c>
      <c r="C12" s="142"/>
      <c r="D12" s="17">
        <v>152</v>
      </c>
      <c r="E12" s="17">
        <v>173</v>
      </c>
      <c r="F12" s="646">
        <v>173</v>
      </c>
      <c r="G12" s="646"/>
      <c r="H12" s="646"/>
      <c r="I12" s="647"/>
      <c r="J12" s="647"/>
      <c r="K12" s="646"/>
      <c r="L12" s="646"/>
      <c r="M12" s="646"/>
      <c r="N12" s="646"/>
      <c r="O12" s="646"/>
      <c r="P12" s="646"/>
    </row>
    <row r="13" spans="1:16">
      <c r="A13" s="45">
        <f t="shared" si="2"/>
        <v>9</v>
      </c>
      <c r="B13" s="128" t="str">
        <f>IF(Διαμερίσματα!B14="","",Διαμερίσματα!B14)</f>
        <v>Β2</v>
      </c>
      <c r="C13" s="142"/>
      <c r="D13" s="17">
        <v>380</v>
      </c>
      <c r="E13" s="17">
        <v>392</v>
      </c>
      <c r="F13" s="646">
        <v>392</v>
      </c>
      <c r="G13" s="646"/>
      <c r="H13" s="646"/>
      <c r="I13" s="647"/>
      <c r="J13" s="647"/>
      <c r="K13" s="646"/>
      <c r="L13" s="646"/>
      <c r="M13" s="646"/>
      <c r="N13" s="646"/>
      <c r="O13" s="646"/>
      <c r="P13" s="646"/>
    </row>
    <row r="14" spans="1:16">
      <c r="A14" s="45">
        <f t="shared" si="2"/>
        <v>10</v>
      </c>
      <c r="B14" s="128" t="str">
        <f>IF(Διαμερίσματα!B15="","",Διαμερίσματα!B15)</f>
        <v>Β3</v>
      </c>
      <c r="C14" s="142"/>
      <c r="D14" s="17">
        <v>682</v>
      </c>
      <c r="E14" s="17">
        <v>742</v>
      </c>
      <c r="F14" s="646">
        <v>742</v>
      </c>
      <c r="G14" s="646"/>
      <c r="H14" s="646"/>
      <c r="I14" s="647"/>
      <c r="J14" s="647"/>
      <c r="K14" s="646"/>
      <c r="L14" s="646"/>
      <c r="M14" s="646"/>
      <c r="N14" s="646"/>
      <c r="O14" s="646"/>
      <c r="P14" s="646"/>
    </row>
    <row r="15" spans="1:16">
      <c r="A15" s="458">
        <f t="shared" ref="A15:A26" si="3">IF(B15="","",A14+1)</f>
        <v>11</v>
      </c>
      <c r="B15" s="128" t="str">
        <f>IF(Διαμερίσματα!B16="","",Διαμερίσματα!B16)</f>
        <v>Β4</v>
      </c>
      <c r="C15" s="142"/>
      <c r="D15" s="17">
        <v>1528</v>
      </c>
      <c r="E15" s="17">
        <v>1600</v>
      </c>
      <c r="F15" s="646">
        <v>1600</v>
      </c>
      <c r="G15" s="646"/>
      <c r="H15" s="646"/>
      <c r="I15" s="647"/>
      <c r="J15" s="647"/>
      <c r="K15" s="646"/>
      <c r="L15" s="646"/>
      <c r="M15" s="646"/>
      <c r="N15" s="646"/>
      <c r="O15" s="646"/>
      <c r="P15" s="646"/>
    </row>
    <row r="16" spans="1:16">
      <c r="A16" s="536">
        <f t="shared" si="3"/>
        <v>12</v>
      </c>
      <c r="B16" s="128" t="str">
        <f>IF(Διαμερίσματα!B17="","",Διαμερίσματα!B17)</f>
        <v>Γ1</v>
      </c>
      <c r="C16" s="142"/>
      <c r="D16" s="17">
        <v>0</v>
      </c>
      <c r="E16" s="17">
        <v>0</v>
      </c>
      <c r="F16" s="646">
        <v>0</v>
      </c>
      <c r="G16" s="646"/>
      <c r="H16" s="646"/>
      <c r="I16" s="647"/>
      <c r="J16" s="647"/>
      <c r="K16" s="646"/>
      <c r="L16" s="646"/>
      <c r="M16" s="646"/>
      <c r="N16" s="646"/>
      <c r="O16" s="646"/>
      <c r="P16" s="646"/>
    </row>
    <row r="17" spans="1:16">
      <c r="A17" s="536">
        <f t="shared" si="3"/>
        <v>13</v>
      </c>
      <c r="B17" s="128" t="str">
        <f>IF(Διαμερίσματα!B18="","",Διαμερίσματα!B18)</f>
        <v>Γ2</v>
      </c>
      <c r="C17" s="142"/>
      <c r="D17" s="17">
        <v>0</v>
      </c>
      <c r="E17" s="17">
        <v>0</v>
      </c>
      <c r="F17" s="646">
        <v>0</v>
      </c>
      <c r="G17" s="646"/>
      <c r="H17" s="646"/>
      <c r="I17" s="647"/>
      <c r="J17" s="647"/>
      <c r="K17" s="646"/>
      <c r="L17" s="646"/>
      <c r="M17" s="646"/>
      <c r="N17" s="646"/>
      <c r="O17" s="646"/>
      <c r="P17" s="646"/>
    </row>
    <row r="18" spans="1:16">
      <c r="A18" s="536">
        <f t="shared" si="3"/>
        <v>14</v>
      </c>
      <c r="B18" s="128" t="str">
        <f>IF(Διαμερίσματα!B19="","",Διαμερίσματα!B19)</f>
        <v>Γ3</v>
      </c>
      <c r="C18" s="142"/>
      <c r="D18" s="17">
        <v>0</v>
      </c>
      <c r="E18" s="17">
        <v>0</v>
      </c>
      <c r="F18" s="646">
        <v>0</v>
      </c>
      <c r="G18" s="646"/>
      <c r="H18" s="646"/>
      <c r="I18" s="647"/>
      <c r="J18" s="647"/>
      <c r="K18" s="646"/>
      <c r="L18" s="646"/>
      <c r="M18" s="646"/>
      <c r="N18" s="646"/>
      <c r="O18" s="646"/>
      <c r="P18" s="646"/>
    </row>
    <row r="19" spans="1:16">
      <c r="A19" s="536">
        <f t="shared" si="3"/>
        <v>15</v>
      </c>
      <c r="B19" s="128" t="str">
        <f>IF(Διαμερίσματα!B20="","",Διαμερίσματα!B20)</f>
        <v>Γ4</v>
      </c>
      <c r="C19" s="142"/>
      <c r="D19" s="17">
        <v>0</v>
      </c>
      <c r="E19" s="17">
        <v>0</v>
      </c>
      <c r="F19" s="646">
        <v>0</v>
      </c>
      <c r="G19" s="646"/>
      <c r="H19" s="646"/>
      <c r="I19" s="647"/>
      <c r="J19" s="647"/>
      <c r="K19" s="646"/>
      <c r="L19" s="646"/>
      <c r="M19" s="646"/>
      <c r="N19" s="646"/>
      <c r="O19" s="646"/>
      <c r="P19" s="646"/>
    </row>
    <row r="20" spans="1:16">
      <c r="A20" s="536">
        <f t="shared" si="3"/>
        <v>16</v>
      </c>
      <c r="B20" s="128" t="str">
        <f>IF(Διαμερίσματα!B21="","",Διαμερίσματα!B21)</f>
        <v>Δ1</v>
      </c>
      <c r="C20" s="142"/>
      <c r="D20" s="17">
        <v>0</v>
      </c>
      <c r="E20" s="17">
        <v>0</v>
      </c>
      <c r="F20" s="646">
        <v>0</v>
      </c>
      <c r="G20" s="646"/>
      <c r="H20" s="646"/>
      <c r="I20" s="647"/>
      <c r="J20" s="647"/>
      <c r="K20" s="646"/>
      <c r="L20" s="646"/>
      <c r="M20" s="646"/>
      <c r="N20" s="646"/>
      <c r="O20" s="646"/>
      <c r="P20" s="646"/>
    </row>
    <row r="21" spans="1:16">
      <c r="A21" s="536">
        <f t="shared" si="3"/>
        <v>17</v>
      </c>
      <c r="B21" s="128" t="str">
        <f>IF(Διαμερίσματα!B22="","",Διαμερίσματα!B22)</f>
        <v>Δ2</v>
      </c>
      <c r="C21" s="142"/>
      <c r="D21" s="17">
        <v>0</v>
      </c>
      <c r="E21" s="17">
        <v>0</v>
      </c>
      <c r="F21" s="646">
        <v>0</v>
      </c>
      <c r="G21" s="646"/>
      <c r="H21" s="646"/>
      <c r="I21" s="647"/>
      <c r="J21" s="647"/>
      <c r="K21" s="646"/>
      <c r="L21" s="646"/>
      <c r="M21" s="646"/>
      <c r="N21" s="646"/>
      <c r="O21" s="646"/>
      <c r="P21" s="646"/>
    </row>
    <row r="22" spans="1:16">
      <c r="A22" s="536">
        <f t="shared" si="3"/>
        <v>18</v>
      </c>
      <c r="B22" s="128" t="str">
        <f>IF(Διαμερίσματα!B23="","",Διαμερίσματα!B23)</f>
        <v>Δ3</v>
      </c>
      <c r="C22" s="142"/>
      <c r="D22" s="17">
        <v>0</v>
      </c>
      <c r="E22" s="17">
        <v>0</v>
      </c>
      <c r="F22" s="646">
        <v>0</v>
      </c>
      <c r="G22" s="646"/>
      <c r="H22" s="646"/>
      <c r="I22" s="647"/>
      <c r="J22" s="647"/>
      <c r="K22" s="646"/>
      <c r="L22" s="646"/>
      <c r="M22" s="646"/>
      <c r="N22" s="646"/>
      <c r="O22" s="646"/>
      <c r="P22" s="646"/>
    </row>
    <row r="23" spans="1:16">
      <c r="A23" s="536">
        <f t="shared" si="3"/>
        <v>19</v>
      </c>
      <c r="B23" s="128" t="str">
        <f>IF(Διαμερίσματα!B24="","",Διαμερίσματα!B24)</f>
        <v>Δ4</v>
      </c>
      <c r="C23" s="142"/>
      <c r="D23" s="17">
        <v>0</v>
      </c>
      <c r="E23" s="17">
        <v>0</v>
      </c>
      <c r="F23" s="646">
        <v>0</v>
      </c>
      <c r="G23" s="646"/>
      <c r="H23" s="646"/>
      <c r="I23" s="647"/>
      <c r="J23" s="647"/>
      <c r="K23" s="646"/>
      <c r="L23" s="646"/>
      <c r="M23" s="646"/>
      <c r="N23" s="646"/>
      <c r="O23" s="646"/>
      <c r="P23" s="646"/>
    </row>
    <row r="24" spans="1:16">
      <c r="A24" s="536">
        <f t="shared" si="3"/>
        <v>20</v>
      </c>
      <c r="B24" s="128" t="str">
        <f>IF(Διαμερίσματα!B25="","",Διαμερίσματα!B25)</f>
        <v>Ε1</v>
      </c>
      <c r="C24" s="142"/>
      <c r="D24" s="17">
        <v>0</v>
      </c>
      <c r="E24" s="17">
        <v>0</v>
      </c>
      <c r="F24" s="646">
        <v>0</v>
      </c>
      <c r="G24" s="646"/>
      <c r="H24" s="646"/>
      <c r="I24" s="647"/>
      <c r="J24" s="647"/>
      <c r="K24" s="646"/>
      <c r="L24" s="646"/>
      <c r="M24" s="646"/>
      <c r="N24" s="646"/>
      <c r="O24" s="646"/>
      <c r="P24" s="646"/>
    </row>
    <row r="25" spans="1:16">
      <c r="A25" s="536">
        <f t="shared" si="3"/>
        <v>21</v>
      </c>
      <c r="B25" s="128" t="str">
        <f>IF(Διαμερίσματα!B26="","",Διαμερίσματα!B26)</f>
        <v>Ε2</v>
      </c>
      <c r="C25" s="142"/>
      <c r="D25" s="17">
        <v>0</v>
      </c>
      <c r="E25" s="17">
        <v>0</v>
      </c>
      <c r="F25" s="646">
        <v>0</v>
      </c>
      <c r="G25" s="646"/>
      <c r="H25" s="646"/>
      <c r="I25" s="647"/>
      <c r="J25" s="647"/>
      <c r="K25" s="646"/>
      <c r="L25" s="646"/>
      <c r="M25" s="646"/>
      <c r="N25" s="646"/>
      <c r="O25" s="646"/>
      <c r="P25" s="646"/>
    </row>
    <row r="26" spans="1:16">
      <c r="A26" s="536">
        <f t="shared" si="3"/>
        <v>22</v>
      </c>
      <c r="B26" s="128" t="str">
        <f>IF(Διαμερίσματα!B27="","",Διαμερίσματα!B27)</f>
        <v>Ε3</v>
      </c>
      <c r="C26" s="142"/>
      <c r="D26" s="17">
        <v>0</v>
      </c>
      <c r="E26" s="17">
        <v>0</v>
      </c>
      <c r="F26" s="646">
        <v>0</v>
      </c>
      <c r="G26" s="646"/>
      <c r="H26" s="646"/>
      <c r="I26" s="647"/>
      <c r="J26" s="647"/>
      <c r="K26" s="646"/>
      <c r="L26" s="646"/>
      <c r="M26" s="646"/>
      <c r="N26" s="646"/>
      <c r="O26" s="646"/>
      <c r="P26" s="646"/>
    </row>
    <row r="27" spans="1:16" ht="5.0999999999999996" customHeight="1"/>
    <row r="28" spans="1:16" s="30" customFormat="1" ht="15.75">
      <c r="A28" s="745" t="s">
        <v>88</v>
      </c>
      <c r="B28" s="745"/>
      <c r="C28" s="745"/>
      <c r="D28" s="745"/>
      <c r="E28" s="745"/>
      <c r="F28" s="745"/>
      <c r="G28" s="745"/>
      <c r="H28" s="745"/>
      <c r="I28" s="745"/>
      <c r="J28" s="745"/>
      <c r="K28" s="745"/>
      <c r="L28" s="745"/>
      <c r="M28" s="745"/>
      <c r="N28" s="745"/>
      <c r="O28" s="745"/>
      <c r="P28" s="745"/>
    </row>
    <row r="29" spans="1:16" s="9" customFormat="1">
      <c r="A29" s="45" t="str">
        <f>A3</f>
        <v>Α/Α</v>
      </c>
      <c r="B29" s="45" t="str">
        <f t="shared" ref="B29:C29" si="4">B3</f>
        <v>Διαμέρισμα</v>
      </c>
      <c r="C29" s="45" t="str">
        <f t="shared" si="4"/>
        <v>Μετρητής</v>
      </c>
      <c r="D29" s="292">
        <f ca="1">INDIRECT(ADDRESS(A4,6,3,,"ΣΤΟΙΧΕΙΑ"))</f>
        <v>40848</v>
      </c>
      <c r="E29" s="292">
        <f t="shared" ref="E29:P29" ca="1" si="5">INDIRECT(ADDRESS(B4,6,3,,"ΣΤΟΙΧΕΙΑ"))</f>
        <v>40878</v>
      </c>
      <c r="F29" s="292">
        <f t="shared" ca="1" si="5"/>
        <v>40909</v>
      </c>
      <c r="G29" s="292">
        <f t="shared" ca="1" si="5"/>
        <v>40940</v>
      </c>
      <c r="H29" s="292">
        <f t="shared" ca="1" si="5"/>
        <v>40969</v>
      </c>
      <c r="I29" s="292">
        <f t="shared" ca="1" si="5"/>
        <v>41000</v>
      </c>
      <c r="J29" s="292">
        <f t="shared" ca="1" si="5"/>
        <v>41030</v>
      </c>
      <c r="K29" s="292">
        <f t="shared" ca="1" si="5"/>
        <v>41061</v>
      </c>
      <c r="L29" s="292">
        <f t="shared" ca="1" si="5"/>
        <v>41091</v>
      </c>
      <c r="M29" s="292">
        <f t="shared" ca="1" si="5"/>
        <v>41122</v>
      </c>
      <c r="N29" s="292">
        <f t="shared" ca="1" si="5"/>
        <v>41153</v>
      </c>
      <c r="O29" s="292">
        <f t="shared" ca="1" si="5"/>
        <v>41183</v>
      </c>
      <c r="P29" s="292">
        <f t="shared" ca="1" si="5"/>
        <v>41214</v>
      </c>
    </row>
    <row r="30" spans="1:16" s="31" customFormat="1">
      <c r="A30" s="293">
        <f>A4</f>
        <v>1</v>
      </c>
      <c r="B30" s="293">
        <f t="shared" ref="B30:P30" si="6">B4</f>
        <v>2</v>
      </c>
      <c r="C30" s="293">
        <f t="shared" si="6"/>
        <v>3</v>
      </c>
      <c r="D30" s="293">
        <f t="shared" si="6"/>
        <v>4</v>
      </c>
      <c r="E30" s="293">
        <f t="shared" si="6"/>
        <v>5</v>
      </c>
      <c r="F30" s="293">
        <f t="shared" si="6"/>
        <v>6</v>
      </c>
      <c r="G30" s="293">
        <f t="shared" si="6"/>
        <v>7</v>
      </c>
      <c r="H30" s="293">
        <f t="shared" si="6"/>
        <v>8</v>
      </c>
      <c r="I30" s="293">
        <f t="shared" si="6"/>
        <v>9</v>
      </c>
      <c r="J30" s="293">
        <f t="shared" si="6"/>
        <v>10</v>
      </c>
      <c r="K30" s="293">
        <f t="shared" si="6"/>
        <v>11</v>
      </c>
      <c r="L30" s="293">
        <f t="shared" si="6"/>
        <v>12</v>
      </c>
      <c r="M30" s="293">
        <f t="shared" si="6"/>
        <v>13</v>
      </c>
      <c r="N30" s="293">
        <f t="shared" si="6"/>
        <v>14</v>
      </c>
      <c r="O30" s="293">
        <f t="shared" si="6"/>
        <v>15</v>
      </c>
      <c r="P30" s="293">
        <f t="shared" si="6"/>
        <v>16</v>
      </c>
    </row>
    <row r="31" spans="1:16">
      <c r="A31" s="45">
        <f>IF(B31="","",1)</f>
        <v>1</v>
      </c>
      <c r="B31" s="128" t="str">
        <f>IF(Διαμερίσματα!B6="","",Διαμερίσματα!B6)</f>
        <v>Κ1</v>
      </c>
      <c r="C31" s="128" t="str">
        <f t="shared" ref="C31:C41" si="7">IF(C5="","",C5)</f>
        <v/>
      </c>
      <c r="D31" s="146">
        <f>IF(D5="","",IF(D5&lt;0,"",D5))</f>
        <v>0</v>
      </c>
      <c r="E31" s="146">
        <f>IF(E5="","",IF(E5-D5&lt;0,"",E5-D5))</f>
        <v>0</v>
      </c>
      <c r="F31" s="146">
        <f>IF(F5="","",IF(F5-E5&lt;0,"",F5-E5))</f>
        <v>0</v>
      </c>
      <c r="G31" s="146" t="str">
        <f t="shared" ref="G31:P40" si="8">IF(G5="","",IF(G5-F5&lt;0,"",G5-F5))</f>
        <v/>
      </c>
      <c r="H31" s="146" t="str">
        <f t="shared" si="8"/>
        <v/>
      </c>
      <c r="I31" s="146" t="str">
        <f t="shared" si="8"/>
        <v/>
      </c>
      <c r="J31" s="146" t="str">
        <f t="shared" si="8"/>
        <v/>
      </c>
      <c r="K31" s="146" t="str">
        <f t="shared" si="8"/>
        <v/>
      </c>
      <c r="L31" s="146" t="str">
        <f t="shared" si="8"/>
        <v/>
      </c>
      <c r="M31" s="146" t="str">
        <f t="shared" si="8"/>
        <v/>
      </c>
      <c r="N31" s="146" t="str">
        <f t="shared" si="8"/>
        <v/>
      </c>
      <c r="O31" s="146" t="str">
        <f t="shared" si="8"/>
        <v/>
      </c>
      <c r="P31" s="146" t="str">
        <f t="shared" si="8"/>
        <v/>
      </c>
    </row>
    <row r="32" spans="1:16">
      <c r="A32" s="45">
        <f>IF(B32="","",A31+1)</f>
        <v>2</v>
      </c>
      <c r="B32" s="128" t="str">
        <f>IF(Διαμερίσματα!B7="","",Διαμερίσματα!B7)</f>
        <v>Κ2</v>
      </c>
      <c r="C32" s="128" t="str">
        <f t="shared" si="7"/>
        <v/>
      </c>
      <c r="D32" s="146">
        <f t="shared" ref="D32:D39" si="9">IF(D6="","",IF(D6&lt;0,"",D6))</f>
        <v>1520</v>
      </c>
      <c r="E32" s="146">
        <f t="shared" ref="E32:F40" si="10">IF(E6="","",IF(E6-D6&lt;0,"",E6-D6))</f>
        <v>0</v>
      </c>
      <c r="F32" s="146">
        <f t="shared" si="10"/>
        <v>0</v>
      </c>
      <c r="G32" s="146" t="str">
        <f t="shared" si="8"/>
        <v/>
      </c>
      <c r="H32" s="146" t="str">
        <f t="shared" si="8"/>
        <v/>
      </c>
      <c r="I32" s="146" t="str">
        <f t="shared" si="8"/>
        <v/>
      </c>
      <c r="J32" s="146" t="str">
        <f t="shared" si="8"/>
        <v/>
      </c>
      <c r="K32" s="146" t="str">
        <f t="shared" si="8"/>
        <v/>
      </c>
      <c r="L32" s="146" t="str">
        <f t="shared" si="8"/>
        <v/>
      </c>
      <c r="M32" s="146" t="str">
        <f t="shared" si="8"/>
        <v/>
      </c>
      <c r="N32" s="146" t="str">
        <f t="shared" si="8"/>
        <v/>
      </c>
      <c r="O32" s="146" t="str">
        <f t="shared" si="8"/>
        <v/>
      </c>
      <c r="P32" s="146" t="str">
        <f t="shared" si="8"/>
        <v/>
      </c>
    </row>
    <row r="33" spans="1:16">
      <c r="A33" s="45">
        <f t="shared" ref="A33:A40" si="11">IF(B33="","",A32+1)</f>
        <v>3</v>
      </c>
      <c r="B33" s="128" t="str">
        <f>IF(Διαμερίσματα!B8="","",Διαμερίσματα!B8)</f>
        <v>Κ3</v>
      </c>
      <c r="C33" s="128" t="str">
        <f t="shared" si="7"/>
        <v/>
      </c>
      <c r="D33" s="146">
        <f t="shared" si="9"/>
        <v>1584</v>
      </c>
      <c r="E33" s="146">
        <f t="shared" si="10"/>
        <v>99</v>
      </c>
      <c r="F33" s="146">
        <f t="shared" si="10"/>
        <v>1</v>
      </c>
      <c r="G33" s="146" t="str">
        <f t="shared" si="8"/>
        <v/>
      </c>
      <c r="H33" s="146" t="str">
        <f t="shared" si="8"/>
        <v/>
      </c>
      <c r="I33" s="146" t="str">
        <f t="shared" si="8"/>
        <v/>
      </c>
      <c r="J33" s="146" t="str">
        <f t="shared" si="8"/>
        <v/>
      </c>
      <c r="K33" s="146" t="str">
        <f t="shared" si="8"/>
        <v/>
      </c>
      <c r="L33" s="146" t="str">
        <f t="shared" si="8"/>
        <v/>
      </c>
      <c r="M33" s="146" t="str">
        <f t="shared" si="8"/>
        <v/>
      </c>
      <c r="N33" s="146" t="str">
        <f t="shared" si="8"/>
        <v/>
      </c>
      <c r="O33" s="146" t="str">
        <f t="shared" si="8"/>
        <v/>
      </c>
      <c r="P33" s="146" t="str">
        <f t="shared" si="8"/>
        <v/>
      </c>
    </row>
    <row r="34" spans="1:16">
      <c r="A34" s="45">
        <f t="shared" si="11"/>
        <v>4</v>
      </c>
      <c r="B34" s="128" t="str">
        <f>IF(Διαμερίσματα!B9="","",Διαμερίσματα!B9)</f>
        <v>Α1</v>
      </c>
      <c r="C34" s="128" t="str">
        <f t="shared" si="7"/>
        <v/>
      </c>
      <c r="D34" s="146">
        <f t="shared" si="9"/>
        <v>1318</v>
      </c>
      <c r="E34" s="146">
        <f t="shared" si="10"/>
        <v>56</v>
      </c>
      <c r="F34" s="146">
        <f t="shared" si="10"/>
        <v>0</v>
      </c>
      <c r="G34" s="146" t="str">
        <f t="shared" si="8"/>
        <v/>
      </c>
      <c r="H34" s="146" t="str">
        <f t="shared" si="8"/>
        <v/>
      </c>
      <c r="I34" s="146" t="str">
        <f t="shared" si="8"/>
        <v/>
      </c>
      <c r="J34" s="146" t="str">
        <f t="shared" si="8"/>
        <v/>
      </c>
      <c r="K34" s="146" t="str">
        <f t="shared" si="8"/>
        <v/>
      </c>
      <c r="L34" s="146" t="str">
        <f t="shared" si="8"/>
        <v/>
      </c>
      <c r="M34" s="146" t="str">
        <f t="shared" si="8"/>
        <v/>
      </c>
      <c r="N34" s="146" t="str">
        <f t="shared" si="8"/>
        <v/>
      </c>
      <c r="O34" s="146" t="str">
        <f t="shared" si="8"/>
        <v/>
      </c>
      <c r="P34" s="146" t="str">
        <f t="shared" si="8"/>
        <v/>
      </c>
    </row>
    <row r="35" spans="1:16">
      <c r="A35" s="45">
        <f t="shared" si="11"/>
        <v>5</v>
      </c>
      <c r="B35" s="128" t="str">
        <f>IF(Διαμερίσματα!B10="","",Διαμερίσματα!B10)</f>
        <v>Α2</v>
      </c>
      <c r="C35" s="128" t="str">
        <f t="shared" si="7"/>
        <v/>
      </c>
      <c r="D35" s="146">
        <f t="shared" si="9"/>
        <v>1706</v>
      </c>
      <c r="E35" s="146">
        <f t="shared" si="10"/>
        <v>67</v>
      </c>
      <c r="F35" s="146">
        <f t="shared" si="10"/>
        <v>0</v>
      </c>
      <c r="G35" s="146" t="str">
        <f t="shared" si="8"/>
        <v/>
      </c>
      <c r="H35" s="146" t="str">
        <f t="shared" si="8"/>
        <v/>
      </c>
      <c r="I35" s="146" t="str">
        <f t="shared" si="8"/>
        <v/>
      </c>
      <c r="J35" s="146" t="str">
        <f t="shared" si="8"/>
        <v/>
      </c>
      <c r="K35" s="146" t="str">
        <f t="shared" si="8"/>
        <v/>
      </c>
      <c r="L35" s="146" t="str">
        <f t="shared" si="8"/>
        <v/>
      </c>
      <c r="M35" s="146" t="str">
        <f t="shared" si="8"/>
        <v/>
      </c>
      <c r="N35" s="146" t="str">
        <f t="shared" si="8"/>
        <v/>
      </c>
      <c r="O35" s="146" t="str">
        <f t="shared" si="8"/>
        <v/>
      </c>
      <c r="P35" s="146" t="str">
        <f t="shared" si="8"/>
        <v/>
      </c>
    </row>
    <row r="36" spans="1:16">
      <c r="A36" s="45">
        <f t="shared" si="11"/>
        <v>6</v>
      </c>
      <c r="B36" s="128" t="str">
        <f>IF(Διαμερίσματα!B11="","",Διαμερίσματα!B11)</f>
        <v>Α3</v>
      </c>
      <c r="C36" s="128" t="str">
        <f t="shared" si="7"/>
        <v/>
      </c>
      <c r="D36" s="146">
        <f t="shared" si="9"/>
        <v>0</v>
      </c>
      <c r="E36" s="146">
        <f t="shared" si="10"/>
        <v>0</v>
      </c>
      <c r="F36" s="146">
        <f t="shared" si="10"/>
        <v>0</v>
      </c>
      <c r="G36" s="146" t="str">
        <f t="shared" si="8"/>
        <v/>
      </c>
      <c r="H36" s="146" t="str">
        <f t="shared" si="8"/>
        <v/>
      </c>
      <c r="I36" s="146" t="str">
        <f t="shared" si="8"/>
        <v/>
      </c>
      <c r="J36" s="146" t="str">
        <f t="shared" si="8"/>
        <v/>
      </c>
      <c r="K36" s="146" t="str">
        <f t="shared" si="8"/>
        <v/>
      </c>
      <c r="L36" s="146" t="str">
        <f t="shared" si="8"/>
        <v/>
      </c>
      <c r="M36" s="146" t="str">
        <f t="shared" si="8"/>
        <v/>
      </c>
      <c r="N36" s="146" t="str">
        <f t="shared" si="8"/>
        <v/>
      </c>
      <c r="O36" s="146" t="str">
        <f t="shared" si="8"/>
        <v/>
      </c>
      <c r="P36" s="146" t="str">
        <f t="shared" si="8"/>
        <v/>
      </c>
    </row>
    <row r="37" spans="1:16">
      <c r="A37" s="45">
        <f t="shared" si="11"/>
        <v>7</v>
      </c>
      <c r="B37" s="128" t="str">
        <f>IF(Διαμερίσματα!B12="","",Διαμερίσματα!B12)</f>
        <v>Α4</v>
      </c>
      <c r="C37" s="128" t="str">
        <f t="shared" si="7"/>
        <v/>
      </c>
      <c r="D37" s="146">
        <f t="shared" si="9"/>
        <v>0</v>
      </c>
      <c r="E37" s="146">
        <f t="shared" si="10"/>
        <v>0</v>
      </c>
      <c r="F37" s="146">
        <f t="shared" si="10"/>
        <v>0</v>
      </c>
      <c r="G37" s="146" t="str">
        <f t="shared" si="8"/>
        <v/>
      </c>
      <c r="H37" s="146" t="str">
        <f t="shared" si="8"/>
        <v/>
      </c>
      <c r="I37" s="146" t="str">
        <f t="shared" si="8"/>
        <v/>
      </c>
      <c r="J37" s="146" t="str">
        <f t="shared" si="8"/>
        <v/>
      </c>
      <c r="K37" s="146" t="str">
        <f t="shared" si="8"/>
        <v/>
      </c>
      <c r="L37" s="146" t="str">
        <f t="shared" si="8"/>
        <v/>
      </c>
      <c r="M37" s="146" t="str">
        <f t="shared" si="8"/>
        <v/>
      </c>
      <c r="N37" s="146" t="str">
        <f t="shared" si="8"/>
        <v/>
      </c>
      <c r="O37" s="146" t="str">
        <f t="shared" si="8"/>
        <v/>
      </c>
      <c r="P37" s="146" t="str">
        <f t="shared" si="8"/>
        <v/>
      </c>
    </row>
    <row r="38" spans="1:16">
      <c r="A38" s="45">
        <f t="shared" si="11"/>
        <v>8</v>
      </c>
      <c r="B38" s="128" t="str">
        <f>IF(Διαμερίσματα!B13="","",Διαμερίσματα!B13)</f>
        <v>Β1</v>
      </c>
      <c r="C38" s="128" t="str">
        <f t="shared" si="7"/>
        <v/>
      </c>
      <c r="D38" s="146">
        <f t="shared" si="9"/>
        <v>152</v>
      </c>
      <c r="E38" s="146">
        <f t="shared" si="10"/>
        <v>21</v>
      </c>
      <c r="F38" s="146">
        <f t="shared" si="10"/>
        <v>0</v>
      </c>
      <c r="G38" s="146" t="str">
        <f t="shared" si="8"/>
        <v/>
      </c>
      <c r="H38" s="146" t="str">
        <f t="shared" si="8"/>
        <v/>
      </c>
      <c r="I38" s="146" t="str">
        <f t="shared" si="8"/>
        <v/>
      </c>
      <c r="J38" s="146" t="str">
        <f t="shared" si="8"/>
        <v/>
      </c>
      <c r="K38" s="146" t="str">
        <f t="shared" si="8"/>
        <v/>
      </c>
      <c r="L38" s="146" t="str">
        <f t="shared" si="8"/>
        <v/>
      </c>
      <c r="M38" s="146" t="str">
        <f t="shared" si="8"/>
        <v/>
      </c>
      <c r="N38" s="146" t="str">
        <f t="shared" si="8"/>
        <v/>
      </c>
      <c r="O38" s="146" t="str">
        <f t="shared" si="8"/>
        <v/>
      </c>
      <c r="P38" s="146" t="str">
        <f t="shared" si="8"/>
        <v/>
      </c>
    </row>
    <row r="39" spans="1:16">
      <c r="A39" s="45">
        <f t="shared" si="11"/>
        <v>9</v>
      </c>
      <c r="B39" s="128" t="str">
        <f>IF(Διαμερίσματα!B14="","",Διαμερίσματα!B14)</f>
        <v>Β2</v>
      </c>
      <c r="C39" s="128" t="str">
        <f t="shared" si="7"/>
        <v/>
      </c>
      <c r="D39" s="146">
        <f t="shared" si="9"/>
        <v>380</v>
      </c>
      <c r="E39" s="146">
        <f t="shared" si="10"/>
        <v>12</v>
      </c>
      <c r="F39" s="146">
        <f t="shared" si="10"/>
        <v>0</v>
      </c>
      <c r="G39" s="146" t="str">
        <f t="shared" si="8"/>
        <v/>
      </c>
      <c r="H39" s="146" t="str">
        <f t="shared" si="8"/>
        <v/>
      </c>
      <c r="I39" s="146" t="str">
        <f t="shared" si="8"/>
        <v/>
      </c>
      <c r="J39" s="146" t="str">
        <f t="shared" si="8"/>
        <v/>
      </c>
      <c r="K39" s="146" t="str">
        <f t="shared" si="8"/>
        <v/>
      </c>
      <c r="L39" s="146" t="str">
        <f t="shared" si="8"/>
        <v/>
      </c>
      <c r="M39" s="146" t="str">
        <f t="shared" si="8"/>
        <v/>
      </c>
      <c r="N39" s="146" t="str">
        <f t="shared" si="8"/>
        <v/>
      </c>
      <c r="O39" s="146" t="str">
        <f t="shared" si="8"/>
        <v/>
      </c>
      <c r="P39" s="146" t="str">
        <f t="shared" si="8"/>
        <v/>
      </c>
    </row>
    <row r="40" spans="1:16">
      <c r="A40" s="45">
        <f t="shared" si="11"/>
        <v>10</v>
      </c>
      <c r="B40" s="128" t="str">
        <f>IF(Διαμερίσματα!B15="","",Διαμερίσματα!B15)</f>
        <v>Β3</v>
      </c>
      <c r="C40" s="128" t="str">
        <f t="shared" si="7"/>
        <v/>
      </c>
      <c r="D40" s="146">
        <f>IF(D14="","",IF(D14&lt;0,"",D14))</f>
        <v>682</v>
      </c>
      <c r="E40" s="146">
        <f t="shared" si="10"/>
        <v>60</v>
      </c>
      <c r="F40" s="146">
        <f t="shared" si="10"/>
        <v>0</v>
      </c>
      <c r="G40" s="146" t="str">
        <f t="shared" si="8"/>
        <v/>
      </c>
      <c r="H40" s="146" t="str">
        <f t="shared" si="8"/>
        <v/>
      </c>
      <c r="I40" s="146" t="str">
        <f t="shared" si="8"/>
        <v/>
      </c>
      <c r="J40" s="146" t="str">
        <f t="shared" si="8"/>
        <v/>
      </c>
      <c r="K40" s="146" t="str">
        <f t="shared" si="8"/>
        <v/>
      </c>
      <c r="L40" s="146" t="str">
        <f t="shared" si="8"/>
        <v/>
      </c>
      <c r="M40" s="146" t="str">
        <f t="shared" si="8"/>
        <v/>
      </c>
      <c r="N40" s="146" t="str">
        <f t="shared" si="8"/>
        <v/>
      </c>
      <c r="O40" s="146" t="str">
        <f t="shared" si="8"/>
        <v/>
      </c>
      <c r="P40" s="146" t="str">
        <f t="shared" si="8"/>
        <v/>
      </c>
    </row>
    <row r="41" spans="1:16">
      <c r="A41" s="458">
        <f t="shared" ref="A41:A52" si="12">IF(B41="","",A40+1)</f>
        <v>11</v>
      </c>
      <c r="B41" s="128" t="str">
        <f>IF(Διαμερίσματα!B16="","",Διαμερίσματα!B16)</f>
        <v>Β4</v>
      </c>
      <c r="C41" s="128" t="str">
        <f t="shared" si="7"/>
        <v/>
      </c>
      <c r="D41" s="146">
        <f>IF(D15="","",IF(D15&lt;0,"",D15))</f>
        <v>1528</v>
      </c>
      <c r="E41" s="146">
        <f t="shared" ref="E41:P41" si="13">IF(E15="","",IF(E15-D15&lt;0,"",E15-D15))</f>
        <v>72</v>
      </c>
      <c r="F41" s="146">
        <f t="shared" si="13"/>
        <v>0</v>
      </c>
      <c r="G41" s="146" t="str">
        <f t="shared" si="13"/>
        <v/>
      </c>
      <c r="H41" s="146" t="str">
        <f t="shared" si="13"/>
        <v/>
      </c>
      <c r="I41" s="146" t="str">
        <f t="shared" si="13"/>
        <v/>
      </c>
      <c r="J41" s="146" t="str">
        <f t="shared" si="13"/>
        <v/>
      </c>
      <c r="K41" s="146" t="str">
        <f t="shared" si="13"/>
        <v/>
      </c>
      <c r="L41" s="146" t="str">
        <f t="shared" si="13"/>
        <v/>
      </c>
      <c r="M41" s="146" t="str">
        <f t="shared" si="13"/>
        <v/>
      </c>
      <c r="N41" s="146" t="str">
        <f t="shared" si="13"/>
        <v/>
      </c>
      <c r="O41" s="146" t="str">
        <f t="shared" si="13"/>
        <v/>
      </c>
      <c r="P41" s="146" t="str">
        <f t="shared" si="13"/>
        <v/>
      </c>
    </row>
    <row r="42" spans="1:16">
      <c r="A42" s="536">
        <f t="shared" si="12"/>
        <v>12</v>
      </c>
      <c r="B42" s="128" t="str">
        <f>IF(Διαμερίσματα!B17="","",Διαμερίσματα!B17)</f>
        <v>Γ1</v>
      </c>
      <c r="C42" s="128" t="str">
        <f t="shared" ref="C42:C52" si="14">IF(C16="","",C16)</f>
        <v/>
      </c>
      <c r="D42" s="146">
        <f t="shared" ref="D42:D52" si="15">IF(D16="","",IF(D16&lt;0,"",D16))</f>
        <v>0</v>
      </c>
      <c r="E42" s="146">
        <f t="shared" ref="E42:E52" si="16">IF(E16="","",IF(E16-D16&lt;0,"",E16-D16))</f>
        <v>0</v>
      </c>
      <c r="F42" s="146">
        <f t="shared" ref="F42:F52" si="17">IF(F16="","",IF(F16-E16&lt;0,"",F16-E16))</f>
        <v>0</v>
      </c>
      <c r="G42" s="146" t="str">
        <f t="shared" ref="G42:G52" si="18">IF(G16="","",IF(G16-F16&lt;0,"",G16-F16))</f>
        <v/>
      </c>
      <c r="H42" s="146" t="str">
        <f t="shared" ref="H42:H52" si="19">IF(H16="","",IF(H16-G16&lt;0,"",H16-G16))</f>
        <v/>
      </c>
      <c r="I42" s="146" t="str">
        <f t="shared" ref="I42:I52" si="20">IF(I16="","",IF(I16-H16&lt;0,"",I16-H16))</f>
        <v/>
      </c>
      <c r="J42" s="146" t="str">
        <f t="shared" ref="J42:J52" si="21">IF(J16="","",IF(J16-I16&lt;0,"",J16-I16))</f>
        <v/>
      </c>
      <c r="K42" s="146" t="str">
        <f t="shared" ref="K42:K52" si="22">IF(K16="","",IF(K16-J16&lt;0,"",K16-J16))</f>
        <v/>
      </c>
      <c r="L42" s="146" t="str">
        <f t="shared" ref="L42:L52" si="23">IF(L16="","",IF(L16-K16&lt;0,"",L16-K16))</f>
        <v/>
      </c>
      <c r="M42" s="146" t="str">
        <f t="shared" ref="M42:M52" si="24">IF(M16="","",IF(M16-L16&lt;0,"",M16-L16))</f>
        <v/>
      </c>
      <c r="N42" s="146" t="str">
        <f t="shared" ref="N42:N52" si="25">IF(N16="","",IF(N16-M16&lt;0,"",N16-M16))</f>
        <v/>
      </c>
      <c r="O42" s="146" t="str">
        <f t="shared" ref="O42:O52" si="26">IF(O16="","",IF(O16-N16&lt;0,"",O16-N16))</f>
        <v/>
      </c>
      <c r="P42" s="146" t="str">
        <f t="shared" ref="P42:P52" si="27">IF(P16="","",IF(P16-O16&lt;0,"",P16-O16))</f>
        <v/>
      </c>
    </row>
    <row r="43" spans="1:16">
      <c r="A43" s="536">
        <f t="shared" si="12"/>
        <v>13</v>
      </c>
      <c r="B43" s="128" t="str">
        <f>IF(Διαμερίσματα!B18="","",Διαμερίσματα!B18)</f>
        <v>Γ2</v>
      </c>
      <c r="C43" s="128" t="str">
        <f t="shared" si="14"/>
        <v/>
      </c>
      <c r="D43" s="146">
        <f t="shared" si="15"/>
        <v>0</v>
      </c>
      <c r="E43" s="146">
        <f t="shared" si="16"/>
        <v>0</v>
      </c>
      <c r="F43" s="146">
        <f t="shared" si="17"/>
        <v>0</v>
      </c>
      <c r="G43" s="146" t="str">
        <f t="shared" si="18"/>
        <v/>
      </c>
      <c r="H43" s="146" t="str">
        <f t="shared" si="19"/>
        <v/>
      </c>
      <c r="I43" s="146" t="str">
        <f t="shared" si="20"/>
        <v/>
      </c>
      <c r="J43" s="146" t="str">
        <f t="shared" si="21"/>
        <v/>
      </c>
      <c r="K43" s="146" t="str">
        <f t="shared" si="22"/>
        <v/>
      </c>
      <c r="L43" s="146" t="str">
        <f t="shared" si="23"/>
        <v/>
      </c>
      <c r="M43" s="146" t="str">
        <f t="shared" si="24"/>
        <v/>
      </c>
      <c r="N43" s="146" t="str">
        <f t="shared" si="25"/>
        <v/>
      </c>
      <c r="O43" s="146" t="str">
        <f t="shared" si="26"/>
        <v/>
      </c>
      <c r="P43" s="146" t="str">
        <f t="shared" si="27"/>
        <v/>
      </c>
    </row>
    <row r="44" spans="1:16">
      <c r="A44" s="536">
        <f t="shared" si="12"/>
        <v>14</v>
      </c>
      <c r="B44" s="128" t="str">
        <f>IF(Διαμερίσματα!B19="","",Διαμερίσματα!B19)</f>
        <v>Γ3</v>
      </c>
      <c r="C44" s="128" t="str">
        <f t="shared" si="14"/>
        <v/>
      </c>
      <c r="D44" s="146">
        <f t="shared" si="15"/>
        <v>0</v>
      </c>
      <c r="E44" s="146">
        <f t="shared" si="16"/>
        <v>0</v>
      </c>
      <c r="F44" s="146">
        <f t="shared" si="17"/>
        <v>0</v>
      </c>
      <c r="G44" s="146" t="str">
        <f t="shared" si="18"/>
        <v/>
      </c>
      <c r="H44" s="146" t="str">
        <f t="shared" si="19"/>
        <v/>
      </c>
      <c r="I44" s="146" t="str">
        <f t="shared" si="20"/>
        <v/>
      </c>
      <c r="J44" s="146" t="str">
        <f t="shared" si="21"/>
        <v/>
      </c>
      <c r="K44" s="146" t="str">
        <f t="shared" si="22"/>
        <v/>
      </c>
      <c r="L44" s="146" t="str">
        <f t="shared" si="23"/>
        <v/>
      </c>
      <c r="M44" s="146" t="str">
        <f t="shared" si="24"/>
        <v/>
      </c>
      <c r="N44" s="146" t="str">
        <f t="shared" si="25"/>
        <v/>
      </c>
      <c r="O44" s="146" t="str">
        <f t="shared" si="26"/>
        <v/>
      </c>
      <c r="P44" s="146" t="str">
        <f t="shared" si="27"/>
        <v/>
      </c>
    </row>
    <row r="45" spans="1:16">
      <c r="A45" s="536">
        <f t="shared" si="12"/>
        <v>15</v>
      </c>
      <c r="B45" s="128" t="str">
        <f>IF(Διαμερίσματα!B20="","",Διαμερίσματα!B20)</f>
        <v>Γ4</v>
      </c>
      <c r="C45" s="128" t="str">
        <f t="shared" si="14"/>
        <v/>
      </c>
      <c r="D45" s="146">
        <f t="shared" si="15"/>
        <v>0</v>
      </c>
      <c r="E45" s="146">
        <f t="shared" si="16"/>
        <v>0</v>
      </c>
      <c r="F45" s="146">
        <f t="shared" si="17"/>
        <v>0</v>
      </c>
      <c r="G45" s="146" t="str">
        <f t="shared" si="18"/>
        <v/>
      </c>
      <c r="H45" s="146" t="str">
        <f t="shared" si="19"/>
        <v/>
      </c>
      <c r="I45" s="146" t="str">
        <f t="shared" si="20"/>
        <v/>
      </c>
      <c r="J45" s="146" t="str">
        <f t="shared" si="21"/>
        <v/>
      </c>
      <c r="K45" s="146" t="str">
        <f t="shared" si="22"/>
        <v/>
      </c>
      <c r="L45" s="146" t="str">
        <f t="shared" si="23"/>
        <v/>
      </c>
      <c r="M45" s="146" t="str">
        <f t="shared" si="24"/>
        <v/>
      </c>
      <c r="N45" s="146" t="str">
        <f t="shared" si="25"/>
        <v/>
      </c>
      <c r="O45" s="146" t="str">
        <f t="shared" si="26"/>
        <v/>
      </c>
      <c r="P45" s="146" t="str">
        <f t="shared" si="27"/>
        <v/>
      </c>
    </row>
    <row r="46" spans="1:16">
      <c r="A46" s="536">
        <f t="shared" si="12"/>
        <v>16</v>
      </c>
      <c r="B46" s="128" t="str">
        <f>IF(Διαμερίσματα!B21="","",Διαμερίσματα!B21)</f>
        <v>Δ1</v>
      </c>
      <c r="C46" s="128" t="str">
        <f t="shared" si="14"/>
        <v/>
      </c>
      <c r="D46" s="146">
        <f t="shared" si="15"/>
        <v>0</v>
      </c>
      <c r="E46" s="146">
        <f t="shared" si="16"/>
        <v>0</v>
      </c>
      <c r="F46" s="146">
        <f t="shared" si="17"/>
        <v>0</v>
      </c>
      <c r="G46" s="146" t="str">
        <f t="shared" si="18"/>
        <v/>
      </c>
      <c r="H46" s="146" t="str">
        <f t="shared" si="19"/>
        <v/>
      </c>
      <c r="I46" s="146" t="str">
        <f t="shared" si="20"/>
        <v/>
      </c>
      <c r="J46" s="146" t="str">
        <f t="shared" si="21"/>
        <v/>
      </c>
      <c r="K46" s="146" t="str">
        <f t="shared" si="22"/>
        <v/>
      </c>
      <c r="L46" s="146" t="str">
        <f t="shared" si="23"/>
        <v/>
      </c>
      <c r="M46" s="146" t="str">
        <f t="shared" si="24"/>
        <v/>
      </c>
      <c r="N46" s="146" t="str">
        <f t="shared" si="25"/>
        <v/>
      </c>
      <c r="O46" s="146" t="str">
        <f t="shared" si="26"/>
        <v/>
      </c>
      <c r="P46" s="146" t="str">
        <f t="shared" si="27"/>
        <v/>
      </c>
    </row>
    <row r="47" spans="1:16">
      <c r="A47" s="536">
        <f t="shared" si="12"/>
        <v>17</v>
      </c>
      <c r="B47" s="128" t="str">
        <f>IF(Διαμερίσματα!B22="","",Διαμερίσματα!B22)</f>
        <v>Δ2</v>
      </c>
      <c r="C47" s="128" t="str">
        <f t="shared" si="14"/>
        <v/>
      </c>
      <c r="D47" s="146">
        <f t="shared" si="15"/>
        <v>0</v>
      </c>
      <c r="E47" s="146">
        <f t="shared" si="16"/>
        <v>0</v>
      </c>
      <c r="F47" s="146">
        <f t="shared" si="17"/>
        <v>0</v>
      </c>
      <c r="G47" s="146" t="str">
        <f t="shared" si="18"/>
        <v/>
      </c>
      <c r="H47" s="146" t="str">
        <f t="shared" si="19"/>
        <v/>
      </c>
      <c r="I47" s="146" t="str">
        <f t="shared" si="20"/>
        <v/>
      </c>
      <c r="J47" s="146" t="str">
        <f t="shared" si="21"/>
        <v/>
      </c>
      <c r="K47" s="146" t="str">
        <f t="shared" si="22"/>
        <v/>
      </c>
      <c r="L47" s="146" t="str">
        <f t="shared" si="23"/>
        <v/>
      </c>
      <c r="M47" s="146" t="str">
        <f t="shared" si="24"/>
        <v/>
      </c>
      <c r="N47" s="146" t="str">
        <f t="shared" si="25"/>
        <v/>
      </c>
      <c r="O47" s="146" t="str">
        <f t="shared" si="26"/>
        <v/>
      </c>
      <c r="P47" s="146" t="str">
        <f t="shared" si="27"/>
        <v/>
      </c>
    </row>
    <row r="48" spans="1:16">
      <c r="A48" s="536">
        <f t="shared" si="12"/>
        <v>18</v>
      </c>
      <c r="B48" s="128" t="str">
        <f>IF(Διαμερίσματα!B23="","",Διαμερίσματα!B23)</f>
        <v>Δ3</v>
      </c>
      <c r="C48" s="128" t="str">
        <f t="shared" si="14"/>
        <v/>
      </c>
      <c r="D48" s="146">
        <f t="shared" si="15"/>
        <v>0</v>
      </c>
      <c r="E48" s="146">
        <f t="shared" si="16"/>
        <v>0</v>
      </c>
      <c r="F48" s="146">
        <f t="shared" si="17"/>
        <v>0</v>
      </c>
      <c r="G48" s="146" t="str">
        <f t="shared" si="18"/>
        <v/>
      </c>
      <c r="H48" s="146" t="str">
        <f t="shared" si="19"/>
        <v/>
      </c>
      <c r="I48" s="146" t="str">
        <f t="shared" si="20"/>
        <v/>
      </c>
      <c r="J48" s="146" t="str">
        <f t="shared" si="21"/>
        <v/>
      </c>
      <c r="K48" s="146" t="str">
        <f t="shared" si="22"/>
        <v/>
      </c>
      <c r="L48" s="146" t="str">
        <f t="shared" si="23"/>
        <v/>
      </c>
      <c r="M48" s="146" t="str">
        <f t="shared" si="24"/>
        <v/>
      </c>
      <c r="N48" s="146" t="str">
        <f t="shared" si="25"/>
        <v/>
      </c>
      <c r="O48" s="146" t="str">
        <f t="shared" si="26"/>
        <v/>
      </c>
      <c r="P48" s="146" t="str">
        <f t="shared" si="27"/>
        <v/>
      </c>
    </row>
    <row r="49" spans="1:16">
      <c r="A49" s="536">
        <f t="shared" si="12"/>
        <v>19</v>
      </c>
      <c r="B49" s="128" t="str">
        <f>IF(Διαμερίσματα!B24="","",Διαμερίσματα!B24)</f>
        <v>Δ4</v>
      </c>
      <c r="C49" s="128" t="str">
        <f t="shared" si="14"/>
        <v/>
      </c>
      <c r="D49" s="146">
        <f t="shared" si="15"/>
        <v>0</v>
      </c>
      <c r="E49" s="146">
        <f t="shared" si="16"/>
        <v>0</v>
      </c>
      <c r="F49" s="146">
        <f t="shared" si="17"/>
        <v>0</v>
      </c>
      <c r="G49" s="146" t="str">
        <f t="shared" si="18"/>
        <v/>
      </c>
      <c r="H49" s="146" t="str">
        <f t="shared" si="19"/>
        <v/>
      </c>
      <c r="I49" s="146" t="str">
        <f t="shared" si="20"/>
        <v/>
      </c>
      <c r="J49" s="146" t="str">
        <f t="shared" si="21"/>
        <v/>
      </c>
      <c r="K49" s="146" t="str">
        <f t="shared" si="22"/>
        <v/>
      </c>
      <c r="L49" s="146" t="str">
        <f t="shared" si="23"/>
        <v/>
      </c>
      <c r="M49" s="146" t="str">
        <f t="shared" si="24"/>
        <v/>
      </c>
      <c r="N49" s="146" t="str">
        <f t="shared" si="25"/>
        <v/>
      </c>
      <c r="O49" s="146" t="str">
        <f t="shared" si="26"/>
        <v/>
      </c>
      <c r="P49" s="146" t="str">
        <f t="shared" si="27"/>
        <v/>
      </c>
    </row>
    <row r="50" spans="1:16">
      <c r="A50" s="536">
        <f t="shared" si="12"/>
        <v>20</v>
      </c>
      <c r="B50" s="128" t="str">
        <f>IF(Διαμερίσματα!B25="","",Διαμερίσματα!B25)</f>
        <v>Ε1</v>
      </c>
      <c r="C50" s="128" t="str">
        <f t="shared" si="14"/>
        <v/>
      </c>
      <c r="D50" s="146">
        <f t="shared" si="15"/>
        <v>0</v>
      </c>
      <c r="E50" s="146">
        <f t="shared" si="16"/>
        <v>0</v>
      </c>
      <c r="F50" s="146">
        <f t="shared" si="17"/>
        <v>0</v>
      </c>
      <c r="G50" s="146" t="str">
        <f t="shared" si="18"/>
        <v/>
      </c>
      <c r="H50" s="146" t="str">
        <f t="shared" si="19"/>
        <v/>
      </c>
      <c r="I50" s="146" t="str">
        <f t="shared" si="20"/>
        <v/>
      </c>
      <c r="J50" s="146" t="str">
        <f t="shared" si="21"/>
        <v/>
      </c>
      <c r="K50" s="146" t="str">
        <f t="shared" si="22"/>
        <v/>
      </c>
      <c r="L50" s="146" t="str">
        <f t="shared" si="23"/>
        <v/>
      </c>
      <c r="M50" s="146" t="str">
        <f t="shared" si="24"/>
        <v/>
      </c>
      <c r="N50" s="146" t="str">
        <f t="shared" si="25"/>
        <v/>
      </c>
      <c r="O50" s="146" t="str">
        <f t="shared" si="26"/>
        <v/>
      </c>
      <c r="P50" s="146" t="str">
        <f t="shared" si="27"/>
        <v/>
      </c>
    </row>
    <row r="51" spans="1:16">
      <c r="A51" s="536">
        <f t="shared" si="12"/>
        <v>21</v>
      </c>
      <c r="B51" s="128" t="str">
        <f>IF(Διαμερίσματα!B26="","",Διαμερίσματα!B26)</f>
        <v>Ε2</v>
      </c>
      <c r="C51" s="128" t="str">
        <f t="shared" si="14"/>
        <v/>
      </c>
      <c r="D51" s="146">
        <f t="shared" si="15"/>
        <v>0</v>
      </c>
      <c r="E51" s="146">
        <f t="shared" si="16"/>
        <v>0</v>
      </c>
      <c r="F51" s="146">
        <f t="shared" si="17"/>
        <v>0</v>
      </c>
      <c r="G51" s="146" t="str">
        <f t="shared" si="18"/>
        <v/>
      </c>
      <c r="H51" s="146" t="str">
        <f t="shared" si="19"/>
        <v/>
      </c>
      <c r="I51" s="146" t="str">
        <f t="shared" si="20"/>
        <v/>
      </c>
      <c r="J51" s="146" t="str">
        <f t="shared" si="21"/>
        <v/>
      </c>
      <c r="K51" s="146" t="str">
        <f t="shared" si="22"/>
        <v/>
      </c>
      <c r="L51" s="146" t="str">
        <f t="shared" si="23"/>
        <v/>
      </c>
      <c r="M51" s="146" t="str">
        <f t="shared" si="24"/>
        <v/>
      </c>
      <c r="N51" s="146" t="str">
        <f t="shared" si="25"/>
        <v/>
      </c>
      <c r="O51" s="146" t="str">
        <f t="shared" si="26"/>
        <v/>
      </c>
      <c r="P51" s="146" t="str">
        <f t="shared" si="27"/>
        <v/>
      </c>
    </row>
    <row r="52" spans="1:16">
      <c r="A52" s="536">
        <f t="shared" si="12"/>
        <v>22</v>
      </c>
      <c r="B52" s="128" t="str">
        <f>IF(Διαμερίσματα!B27="","",Διαμερίσματα!B27)</f>
        <v>Ε3</v>
      </c>
      <c r="C52" s="128" t="str">
        <f t="shared" si="14"/>
        <v/>
      </c>
      <c r="D52" s="146">
        <f t="shared" si="15"/>
        <v>0</v>
      </c>
      <c r="E52" s="146">
        <f t="shared" si="16"/>
        <v>0</v>
      </c>
      <c r="F52" s="146">
        <f t="shared" si="17"/>
        <v>0</v>
      </c>
      <c r="G52" s="146" t="str">
        <f t="shared" si="18"/>
        <v/>
      </c>
      <c r="H52" s="146" t="str">
        <f t="shared" si="19"/>
        <v/>
      </c>
      <c r="I52" s="146" t="str">
        <f t="shared" si="20"/>
        <v/>
      </c>
      <c r="J52" s="146" t="str">
        <f t="shared" si="21"/>
        <v/>
      </c>
      <c r="K52" s="146" t="str">
        <f t="shared" si="22"/>
        <v/>
      </c>
      <c r="L52" s="146" t="str">
        <f t="shared" si="23"/>
        <v/>
      </c>
      <c r="M52" s="146" t="str">
        <f t="shared" si="24"/>
        <v/>
      </c>
      <c r="N52" s="146" t="str">
        <f t="shared" si="25"/>
        <v/>
      </c>
      <c r="O52" s="146" t="str">
        <f t="shared" si="26"/>
        <v/>
      </c>
      <c r="P52" s="146" t="str">
        <f t="shared" si="27"/>
        <v/>
      </c>
    </row>
    <row r="53" spans="1:16" s="455" customFormat="1">
      <c r="D53" s="465">
        <f t="shared" ref="D53:P53" si="28">IF(SUM(D31:D52)=0,"",SUM(D31:D52))</f>
        <v>8870</v>
      </c>
      <c r="E53" s="465">
        <f t="shared" si="28"/>
        <v>387</v>
      </c>
      <c r="F53" s="465">
        <f t="shared" si="28"/>
        <v>1</v>
      </c>
      <c r="G53" s="465" t="str">
        <f t="shared" si="28"/>
        <v/>
      </c>
      <c r="H53" s="465" t="str">
        <f t="shared" si="28"/>
        <v/>
      </c>
      <c r="I53" s="465" t="str">
        <f t="shared" si="28"/>
        <v/>
      </c>
      <c r="J53" s="465" t="str">
        <f t="shared" si="28"/>
        <v/>
      </c>
      <c r="K53" s="465" t="str">
        <f t="shared" si="28"/>
        <v/>
      </c>
      <c r="L53" s="465" t="str">
        <f t="shared" si="28"/>
        <v/>
      </c>
      <c r="M53" s="465" t="str">
        <f t="shared" si="28"/>
        <v/>
      </c>
      <c r="N53" s="465" t="str">
        <f t="shared" si="28"/>
        <v/>
      </c>
      <c r="O53" s="465" t="str">
        <f t="shared" si="28"/>
        <v/>
      </c>
      <c r="P53" s="465" t="str">
        <f t="shared" si="28"/>
        <v/>
      </c>
    </row>
    <row r="54" spans="1:16" ht="36">
      <c r="A54" s="744" t="s">
        <v>225</v>
      </c>
      <c r="B54" s="744"/>
      <c r="C54" s="744"/>
      <c r="D54" s="744"/>
      <c r="E54" s="744"/>
      <c r="F54" s="744"/>
      <c r="G54" s="744"/>
      <c r="H54" s="744"/>
      <c r="I54" s="744"/>
      <c r="J54" s="744"/>
      <c r="K54" s="744"/>
      <c r="L54" s="744"/>
      <c r="M54" s="744"/>
      <c r="N54" s="744"/>
      <c r="O54" s="744"/>
      <c r="P54" s="744"/>
    </row>
  </sheetData>
  <sheetProtection password="E4A3" sheet="1" objects="1" scenarios="1"/>
  <mergeCells count="5">
    <mergeCell ref="A54:P54"/>
    <mergeCell ref="A2:P2"/>
    <mergeCell ref="A28:P28"/>
    <mergeCell ref="D1:I1"/>
    <mergeCell ref="J1:P1"/>
  </mergeCells>
  <hyperlinks>
    <hyperlink ref="A54:P54" location="ΠΛΟΗΓΗΣΗ!A1" display="Επιστροφή   στην   ΠΛΟΗΓΗΣΗ"/>
  </hyperlinks>
  <pageMargins left="0.39370078740157483" right="0.39370078740157483" top="0.39370078740157483" bottom="0.39370078740157483" header="0.31496062992125984" footer="0.31496062992125984"/>
  <pageSetup paperSize="9" orientation="landscape" r:id="rId1"/>
  <customProperties>
    <customPr name="DVSECTIONID" r:id="rId2"/>
  </customProperties>
  <drawing r:id="rId3"/>
</worksheet>
</file>

<file path=xl/worksheets/sheet6.xml><?xml version="1.0" encoding="utf-8"?>
<worksheet xmlns="http://schemas.openxmlformats.org/spreadsheetml/2006/main" xmlns:r="http://schemas.openxmlformats.org/officeDocument/2006/relationships">
  <sheetPr codeName="Φύλλο6">
    <tabColor rgb="FFFF0000"/>
  </sheetPr>
  <dimension ref="A1:P63"/>
  <sheetViews>
    <sheetView zoomScale="90" zoomScaleNormal="90" workbookViewId="0">
      <selection activeCell="D20" sqref="D20"/>
    </sheetView>
  </sheetViews>
  <sheetFormatPr defaultColWidth="9.140625" defaultRowHeight="15"/>
  <cols>
    <col min="1" max="1" width="4.140625" style="104" bestFit="1" customWidth="1"/>
    <col min="2" max="2" width="14.140625" style="104" bestFit="1" customWidth="1"/>
    <col min="3" max="3" width="33.140625" style="104" bestFit="1" customWidth="1"/>
    <col min="4" max="4" width="7" style="104" bestFit="1" customWidth="1"/>
    <col min="5" max="5" width="6.7109375" style="104" bestFit="1" customWidth="1"/>
    <col min="6" max="6" width="6.85546875" style="104" bestFit="1" customWidth="1"/>
    <col min="7" max="7" width="8.42578125" style="104" bestFit="1" customWidth="1"/>
    <col min="8" max="8" width="7.28515625" style="104" bestFit="1" customWidth="1"/>
    <col min="9" max="11" width="6.42578125" style="104" bestFit="1" customWidth="1"/>
    <col min="12" max="12" width="6.140625" style="104" bestFit="1" customWidth="1"/>
    <col min="13" max="13" width="6.5703125" style="104" bestFit="1" customWidth="1"/>
    <col min="14" max="15" width="6.140625" style="104" bestFit="1" customWidth="1"/>
    <col min="16" max="16" width="6.5703125" style="104" bestFit="1" customWidth="1"/>
    <col min="17" max="17" width="3.5703125" style="104" customWidth="1"/>
    <col min="18" max="16384" width="9.140625" style="104"/>
  </cols>
  <sheetData>
    <row r="1" spans="1:8" ht="11.1" customHeight="1">
      <c r="A1" s="300" t="s">
        <v>24</v>
      </c>
      <c r="B1" s="300" t="s">
        <v>64</v>
      </c>
      <c r="C1" s="316" t="s">
        <v>206</v>
      </c>
      <c r="D1" s="752" t="s">
        <v>65</v>
      </c>
      <c r="E1" s="753"/>
      <c r="F1" s="305">
        <f>DATE(D3,D6,1)</f>
        <v>40848</v>
      </c>
      <c r="G1" s="306">
        <f>F1</f>
        <v>40848</v>
      </c>
      <c r="H1" s="449">
        <f>F1</f>
        <v>40848</v>
      </c>
    </row>
    <row r="2" spans="1:8" ht="11.1" customHeight="1">
      <c r="A2" s="41">
        <v>1</v>
      </c>
      <c r="B2" s="250" t="s">
        <v>70</v>
      </c>
      <c r="C2" s="178" t="s">
        <v>71</v>
      </c>
      <c r="D2" s="754" t="s">
        <v>205</v>
      </c>
      <c r="E2" s="755"/>
      <c r="F2" s="305">
        <f>EDATE(F1,1)</f>
        <v>40878</v>
      </c>
      <c r="G2" s="306">
        <f t="shared" ref="G2:G13" si="0">F2</f>
        <v>40878</v>
      </c>
      <c r="H2" s="307">
        <f t="shared" ref="H2:H13" si="1">F2</f>
        <v>40878</v>
      </c>
    </row>
    <row r="3" spans="1:8" ht="11.1" customHeight="1">
      <c r="A3" s="41">
        <f>A2+1</f>
        <v>2</v>
      </c>
      <c r="B3" s="749" t="s">
        <v>72</v>
      </c>
      <c r="C3" s="179" t="s">
        <v>57</v>
      </c>
      <c r="D3" s="756">
        <v>2011</v>
      </c>
      <c r="E3" s="757"/>
      <c r="F3" s="308">
        <f>EDATE(F2,1)</f>
        <v>40909</v>
      </c>
      <c r="G3" s="306">
        <f t="shared" si="0"/>
        <v>40909</v>
      </c>
      <c r="H3" s="307">
        <f t="shared" si="1"/>
        <v>40909</v>
      </c>
    </row>
    <row r="4" spans="1:8" ht="11.1" customHeight="1">
      <c r="A4" s="41">
        <f t="shared" ref="A4:A16" si="2">A3+1</f>
        <v>3</v>
      </c>
      <c r="B4" s="750"/>
      <c r="C4" s="178" t="s">
        <v>76</v>
      </c>
      <c r="D4" s="752" t="s">
        <v>66</v>
      </c>
      <c r="E4" s="753"/>
      <c r="F4" s="305">
        <f>EDATE(F3,1)</f>
        <v>40940</v>
      </c>
      <c r="G4" s="306">
        <f t="shared" si="0"/>
        <v>40940</v>
      </c>
      <c r="H4" s="307">
        <f t="shared" si="1"/>
        <v>40940</v>
      </c>
    </row>
    <row r="5" spans="1:8" ht="11.1" customHeight="1">
      <c r="A5" s="41">
        <f t="shared" si="2"/>
        <v>4</v>
      </c>
      <c r="B5" s="750"/>
      <c r="C5" s="178" t="s">
        <v>75</v>
      </c>
      <c r="D5" s="754" t="s">
        <v>205</v>
      </c>
      <c r="E5" s="755"/>
      <c r="F5" s="305">
        <f t="shared" ref="F5:F21" si="3">EDATE(F4,1)</f>
        <v>40969</v>
      </c>
      <c r="G5" s="306">
        <f t="shared" si="0"/>
        <v>40969</v>
      </c>
      <c r="H5" s="307">
        <f t="shared" si="1"/>
        <v>40969</v>
      </c>
    </row>
    <row r="6" spans="1:8" ht="11.1" customHeight="1">
      <c r="A6" s="41">
        <f t="shared" si="2"/>
        <v>5</v>
      </c>
      <c r="B6" s="751"/>
      <c r="C6" s="179" t="s">
        <v>77</v>
      </c>
      <c r="D6" s="758">
        <v>11</v>
      </c>
      <c r="E6" s="759"/>
      <c r="F6" s="308">
        <f t="shared" si="3"/>
        <v>41000</v>
      </c>
      <c r="G6" s="306">
        <f t="shared" si="0"/>
        <v>41000</v>
      </c>
      <c r="H6" s="307">
        <f t="shared" si="1"/>
        <v>41000</v>
      </c>
    </row>
    <row r="7" spans="1:8" ht="11.1" customHeight="1">
      <c r="A7" s="41">
        <f t="shared" si="2"/>
        <v>6</v>
      </c>
      <c r="B7" s="250" t="s">
        <v>73</v>
      </c>
      <c r="C7" s="662" t="s">
        <v>87</v>
      </c>
      <c r="D7" s="313">
        <v>1</v>
      </c>
      <c r="E7" s="544">
        <v>2010</v>
      </c>
      <c r="F7" s="305">
        <f t="shared" si="3"/>
        <v>41030</v>
      </c>
      <c r="G7" s="306">
        <f t="shared" si="0"/>
        <v>41030</v>
      </c>
      <c r="H7" s="307">
        <f t="shared" si="1"/>
        <v>41030</v>
      </c>
    </row>
    <row r="8" spans="1:8" ht="11.1" customHeight="1">
      <c r="A8" s="41">
        <f t="shared" si="2"/>
        <v>7</v>
      </c>
      <c r="B8" s="250" t="s">
        <v>74</v>
      </c>
      <c r="C8" s="663" t="s">
        <v>493</v>
      </c>
      <c r="D8" s="313">
        <f>D7+1</f>
        <v>2</v>
      </c>
      <c r="E8" s="314">
        <f>E7+1</f>
        <v>2011</v>
      </c>
      <c r="F8" s="305">
        <f t="shared" si="3"/>
        <v>41061</v>
      </c>
      <c r="G8" s="306">
        <f t="shared" si="0"/>
        <v>41061</v>
      </c>
      <c r="H8" s="307">
        <f t="shared" si="1"/>
        <v>41061</v>
      </c>
    </row>
    <row r="9" spans="1:8" ht="11.1" customHeight="1">
      <c r="A9" s="41">
        <f t="shared" si="2"/>
        <v>8</v>
      </c>
      <c r="B9" s="250" t="s">
        <v>65</v>
      </c>
      <c r="C9" s="296">
        <f>VLOOKUP(C11,F1:H21,3)</f>
        <v>40878</v>
      </c>
      <c r="D9" s="313">
        <f t="shared" ref="D9:D18" si="4">D8+1</f>
        <v>3</v>
      </c>
      <c r="E9" s="314">
        <f t="shared" ref="E9:E18" si="5">E8+1</f>
        <v>2012</v>
      </c>
      <c r="F9" s="305">
        <f t="shared" si="3"/>
        <v>41091</v>
      </c>
      <c r="G9" s="306">
        <f t="shared" si="0"/>
        <v>41091</v>
      </c>
      <c r="H9" s="307">
        <f t="shared" si="1"/>
        <v>41091</v>
      </c>
    </row>
    <row r="10" spans="1:8" ht="11.1" customHeight="1">
      <c r="A10" s="41">
        <f t="shared" si="2"/>
        <v>9</v>
      </c>
      <c r="B10" s="250" t="s">
        <v>66</v>
      </c>
      <c r="C10" s="297">
        <f>VLOOKUP(C11,F1:G21,2)</f>
        <v>40878</v>
      </c>
      <c r="D10" s="313">
        <f t="shared" si="4"/>
        <v>4</v>
      </c>
      <c r="E10" s="314">
        <f t="shared" si="5"/>
        <v>2013</v>
      </c>
      <c r="F10" s="305">
        <f t="shared" si="3"/>
        <v>41122</v>
      </c>
      <c r="G10" s="306">
        <f t="shared" si="0"/>
        <v>41122</v>
      </c>
      <c r="H10" s="307">
        <f t="shared" si="1"/>
        <v>41122</v>
      </c>
    </row>
    <row r="11" spans="1:8" ht="11.1" customHeight="1">
      <c r="A11" s="41">
        <f t="shared" si="2"/>
        <v>10</v>
      </c>
      <c r="B11" s="317" t="s">
        <v>207</v>
      </c>
      <c r="C11" s="134">
        <v>40878</v>
      </c>
      <c r="D11" s="313">
        <f t="shared" si="4"/>
        <v>5</v>
      </c>
      <c r="E11" s="314">
        <f t="shared" si="5"/>
        <v>2014</v>
      </c>
      <c r="F11" s="305">
        <f t="shared" si="3"/>
        <v>41153</v>
      </c>
      <c r="G11" s="306">
        <f t="shared" si="0"/>
        <v>41153</v>
      </c>
      <c r="H11" s="307">
        <f t="shared" si="1"/>
        <v>41153</v>
      </c>
    </row>
    <row r="12" spans="1:8" ht="11.1" customHeight="1">
      <c r="A12" s="41">
        <f t="shared" si="2"/>
        <v>11</v>
      </c>
      <c r="B12" s="250" t="s">
        <v>68</v>
      </c>
      <c r="C12" s="662" t="s">
        <v>494</v>
      </c>
      <c r="D12" s="313">
        <f t="shared" si="4"/>
        <v>6</v>
      </c>
      <c r="E12" s="314">
        <f t="shared" si="5"/>
        <v>2015</v>
      </c>
      <c r="F12" s="305">
        <f t="shared" si="3"/>
        <v>41183</v>
      </c>
      <c r="G12" s="306">
        <f t="shared" si="0"/>
        <v>41183</v>
      </c>
      <c r="H12" s="307">
        <f t="shared" si="1"/>
        <v>41183</v>
      </c>
    </row>
    <row r="13" spans="1:8" ht="11.1" customHeight="1">
      <c r="A13" s="41">
        <f t="shared" si="2"/>
        <v>12</v>
      </c>
      <c r="B13" s="250" t="s">
        <v>67</v>
      </c>
      <c r="C13" s="662" t="s">
        <v>495</v>
      </c>
      <c r="D13" s="313">
        <f t="shared" si="4"/>
        <v>7</v>
      </c>
      <c r="E13" s="314">
        <f t="shared" si="5"/>
        <v>2016</v>
      </c>
      <c r="F13" s="305">
        <f t="shared" si="3"/>
        <v>41214</v>
      </c>
      <c r="G13" s="306">
        <f t="shared" si="0"/>
        <v>41214</v>
      </c>
      <c r="H13" s="307">
        <f t="shared" si="1"/>
        <v>41214</v>
      </c>
    </row>
    <row r="14" spans="1:8" ht="11.1" customHeight="1">
      <c r="A14" s="41">
        <f t="shared" si="2"/>
        <v>13</v>
      </c>
      <c r="B14" s="318" t="s">
        <v>120</v>
      </c>
      <c r="C14" s="133" t="s">
        <v>496</v>
      </c>
      <c r="D14" s="313">
        <f t="shared" si="4"/>
        <v>8</v>
      </c>
      <c r="E14" s="314">
        <f t="shared" si="5"/>
        <v>2017</v>
      </c>
      <c r="F14" s="309">
        <f t="shared" si="3"/>
        <v>41244</v>
      </c>
      <c r="G14" s="310">
        <f t="shared" ref="G14:G21" si="6">F14</f>
        <v>41244</v>
      </c>
      <c r="H14" s="311">
        <f t="shared" ref="H14:H21" si="7">F14</f>
        <v>41244</v>
      </c>
    </row>
    <row r="15" spans="1:8" ht="11.1" customHeight="1">
      <c r="A15" s="41">
        <f t="shared" si="2"/>
        <v>14</v>
      </c>
      <c r="B15" s="250" t="s">
        <v>90</v>
      </c>
      <c r="C15" s="178" t="s">
        <v>91</v>
      </c>
      <c r="D15" s="313">
        <f t="shared" si="4"/>
        <v>9</v>
      </c>
      <c r="E15" s="314">
        <f t="shared" si="5"/>
        <v>2018</v>
      </c>
      <c r="F15" s="309">
        <f t="shared" si="3"/>
        <v>41275</v>
      </c>
      <c r="G15" s="310">
        <f t="shared" si="6"/>
        <v>41275</v>
      </c>
      <c r="H15" s="311">
        <f t="shared" si="7"/>
        <v>41275</v>
      </c>
    </row>
    <row r="16" spans="1:8" ht="11.1" customHeight="1">
      <c r="A16" s="41">
        <f t="shared" si="2"/>
        <v>15</v>
      </c>
      <c r="B16" s="250" t="s">
        <v>123</v>
      </c>
      <c r="C16" s="178" t="s">
        <v>147</v>
      </c>
      <c r="D16" s="313">
        <f t="shared" si="4"/>
        <v>10</v>
      </c>
      <c r="E16" s="314">
        <f t="shared" si="5"/>
        <v>2019</v>
      </c>
      <c r="F16" s="309">
        <f t="shared" si="3"/>
        <v>41306</v>
      </c>
      <c r="G16" s="310">
        <f t="shared" si="6"/>
        <v>41306</v>
      </c>
      <c r="H16" s="311">
        <f t="shared" si="7"/>
        <v>41306</v>
      </c>
    </row>
    <row r="17" spans="1:16" ht="6.95" customHeight="1">
      <c r="D17" s="313">
        <f t="shared" si="4"/>
        <v>11</v>
      </c>
      <c r="E17" s="314">
        <f t="shared" si="5"/>
        <v>2020</v>
      </c>
      <c r="F17" s="309">
        <f t="shared" si="3"/>
        <v>41334</v>
      </c>
      <c r="G17" s="310">
        <f t="shared" si="6"/>
        <v>41334</v>
      </c>
      <c r="H17" s="311">
        <f t="shared" si="7"/>
        <v>41334</v>
      </c>
    </row>
    <row r="18" spans="1:16" ht="6.95" customHeight="1">
      <c r="A18" s="760" t="s">
        <v>225</v>
      </c>
      <c r="B18" s="760"/>
      <c r="C18" s="760"/>
      <c r="D18" s="315">
        <f t="shared" si="4"/>
        <v>12</v>
      </c>
      <c r="E18" s="314">
        <f t="shared" si="5"/>
        <v>2021</v>
      </c>
      <c r="F18" s="309">
        <f t="shared" si="3"/>
        <v>41365</v>
      </c>
      <c r="G18" s="310">
        <f t="shared" si="6"/>
        <v>41365</v>
      </c>
      <c r="H18" s="311">
        <f t="shared" si="7"/>
        <v>41365</v>
      </c>
    </row>
    <row r="19" spans="1:16" ht="6.95" customHeight="1">
      <c r="A19" s="760"/>
      <c r="B19" s="760"/>
      <c r="C19" s="760"/>
      <c r="D19" s="1"/>
      <c r="E19" s="1"/>
      <c r="F19" s="312">
        <f t="shared" si="3"/>
        <v>41395</v>
      </c>
      <c r="G19" s="310">
        <f t="shared" si="6"/>
        <v>41395</v>
      </c>
      <c r="H19" s="311">
        <f t="shared" si="7"/>
        <v>41395</v>
      </c>
    </row>
    <row r="20" spans="1:16" ht="6.95" customHeight="1">
      <c r="A20" s="760"/>
      <c r="B20" s="760"/>
      <c r="C20" s="760"/>
      <c r="D20" s="1"/>
      <c r="E20" s="1"/>
      <c r="F20" s="312">
        <f t="shared" si="3"/>
        <v>41426</v>
      </c>
      <c r="G20" s="310">
        <f t="shared" si="6"/>
        <v>41426</v>
      </c>
      <c r="H20" s="311">
        <f t="shared" si="7"/>
        <v>41426</v>
      </c>
    </row>
    <row r="21" spans="1:16" ht="6.95" customHeight="1">
      <c r="A21" s="760"/>
      <c r="B21" s="760"/>
      <c r="C21" s="760"/>
      <c r="D21" s="1"/>
      <c r="E21" s="1"/>
      <c r="F21" s="312">
        <f t="shared" si="3"/>
        <v>41456</v>
      </c>
      <c r="G21" s="310">
        <f t="shared" si="6"/>
        <v>41456</v>
      </c>
      <c r="H21" s="311">
        <f t="shared" si="7"/>
        <v>41456</v>
      </c>
    </row>
    <row r="22" spans="1:16" ht="6.95" customHeight="1">
      <c r="D22" s="1"/>
      <c r="E22" s="1"/>
      <c r="F22" s="3"/>
      <c r="G22" s="2"/>
      <c r="H22" s="2"/>
    </row>
    <row r="23" spans="1:16" ht="11.1" customHeight="1">
      <c r="A23" s="298" t="s">
        <v>24</v>
      </c>
      <c r="B23" s="298" t="s">
        <v>40</v>
      </c>
      <c r="C23" s="298" t="s">
        <v>237</v>
      </c>
      <c r="D23" s="299">
        <f>$F1</f>
        <v>40848</v>
      </c>
      <c r="E23" s="299">
        <f>$F2</f>
        <v>40878</v>
      </c>
      <c r="F23" s="299">
        <f>$F3</f>
        <v>40909</v>
      </c>
      <c r="G23" s="299">
        <f>$F4</f>
        <v>40940</v>
      </c>
      <c r="H23" s="299">
        <f>$F5</f>
        <v>40969</v>
      </c>
      <c r="I23" s="299">
        <f>$F6</f>
        <v>41000</v>
      </c>
      <c r="J23" s="299">
        <f>$F7</f>
        <v>41030</v>
      </c>
      <c r="K23" s="299">
        <f>$F8</f>
        <v>41061</v>
      </c>
      <c r="L23" s="299">
        <f>$F9</f>
        <v>41091</v>
      </c>
      <c r="M23" s="299">
        <f>$F10</f>
        <v>41122</v>
      </c>
      <c r="N23" s="299">
        <f>$F11</f>
        <v>41153</v>
      </c>
      <c r="O23" s="299">
        <f>$F12</f>
        <v>41183</v>
      </c>
      <c r="P23" s="299">
        <f>$F13</f>
        <v>41214</v>
      </c>
    </row>
    <row r="24" spans="1:16" ht="11.1" customHeight="1">
      <c r="A24" s="300">
        <v>1</v>
      </c>
      <c r="B24" s="300">
        <f>A24+1</f>
        <v>2</v>
      </c>
      <c r="C24" s="300">
        <f t="shared" ref="C24:P24" si="8">B24+1</f>
        <v>3</v>
      </c>
      <c r="D24" s="300">
        <f t="shared" si="8"/>
        <v>4</v>
      </c>
      <c r="E24" s="300">
        <f t="shared" si="8"/>
        <v>5</v>
      </c>
      <c r="F24" s="300">
        <f t="shared" si="8"/>
        <v>6</v>
      </c>
      <c r="G24" s="300">
        <f t="shared" si="8"/>
        <v>7</v>
      </c>
      <c r="H24" s="300">
        <f t="shared" si="8"/>
        <v>8</v>
      </c>
      <c r="I24" s="300">
        <f t="shared" si="8"/>
        <v>9</v>
      </c>
      <c r="J24" s="300">
        <f t="shared" si="8"/>
        <v>10</v>
      </c>
      <c r="K24" s="300">
        <f t="shared" si="8"/>
        <v>11</v>
      </c>
      <c r="L24" s="300">
        <f t="shared" si="8"/>
        <v>12</v>
      </c>
      <c r="M24" s="300">
        <f t="shared" si="8"/>
        <v>13</v>
      </c>
      <c r="N24" s="300">
        <f t="shared" si="8"/>
        <v>14</v>
      </c>
      <c r="O24" s="300">
        <f t="shared" si="8"/>
        <v>15</v>
      </c>
      <c r="P24" s="300">
        <f t="shared" si="8"/>
        <v>16</v>
      </c>
    </row>
    <row r="25" spans="1:16" ht="11.1" customHeight="1">
      <c r="A25" s="41">
        <f>IF(B25="","",1)</f>
        <v>1</v>
      </c>
      <c r="B25" s="303" t="str">
        <f>Δαπάνες!B9</f>
        <v>Α1</v>
      </c>
      <c r="C25" s="250" t="str">
        <f>Δαπάνες!D9</f>
        <v>ΔΕΗ Κοινόχρηστων Χώρων</v>
      </c>
      <c r="D25" s="4"/>
      <c r="E25" s="4">
        <v>100</v>
      </c>
      <c r="F25" s="648"/>
      <c r="G25" s="648"/>
      <c r="H25" s="648"/>
      <c r="I25" s="648"/>
      <c r="J25" s="649"/>
      <c r="K25" s="650"/>
      <c r="L25" s="651"/>
      <c r="M25" s="651"/>
      <c r="N25" s="651"/>
      <c r="O25" s="651"/>
      <c r="P25" s="652"/>
    </row>
    <row r="26" spans="1:16" ht="11.1" customHeight="1">
      <c r="A26" s="41">
        <f>IF(B26="","",A25+1)</f>
        <v>2</v>
      </c>
      <c r="B26" s="303" t="str">
        <f>Δαπάνες!B10</f>
        <v>Α2</v>
      </c>
      <c r="C26" s="250" t="str">
        <f>Δαπάνες!D10</f>
        <v>Καθαρισμός Κοινόχρηστων Χώρων</v>
      </c>
      <c r="D26" s="4"/>
      <c r="E26" s="4">
        <v>70</v>
      </c>
      <c r="F26" s="648"/>
      <c r="G26" s="648"/>
      <c r="H26" s="648"/>
      <c r="I26" s="648"/>
      <c r="J26" s="649"/>
      <c r="K26" s="649"/>
      <c r="L26" s="653"/>
      <c r="M26" s="653"/>
      <c r="N26" s="653"/>
      <c r="O26" s="653"/>
      <c r="P26" s="654"/>
    </row>
    <row r="27" spans="1:16" ht="11.1" customHeight="1">
      <c r="A27" s="41">
        <f t="shared" ref="A27:A36" si="9">IF(B27="","",A26+1)</f>
        <v>3</v>
      </c>
      <c r="B27" s="303" t="str">
        <f>Δαπάνες!B11</f>
        <v>Α3</v>
      </c>
      <c r="C27" s="250" t="str">
        <f>Δαπάνες!D11</f>
        <v>Υλικά Αναλώσιμα (Λάμπες κλπ)</v>
      </c>
      <c r="D27" s="4"/>
      <c r="E27" s="4">
        <v>10</v>
      </c>
      <c r="F27" s="648"/>
      <c r="G27" s="648"/>
      <c r="H27" s="648"/>
      <c r="I27" s="648"/>
      <c r="J27" s="649"/>
      <c r="K27" s="650"/>
      <c r="L27" s="651"/>
      <c r="M27" s="651"/>
      <c r="N27" s="651"/>
      <c r="O27" s="651"/>
      <c r="P27" s="652"/>
    </row>
    <row r="28" spans="1:16" ht="11.1" customHeight="1">
      <c r="A28" s="41">
        <f t="shared" si="9"/>
        <v>4</v>
      </c>
      <c r="B28" s="250" t="str">
        <f>Δαπάνες!B12</f>
        <v>Β1</v>
      </c>
      <c r="C28" s="250" t="str">
        <f>Δαπάνες!D12</f>
        <v>Συντήρηση Ανελκυστήρα</v>
      </c>
      <c r="D28" s="4"/>
      <c r="E28" s="4">
        <v>50</v>
      </c>
      <c r="F28" s="648"/>
      <c r="G28" s="648"/>
      <c r="H28" s="648"/>
      <c r="I28" s="648"/>
      <c r="J28" s="649"/>
      <c r="K28" s="649"/>
      <c r="L28" s="653"/>
      <c r="M28" s="653"/>
      <c r="N28" s="653"/>
      <c r="O28" s="653"/>
      <c r="P28" s="654"/>
    </row>
    <row r="29" spans="1:16" ht="11.1" customHeight="1">
      <c r="A29" s="41">
        <f t="shared" si="9"/>
        <v>5</v>
      </c>
      <c r="B29" s="304" t="str">
        <f>Δαπάνες!B13</f>
        <v>Γ1</v>
      </c>
      <c r="C29" s="250" t="str">
        <f>Δαπάνες!D13</f>
        <v>Συντήρηση Κήπου</v>
      </c>
      <c r="D29" s="4"/>
      <c r="E29" s="4">
        <v>60</v>
      </c>
      <c r="F29" s="648"/>
      <c r="G29" s="648"/>
      <c r="H29" s="648"/>
      <c r="I29" s="648"/>
      <c r="J29" s="649"/>
      <c r="K29" s="650"/>
      <c r="L29" s="651"/>
      <c r="M29" s="651"/>
      <c r="N29" s="651"/>
      <c r="O29" s="651"/>
      <c r="P29" s="652"/>
    </row>
    <row r="30" spans="1:16" ht="11.1" customHeight="1">
      <c r="A30" s="41">
        <f t="shared" si="9"/>
        <v>6</v>
      </c>
      <c r="B30" s="304" t="str">
        <f>Δαπάνες!B14</f>
        <v>Γ2</v>
      </c>
      <c r="C30" s="250" t="str">
        <f>Δαπάνες!D14</f>
        <v>ΕΥΔΑΠ (Νερό) Κοινόχρηστων Χώρων</v>
      </c>
      <c r="D30" s="4"/>
      <c r="E30" s="4">
        <v>20</v>
      </c>
      <c r="F30" s="648"/>
      <c r="G30" s="648"/>
      <c r="H30" s="648"/>
      <c r="I30" s="648"/>
      <c r="J30" s="649"/>
      <c r="K30" s="650"/>
      <c r="L30" s="651"/>
      <c r="M30" s="651"/>
      <c r="N30" s="651"/>
      <c r="O30" s="651"/>
      <c r="P30" s="652"/>
    </row>
    <row r="31" spans="1:16" ht="11.1" customHeight="1">
      <c r="A31" s="41">
        <f t="shared" si="9"/>
        <v>7</v>
      </c>
      <c r="B31" s="303" t="str">
        <f>Δαπάνες!B15</f>
        <v>Δ1</v>
      </c>
      <c r="C31" s="106" t="str">
        <f>Δαπάνες!D15</f>
        <v>Πετρέλαιο Αυτόνομης Θέρμανσης</v>
      </c>
      <c r="D31" s="204">
        <f>IFERROR(VLOOKUP(D23,Πετρέλαιο!$B$13:$V$33,21,FALSE),0)</f>
        <v>0</v>
      </c>
      <c r="E31" s="204">
        <f>IFERROR(VLOOKUP(E23,Πετρέλαιο!$B$13:$V$33,21,FALSE),0)</f>
        <v>700</v>
      </c>
      <c r="F31" s="204">
        <f>IFERROR(VLOOKUP(F23,Πετρέλαιο!$B$13:$V$33,21,FALSE),0)</f>
        <v>390</v>
      </c>
      <c r="G31" s="204">
        <f>IFERROR(VLOOKUP(G23,Πετρέλαιο!$B$13:$V$33,21,FALSE),0)</f>
        <v>0</v>
      </c>
      <c r="H31" s="204">
        <f>IFERROR(VLOOKUP(H23,Πετρέλαιο!$B$13:$V$33,21,FALSE),0)</f>
        <v>0</v>
      </c>
      <c r="I31" s="204">
        <f>IFERROR(VLOOKUP(I23,Πετρέλαιο!$B$13:$V$33,21,FALSE),0)</f>
        <v>0</v>
      </c>
      <c r="J31" s="204">
        <f>IFERROR(VLOOKUP(J23,Πετρέλαιο!$B$13:$V$33,21,FALSE),0)</f>
        <v>0</v>
      </c>
      <c r="K31" s="204">
        <f>IFERROR(VLOOKUP(K23,Πετρέλαιο!$B$13:$V$33,21,FALSE),0)</f>
        <v>0</v>
      </c>
      <c r="L31" s="204">
        <f>IFERROR(VLOOKUP(L23,Πετρέλαιο!$B$13:$V$33,21,FALSE),0)</f>
        <v>0</v>
      </c>
      <c r="M31" s="204">
        <f>IFERROR(VLOOKUP(M23,Πετρέλαιο!$B$13:$V$33,21,FALSE),0)</f>
        <v>0</v>
      </c>
      <c r="N31" s="204">
        <f>IFERROR(VLOOKUP(N23,Πετρέλαιο!$B$13:$V$33,21,FALSE),0)</f>
        <v>0</v>
      </c>
      <c r="O31" s="204">
        <f>IFERROR(VLOOKUP(O23,Πετρέλαιο!$B$13:$V$33,21,FALSE),0)</f>
        <v>0</v>
      </c>
      <c r="P31" s="204">
        <f>IFERROR(VLOOKUP(P23,Πετρέλαιο!$B$13:$V$33,21,FALSE),0)</f>
        <v>0</v>
      </c>
    </row>
    <row r="32" spans="1:16" ht="11.1" customHeight="1">
      <c r="A32" s="41">
        <f t="shared" si="9"/>
        <v>8</v>
      </c>
      <c r="B32" s="303" t="str">
        <f>Δαπάνες!B16</f>
        <v>Δ2</v>
      </c>
      <c r="C32" s="250" t="str">
        <f>Δαπάνες!D16</f>
        <v>Συντήρηση Καυστήρα</v>
      </c>
      <c r="D32" s="4"/>
      <c r="E32" s="4">
        <v>70</v>
      </c>
      <c r="F32" s="648"/>
      <c r="G32" s="648"/>
      <c r="H32" s="648"/>
      <c r="I32" s="648"/>
      <c r="J32" s="649"/>
      <c r="K32" s="650"/>
      <c r="L32" s="651"/>
      <c r="M32" s="651"/>
      <c r="N32" s="651"/>
      <c r="O32" s="651"/>
      <c r="P32" s="652"/>
    </row>
    <row r="33" spans="1:16" ht="11.1" customHeight="1">
      <c r="A33" s="41">
        <f t="shared" si="9"/>
        <v>9</v>
      </c>
      <c r="B33" s="250" t="str">
        <f>Δαπάνες!B17</f>
        <v>Ε1</v>
      </c>
      <c r="C33" s="250" t="str">
        <f>Δαπάνες!D17</f>
        <v>Συντήρηση Πολυκατοικίας</v>
      </c>
      <c r="D33" s="4"/>
      <c r="E33" s="4">
        <v>100</v>
      </c>
      <c r="F33" s="648"/>
      <c r="G33" s="648"/>
      <c r="H33" s="648"/>
      <c r="I33" s="648"/>
      <c r="J33" s="649"/>
      <c r="K33" s="650"/>
      <c r="L33" s="651"/>
      <c r="M33" s="651"/>
      <c r="N33" s="651"/>
      <c r="O33" s="651"/>
      <c r="P33" s="652"/>
    </row>
    <row r="34" spans="1:16" ht="11.1" customHeight="1">
      <c r="A34" s="41">
        <f t="shared" si="9"/>
        <v>10</v>
      </c>
      <c r="B34" s="304" t="str">
        <f>Δαπάνες!B18</f>
        <v>Ζ1</v>
      </c>
      <c r="C34" s="250" t="str">
        <f>Δαπάνες!D18</f>
        <v>Πάγιο Αποθεματικό</v>
      </c>
      <c r="D34" s="4"/>
      <c r="E34" s="4">
        <v>200</v>
      </c>
      <c r="F34" s="648"/>
      <c r="G34" s="648"/>
      <c r="H34" s="648"/>
      <c r="I34" s="648"/>
      <c r="J34" s="649"/>
      <c r="K34" s="650"/>
      <c r="L34" s="651"/>
      <c r="M34" s="651"/>
      <c r="N34" s="651"/>
      <c r="O34" s="651"/>
      <c r="P34" s="652"/>
    </row>
    <row r="35" spans="1:16" ht="11.1" customHeight="1">
      <c r="A35" s="41">
        <f t="shared" si="9"/>
        <v>11</v>
      </c>
      <c r="B35" s="303" t="str">
        <f>Δαπάνες!B19</f>
        <v>Η1</v>
      </c>
      <c r="C35" s="250" t="str">
        <f>Δαπάνες!D19</f>
        <v>Αμοιβή Διαχειριστή</v>
      </c>
      <c r="D35" s="4"/>
      <c r="E35" s="4">
        <v>80</v>
      </c>
      <c r="F35" s="648"/>
      <c r="G35" s="648"/>
      <c r="H35" s="648"/>
      <c r="I35" s="648"/>
      <c r="J35" s="649"/>
      <c r="K35" s="650"/>
      <c r="L35" s="651"/>
      <c r="M35" s="651"/>
      <c r="N35" s="651"/>
      <c r="O35" s="651"/>
      <c r="P35" s="652"/>
    </row>
    <row r="36" spans="1:16" ht="11.1" customHeight="1">
      <c r="A36" s="41">
        <f t="shared" si="9"/>
        <v>12</v>
      </c>
      <c r="B36" s="303" t="str">
        <f>Δαπάνες!B20</f>
        <v>Η2</v>
      </c>
      <c r="C36" s="250" t="str">
        <f>Δαπάνες!D20</f>
        <v>Έκδοση Κοινοχρήστων</v>
      </c>
      <c r="D36" s="4"/>
      <c r="E36" s="4">
        <v>20</v>
      </c>
      <c r="F36" s="648"/>
      <c r="G36" s="648"/>
      <c r="H36" s="648"/>
      <c r="I36" s="648"/>
      <c r="J36" s="649"/>
      <c r="K36" s="650"/>
      <c r="L36" s="651"/>
      <c r="M36" s="651"/>
      <c r="N36" s="651"/>
      <c r="O36" s="651"/>
      <c r="P36" s="651"/>
    </row>
    <row r="37" spans="1:16" s="6" customFormat="1">
      <c r="A37" s="748" t="s">
        <v>92</v>
      </c>
      <c r="B37" s="748"/>
      <c r="C37" s="748"/>
      <c r="D37" s="43">
        <f>SUM(D25:D36)</f>
        <v>0</v>
      </c>
      <c r="E37" s="43">
        <f t="shared" ref="E37:P37" si="10">SUM(E25:E36)</f>
        <v>1480</v>
      </c>
      <c r="F37" s="43">
        <f t="shared" si="10"/>
        <v>390</v>
      </c>
      <c r="G37" s="43">
        <f t="shared" si="10"/>
        <v>0</v>
      </c>
      <c r="H37" s="43">
        <f t="shared" si="10"/>
        <v>0</v>
      </c>
      <c r="I37" s="43">
        <f t="shared" si="10"/>
        <v>0</v>
      </c>
      <c r="J37" s="94">
        <f t="shared" si="10"/>
        <v>0</v>
      </c>
      <c r="K37" s="95">
        <f t="shared" si="10"/>
        <v>0</v>
      </c>
      <c r="L37" s="97">
        <f t="shared" si="10"/>
        <v>0</v>
      </c>
      <c r="M37" s="97">
        <f t="shared" si="10"/>
        <v>0</v>
      </c>
      <c r="N37" s="97">
        <f t="shared" si="10"/>
        <v>0</v>
      </c>
      <c r="O37" s="97">
        <f t="shared" si="10"/>
        <v>0</v>
      </c>
      <c r="P37" s="97">
        <f t="shared" si="10"/>
        <v>0</v>
      </c>
    </row>
    <row r="38" spans="1:16">
      <c r="K38" s="96"/>
    </row>
    <row r="39" spans="1:16" ht="11.1" customHeight="1">
      <c r="A39" s="298" t="s">
        <v>24</v>
      </c>
      <c r="B39" s="298" t="str">
        <f>B23</f>
        <v>Κωδικός</v>
      </c>
      <c r="C39" s="298" t="s">
        <v>78</v>
      </c>
      <c r="D39" s="299">
        <f>D23</f>
        <v>40848</v>
      </c>
      <c r="E39" s="299">
        <f t="shared" ref="E39:P39" si="11">E23</f>
        <v>40878</v>
      </c>
      <c r="F39" s="299">
        <f t="shared" si="11"/>
        <v>40909</v>
      </c>
      <c r="G39" s="299">
        <f t="shared" si="11"/>
        <v>40940</v>
      </c>
      <c r="H39" s="299">
        <f t="shared" si="11"/>
        <v>40969</v>
      </c>
      <c r="I39" s="299">
        <f t="shared" si="11"/>
        <v>41000</v>
      </c>
      <c r="J39" s="299">
        <f t="shared" si="11"/>
        <v>41030</v>
      </c>
      <c r="K39" s="299">
        <f t="shared" si="11"/>
        <v>41061</v>
      </c>
      <c r="L39" s="299">
        <f t="shared" si="11"/>
        <v>41091</v>
      </c>
      <c r="M39" s="299">
        <f t="shared" si="11"/>
        <v>41122</v>
      </c>
      <c r="N39" s="299">
        <f t="shared" si="11"/>
        <v>41153</v>
      </c>
      <c r="O39" s="299">
        <f t="shared" si="11"/>
        <v>41183</v>
      </c>
      <c r="P39" s="299">
        <f t="shared" si="11"/>
        <v>41214</v>
      </c>
    </row>
    <row r="40" spans="1:16" ht="11.1" customHeight="1">
      <c r="A40" s="300">
        <f>A24</f>
        <v>1</v>
      </c>
      <c r="B40" s="300">
        <f t="shared" ref="B40:P40" si="12">B24</f>
        <v>2</v>
      </c>
      <c r="C40" s="300">
        <f t="shared" si="12"/>
        <v>3</v>
      </c>
      <c r="D40" s="300">
        <f t="shared" si="12"/>
        <v>4</v>
      </c>
      <c r="E40" s="300">
        <f t="shared" si="12"/>
        <v>5</v>
      </c>
      <c r="F40" s="300">
        <f t="shared" si="12"/>
        <v>6</v>
      </c>
      <c r="G40" s="300">
        <f t="shared" si="12"/>
        <v>7</v>
      </c>
      <c r="H40" s="300">
        <f t="shared" si="12"/>
        <v>8</v>
      </c>
      <c r="I40" s="300">
        <f t="shared" si="12"/>
        <v>9</v>
      </c>
      <c r="J40" s="300">
        <f t="shared" si="12"/>
        <v>10</v>
      </c>
      <c r="K40" s="300">
        <f t="shared" si="12"/>
        <v>11</v>
      </c>
      <c r="L40" s="300">
        <f t="shared" si="12"/>
        <v>12</v>
      </c>
      <c r="M40" s="300">
        <f t="shared" si="12"/>
        <v>13</v>
      </c>
      <c r="N40" s="300">
        <f t="shared" si="12"/>
        <v>14</v>
      </c>
      <c r="O40" s="300">
        <f t="shared" si="12"/>
        <v>15</v>
      </c>
      <c r="P40" s="300">
        <f t="shared" si="12"/>
        <v>16</v>
      </c>
    </row>
    <row r="41" spans="1:16" ht="11.1" customHeight="1">
      <c r="A41" s="41">
        <f>IF(B41="","",1)</f>
        <v>1</v>
      </c>
      <c r="B41" s="128" t="str">
        <f>IF(Διαμερίσματα!B6="","",Διαμερίσματα!B6)</f>
        <v>Κ1</v>
      </c>
      <c r="C41" s="250" t="str">
        <f>IF(Διαμερίσματα!I6="","",Διαμερίσματα!I6)</f>
        <v>Ιδιοκτήτης-1</v>
      </c>
      <c r="D41" s="301" t="str">
        <f>IF(D$39=$C$11,Διαμερίσματα!$AB6,"")</f>
        <v/>
      </c>
      <c r="E41" s="301">
        <f ca="1">IF(E$39=$C$11,Διαμερίσματα!$AB6,"")</f>
        <v>44.314208126686182</v>
      </c>
      <c r="F41" s="301" t="str">
        <f>IF(F$39=$C$11,Διαμερίσματα!$AB6,"")</f>
        <v/>
      </c>
      <c r="G41" s="301" t="str">
        <f>IF(G$39=$C$11,Διαμερίσματα!$AB6,"")</f>
        <v/>
      </c>
      <c r="H41" s="301" t="str">
        <f>IF(H$39=$C$11,Διαμερίσματα!$AB6,"")</f>
        <v/>
      </c>
      <c r="I41" s="301" t="str">
        <f>IF(I$39=$C$11,Διαμερίσματα!$AB6,"")</f>
        <v/>
      </c>
      <c r="J41" s="301" t="str">
        <f>IF(J$39=$C$11,Διαμερίσματα!$AB6,"")</f>
        <v/>
      </c>
      <c r="K41" s="301" t="str">
        <f>IF(K$39=$C$11,Διαμερίσματα!$AB6,"")</f>
        <v/>
      </c>
      <c r="L41" s="301" t="str">
        <f>IF(L$39=$C$11,Διαμερίσματα!$AB6,"")</f>
        <v/>
      </c>
      <c r="M41" s="301" t="str">
        <f>IF(M$39=$C$11,Διαμερίσματα!$AB6,"")</f>
        <v/>
      </c>
      <c r="N41" s="301" t="str">
        <f>IF(N$39=$C$11,Διαμερίσματα!$AB6,"")</f>
        <v/>
      </c>
      <c r="O41" s="301" t="str">
        <f>IF(O$39=$C$11,Διαμερίσματα!$AB6,"")</f>
        <v/>
      </c>
      <c r="P41" s="302" t="str">
        <f>IF(P$39=$C$11,Διαμερίσματα!$AB6,"")</f>
        <v/>
      </c>
    </row>
    <row r="42" spans="1:16" ht="11.1" customHeight="1">
      <c r="A42" s="41">
        <f>IF(B42="","",A41+1)</f>
        <v>2</v>
      </c>
      <c r="B42" s="128" t="str">
        <f>IF(Διαμερίσματα!B7="","",Διαμερίσματα!B7)</f>
        <v>Κ2</v>
      </c>
      <c r="C42" s="250" t="str">
        <f>IF(Διαμερίσματα!I7="","",Διαμερίσματα!I7)</f>
        <v>Ιδιοκτήτης-2</v>
      </c>
      <c r="D42" s="301" t="str">
        <f>IF(D$39=$C$11,Διαμερίσματα!$AB7,"")</f>
        <v/>
      </c>
      <c r="E42" s="301">
        <f ca="1">IF(E$39=$C$11,Διαμερίσματα!$AB7,"")</f>
        <v>49.190348052390995</v>
      </c>
      <c r="F42" s="301" t="str">
        <f>IF(F$39=$C$11,Διαμερίσματα!$AB7,"")</f>
        <v/>
      </c>
      <c r="G42" s="301" t="str">
        <f>IF(G$39=$C$11,Διαμερίσματα!$AB7,"")</f>
        <v/>
      </c>
      <c r="H42" s="301" t="str">
        <f>IF(H$39=$C$11,Διαμερίσματα!$AB7,"")</f>
        <v/>
      </c>
      <c r="I42" s="301" t="str">
        <f>IF(I$39=$C$11,Διαμερίσματα!$AB7,"")</f>
        <v/>
      </c>
      <c r="J42" s="301" t="str">
        <f>IF(J$39=$C$11,Διαμερίσματα!$AB7,"")</f>
        <v/>
      </c>
      <c r="K42" s="301" t="str">
        <f>IF(K$39=$C$11,Διαμερίσματα!$AB7,"")</f>
        <v/>
      </c>
      <c r="L42" s="301" t="str">
        <f>IF(L$39=$C$11,Διαμερίσματα!$AB7,"")</f>
        <v/>
      </c>
      <c r="M42" s="301" t="str">
        <f>IF(M$39=$C$11,Διαμερίσματα!$AB7,"")</f>
        <v/>
      </c>
      <c r="N42" s="301" t="str">
        <f>IF(N$39=$C$11,Διαμερίσματα!$AB7,"")</f>
        <v/>
      </c>
      <c r="O42" s="301" t="str">
        <f>IF(O$39=$C$11,Διαμερίσματα!$AB7,"")</f>
        <v/>
      </c>
      <c r="P42" s="302" t="str">
        <f>IF(P$39=$C$11,Διαμερίσματα!$AB7,"")</f>
        <v/>
      </c>
    </row>
    <row r="43" spans="1:16" ht="11.1" customHeight="1">
      <c r="A43" s="41">
        <f t="shared" ref="A43:A50" si="13">IF(B43="","",A42+1)</f>
        <v>3</v>
      </c>
      <c r="B43" s="128" t="str">
        <f>IF(Διαμερίσματα!B8="","",Διαμερίσματα!B8)</f>
        <v>Κ3</v>
      </c>
      <c r="C43" s="250" t="str">
        <f>IF(Διαμερίσματα!I8="","",Διαμερίσματα!I8)</f>
        <v>Ιδιοκτήτης-3</v>
      </c>
      <c r="D43" s="301" t="str">
        <f>IF(D$39=$C$11,Διαμερίσματα!$AB8,"")</f>
        <v/>
      </c>
      <c r="E43" s="301">
        <f ca="1">IF(E$39=$C$11,Διαμερίσματα!$AB8,"")</f>
        <v>225.0399534872713</v>
      </c>
      <c r="F43" s="301" t="str">
        <f>IF(F$39=$C$11,Διαμερίσματα!$AB8,"")</f>
        <v/>
      </c>
      <c r="G43" s="301" t="str">
        <f>IF(G$39=$C$11,Διαμερίσματα!$AB8,"")</f>
        <v/>
      </c>
      <c r="H43" s="301" t="str">
        <f>IF(H$39=$C$11,Διαμερίσματα!$AB8,"")</f>
        <v/>
      </c>
      <c r="I43" s="301" t="str">
        <f>IF(I$39=$C$11,Διαμερίσματα!$AB8,"")</f>
        <v/>
      </c>
      <c r="J43" s="301" t="str">
        <f>IF(J$39=$C$11,Διαμερίσματα!$AB8,"")</f>
        <v/>
      </c>
      <c r="K43" s="301" t="str">
        <f>IF(K$39=$C$11,Διαμερίσματα!$AB8,"")</f>
        <v/>
      </c>
      <c r="L43" s="301" t="str">
        <f>IF(L$39=$C$11,Διαμερίσματα!$AB8,"")</f>
        <v/>
      </c>
      <c r="M43" s="301" t="str">
        <f>IF(M$39=$C$11,Διαμερίσματα!$AB8,"")</f>
        <v/>
      </c>
      <c r="N43" s="301" t="str">
        <f>IF(N$39=$C$11,Διαμερίσματα!$AB8,"")</f>
        <v/>
      </c>
      <c r="O43" s="301" t="str">
        <f>IF(O$39=$C$11,Διαμερίσματα!$AB8,"")</f>
        <v/>
      </c>
      <c r="P43" s="302" t="str">
        <f>IF(P$39=$C$11,Διαμερίσματα!$AB8,"")</f>
        <v/>
      </c>
    </row>
    <row r="44" spans="1:16" ht="11.1" customHeight="1">
      <c r="A44" s="41">
        <f t="shared" si="13"/>
        <v>4</v>
      </c>
      <c r="B44" s="128" t="str">
        <f>IF(Διαμερίσματα!B9="","",Διαμερίσματα!B9)</f>
        <v>Α1</v>
      </c>
      <c r="C44" s="250" t="str">
        <f>IF(Διαμερίσματα!I9="","",Διαμερίσματα!I9)</f>
        <v>Ιδιοκτήτης-4</v>
      </c>
      <c r="D44" s="301" t="str">
        <f>IF(D$39=$C$11,Διαμερίσματα!$AB9,"")</f>
        <v/>
      </c>
      <c r="E44" s="301">
        <f ca="1">IF(E$39=$C$11,Διαμερίσματα!$AB9,"")</f>
        <v>178.03119085637255</v>
      </c>
      <c r="F44" s="301" t="str">
        <f>IF(F$39=$C$11,Διαμερίσματα!$AB9,"")</f>
        <v/>
      </c>
      <c r="G44" s="301" t="str">
        <f>IF(G$39=$C$11,Διαμερίσματα!$AB9,"")</f>
        <v/>
      </c>
      <c r="H44" s="301" t="str">
        <f>IF(H$39=$C$11,Διαμερίσματα!$AB9,"")</f>
        <v/>
      </c>
      <c r="I44" s="301" t="str">
        <f>IF(I$39=$C$11,Διαμερίσματα!$AB9,"")</f>
        <v/>
      </c>
      <c r="J44" s="301" t="str">
        <f>IF(J$39=$C$11,Διαμερίσματα!$AB9,"")</f>
        <v/>
      </c>
      <c r="K44" s="301" t="str">
        <f>IF(K$39=$C$11,Διαμερίσματα!$AB9,"")</f>
        <v/>
      </c>
      <c r="L44" s="301" t="str">
        <f>IF(L$39=$C$11,Διαμερίσματα!$AB9,"")</f>
        <v/>
      </c>
      <c r="M44" s="301" t="str">
        <f>IF(M$39=$C$11,Διαμερίσματα!$AB9,"")</f>
        <v/>
      </c>
      <c r="N44" s="301" t="str">
        <f>IF(N$39=$C$11,Διαμερίσματα!$AB9,"")</f>
        <v/>
      </c>
      <c r="O44" s="301" t="str">
        <f>IF(O$39=$C$11,Διαμερίσματα!$AB9,"")</f>
        <v/>
      </c>
      <c r="P44" s="302" t="str">
        <f>IF(P$39=$C$11,Διαμερίσματα!$AB9,"")</f>
        <v/>
      </c>
    </row>
    <row r="45" spans="1:16" ht="11.1" customHeight="1">
      <c r="A45" s="41">
        <f t="shared" si="13"/>
        <v>5</v>
      </c>
      <c r="B45" s="128" t="str">
        <f>IF(Διαμερίσματα!B10="","",Διαμερίσματα!B10)</f>
        <v>Α2</v>
      </c>
      <c r="C45" s="250" t="str">
        <f>IF(Διαμερίσματα!I10="","",Διαμερίσματα!I10)</f>
        <v>Ιδιοκτήτης-5</v>
      </c>
      <c r="D45" s="301" t="str">
        <f>IF(D$39=$C$11,Διαμερίσματα!$AB10,"")</f>
        <v/>
      </c>
      <c r="E45" s="301">
        <f ca="1">IF(E$39=$C$11,Διαμερίσματα!$AB10,"")</f>
        <v>164.47440806839413</v>
      </c>
      <c r="F45" s="301" t="str">
        <f>IF(F$39=$C$11,Διαμερίσματα!$AB10,"")</f>
        <v/>
      </c>
      <c r="G45" s="301" t="str">
        <f>IF(G$39=$C$11,Διαμερίσματα!$AB10,"")</f>
        <v/>
      </c>
      <c r="H45" s="301" t="str">
        <f>IF(H$39=$C$11,Διαμερίσματα!$AB10,"")</f>
        <v/>
      </c>
      <c r="I45" s="301" t="str">
        <f>IF(I$39=$C$11,Διαμερίσματα!$AB10,"")</f>
        <v/>
      </c>
      <c r="J45" s="301" t="str">
        <f>IF(J$39=$C$11,Διαμερίσματα!$AB10,"")</f>
        <v/>
      </c>
      <c r="K45" s="301" t="str">
        <f>IF(K$39=$C$11,Διαμερίσματα!$AB10,"")</f>
        <v/>
      </c>
      <c r="L45" s="301" t="str">
        <f>IF(L$39=$C$11,Διαμερίσματα!$AB10,"")</f>
        <v/>
      </c>
      <c r="M45" s="301" t="str">
        <f>IF(M$39=$C$11,Διαμερίσματα!$AB10,"")</f>
        <v/>
      </c>
      <c r="N45" s="301" t="str">
        <f>IF(N$39=$C$11,Διαμερίσματα!$AB10,"")</f>
        <v/>
      </c>
      <c r="O45" s="301" t="str">
        <f>IF(O$39=$C$11,Διαμερίσματα!$AB10,"")</f>
        <v/>
      </c>
      <c r="P45" s="302" t="str">
        <f>IF(P$39=$C$11,Διαμερίσματα!$AB10,"")</f>
        <v/>
      </c>
    </row>
    <row r="46" spans="1:16" ht="11.1" customHeight="1">
      <c r="A46" s="41">
        <f t="shared" si="13"/>
        <v>6</v>
      </c>
      <c r="B46" s="128" t="str">
        <f>IF(Διαμερίσματα!B11="","",Διαμερίσματα!B11)</f>
        <v>Α3</v>
      </c>
      <c r="C46" s="250" t="str">
        <f>IF(Διαμερίσματα!I11="","",Διαμερίσματα!I11)</f>
        <v>Ιδιοκτήτης-6</v>
      </c>
      <c r="D46" s="301" t="str">
        <f>IF(D$39=$C$11,Διαμερίσματα!$AB11,"")</f>
        <v/>
      </c>
      <c r="E46" s="301">
        <f ca="1">IF(E$39=$C$11,Διαμερίσματα!$AB11,"")</f>
        <v>29.674311909020545</v>
      </c>
      <c r="F46" s="301" t="str">
        <f>IF(F$39=$C$11,Διαμερίσματα!$AB11,"")</f>
        <v/>
      </c>
      <c r="G46" s="301" t="str">
        <f>IF(G$39=$C$11,Διαμερίσματα!$AB11,"")</f>
        <v/>
      </c>
      <c r="H46" s="301" t="str">
        <f>IF(H$39=$C$11,Διαμερίσματα!$AB11,"")</f>
        <v/>
      </c>
      <c r="I46" s="301" t="str">
        <f>IF(I$39=$C$11,Διαμερίσματα!$AB11,"")</f>
        <v/>
      </c>
      <c r="J46" s="301" t="str">
        <f>IF(J$39=$C$11,Διαμερίσματα!$AB11,"")</f>
        <v/>
      </c>
      <c r="K46" s="301" t="str">
        <f>IF(K$39=$C$11,Διαμερίσματα!$AB11,"")</f>
        <v/>
      </c>
      <c r="L46" s="301" t="str">
        <f>IF(L$39=$C$11,Διαμερίσματα!$AB11,"")</f>
        <v/>
      </c>
      <c r="M46" s="301" t="str">
        <f>IF(M$39=$C$11,Διαμερίσματα!$AB11,"")</f>
        <v/>
      </c>
      <c r="N46" s="301" t="str">
        <f>IF(N$39=$C$11,Διαμερίσματα!$AB11,"")</f>
        <v/>
      </c>
      <c r="O46" s="301" t="str">
        <f>IF(O$39=$C$11,Διαμερίσματα!$AB11,"")</f>
        <v/>
      </c>
      <c r="P46" s="302" t="str">
        <f>IF(P$39=$C$11,Διαμερίσματα!$AB11,"")</f>
        <v/>
      </c>
    </row>
    <row r="47" spans="1:16" ht="11.1" customHeight="1">
      <c r="A47" s="41">
        <f t="shared" si="13"/>
        <v>7</v>
      </c>
      <c r="B47" s="128" t="str">
        <f>IF(Διαμερίσματα!B12="","",Διαμερίσματα!B12)</f>
        <v>Α4</v>
      </c>
      <c r="C47" s="250" t="str">
        <f>IF(Διαμερίσματα!I12="","",Διαμερίσματα!I12)</f>
        <v>Ιδιοκτήτης-7</v>
      </c>
      <c r="D47" s="301" t="str">
        <f>IF(D$39=$C$11,Διαμερίσματα!$AB12,"")</f>
        <v/>
      </c>
      <c r="E47" s="301">
        <f ca="1">IF(E$39=$C$11,Διαμερίσματα!$AB12,"")</f>
        <v>78.110430280266428</v>
      </c>
      <c r="F47" s="301" t="str">
        <f>IF(F$39=$C$11,Διαμερίσματα!$AB12,"")</f>
        <v/>
      </c>
      <c r="G47" s="301" t="str">
        <f>IF(G$39=$C$11,Διαμερίσματα!$AB12,"")</f>
        <v/>
      </c>
      <c r="H47" s="301" t="str">
        <f>IF(H$39=$C$11,Διαμερίσματα!$AB12,"")</f>
        <v/>
      </c>
      <c r="I47" s="301" t="str">
        <f>IF(I$39=$C$11,Διαμερίσματα!$AB12,"")</f>
        <v/>
      </c>
      <c r="J47" s="301" t="str">
        <f>IF(J$39=$C$11,Διαμερίσματα!$AB12,"")</f>
        <v/>
      </c>
      <c r="K47" s="301" t="str">
        <f>IF(K$39=$C$11,Διαμερίσματα!$AB12,"")</f>
        <v/>
      </c>
      <c r="L47" s="301" t="str">
        <f>IF(L$39=$C$11,Διαμερίσματα!$AB12,"")</f>
        <v/>
      </c>
      <c r="M47" s="301" t="str">
        <f>IF(M$39=$C$11,Διαμερίσματα!$AB12,"")</f>
        <v/>
      </c>
      <c r="N47" s="301" t="str">
        <f>IF(N$39=$C$11,Διαμερίσματα!$AB12,"")</f>
        <v/>
      </c>
      <c r="O47" s="301" t="str">
        <f>IF(O$39=$C$11,Διαμερίσματα!$AB12,"")</f>
        <v/>
      </c>
      <c r="P47" s="302" t="str">
        <f>IF(P$39=$C$11,Διαμερίσματα!$AB12,"")</f>
        <v/>
      </c>
    </row>
    <row r="48" spans="1:16" ht="11.1" customHeight="1">
      <c r="A48" s="41">
        <f t="shared" si="13"/>
        <v>8</v>
      </c>
      <c r="B48" s="128" t="str">
        <f>IF(Διαμερίσματα!B13="","",Διαμερίσματα!B13)</f>
        <v>Β1</v>
      </c>
      <c r="C48" s="250" t="str">
        <f>IF(Διαμερίσματα!I13="","",Διαμερίσματα!I13)</f>
        <v>Ιδιοκτήτης-8</v>
      </c>
      <c r="D48" s="301" t="str">
        <f>IF(D$39=$C$11,Διαμερίσματα!$AB13,"")</f>
        <v/>
      </c>
      <c r="E48" s="301">
        <f ca="1">IF(E$39=$C$11,Διαμερίσματα!$AB13,"")</f>
        <v>77.398602290764842</v>
      </c>
      <c r="F48" s="301" t="str">
        <f>IF(F$39=$C$11,Διαμερίσματα!$AB13,"")</f>
        <v/>
      </c>
      <c r="G48" s="301" t="str">
        <f>IF(G$39=$C$11,Διαμερίσματα!$AB13,"")</f>
        <v/>
      </c>
      <c r="H48" s="301" t="str">
        <f>IF(H$39=$C$11,Διαμερίσματα!$AB13,"")</f>
        <v/>
      </c>
      <c r="I48" s="301" t="str">
        <f>IF(I$39=$C$11,Διαμερίσματα!$AB13,"")</f>
        <v/>
      </c>
      <c r="J48" s="301" t="str">
        <f>IF(J$39=$C$11,Διαμερίσματα!$AB13,"")</f>
        <v/>
      </c>
      <c r="K48" s="301" t="str">
        <f>IF(K$39=$C$11,Διαμερίσματα!$AB13,"")</f>
        <v/>
      </c>
      <c r="L48" s="301" t="str">
        <f>IF(L$39=$C$11,Διαμερίσματα!$AB13,"")</f>
        <v/>
      </c>
      <c r="M48" s="301" t="str">
        <f>IF(M$39=$C$11,Διαμερίσματα!$AB13,"")</f>
        <v/>
      </c>
      <c r="N48" s="301" t="str">
        <f>IF(N$39=$C$11,Διαμερίσματα!$AB13,"")</f>
        <v/>
      </c>
      <c r="O48" s="301" t="str">
        <f>IF(O$39=$C$11,Διαμερίσματα!$AB13,"")</f>
        <v/>
      </c>
      <c r="P48" s="302" t="str">
        <f>IF(P$39=$C$11,Διαμερίσματα!$AB13,"")</f>
        <v/>
      </c>
    </row>
    <row r="49" spans="1:16" ht="11.1" customHeight="1">
      <c r="A49" s="41">
        <f t="shared" si="13"/>
        <v>9</v>
      </c>
      <c r="B49" s="128" t="str">
        <f>IF(Διαμερίσματα!B14="","",Διαμερίσματα!B14)</f>
        <v>Β2</v>
      </c>
      <c r="C49" s="250" t="str">
        <f>IF(Διαμερίσματα!I14="","",Διαμερίσματα!I14)</f>
        <v>Ιδιοκτήτης-9</v>
      </c>
      <c r="D49" s="301" t="str">
        <f>IF(D$39=$C$11,Διαμερίσματα!$AB14,"")</f>
        <v/>
      </c>
      <c r="E49" s="301">
        <f ca="1">IF(E$39=$C$11,Διαμερίσματα!$AB14,"")</f>
        <v>133.28128926186497</v>
      </c>
      <c r="F49" s="301" t="str">
        <f>IF(F$39=$C$11,Διαμερίσματα!$AB14,"")</f>
        <v/>
      </c>
      <c r="G49" s="301" t="str">
        <f>IF(G$39=$C$11,Διαμερίσματα!$AB14,"")</f>
        <v/>
      </c>
      <c r="H49" s="301" t="str">
        <f>IF(H$39=$C$11,Διαμερίσματα!$AB14,"")</f>
        <v/>
      </c>
      <c r="I49" s="301" t="str">
        <f>IF(I$39=$C$11,Διαμερίσματα!$AB14,"")</f>
        <v/>
      </c>
      <c r="J49" s="301" t="str">
        <f>IF(J$39=$C$11,Διαμερίσματα!$AB14,"")</f>
        <v/>
      </c>
      <c r="K49" s="301" t="str">
        <f>IF(K$39=$C$11,Διαμερίσματα!$AB14,"")</f>
        <v/>
      </c>
      <c r="L49" s="301" t="str">
        <f>IF(L$39=$C$11,Διαμερίσματα!$AB14,"")</f>
        <v/>
      </c>
      <c r="M49" s="301" t="str">
        <f>IF(M$39=$C$11,Διαμερίσματα!$AB14,"")</f>
        <v/>
      </c>
      <c r="N49" s="301" t="str">
        <f>IF(N$39=$C$11,Διαμερίσματα!$AB14,"")</f>
        <v/>
      </c>
      <c r="O49" s="301" t="str">
        <f>IF(O$39=$C$11,Διαμερίσματα!$AB14,"")</f>
        <v/>
      </c>
      <c r="P49" s="302" t="str">
        <f>IF(P$39=$C$11,Διαμερίσματα!$AB14,"")</f>
        <v/>
      </c>
    </row>
    <row r="50" spans="1:16" ht="11.1" customHeight="1">
      <c r="A50" s="41">
        <f t="shared" si="13"/>
        <v>10</v>
      </c>
      <c r="B50" s="128" t="str">
        <f>IF(Διαμερίσματα!B15="","",Διαμερίσματα!B15)</f>
        <v>Β3</v>
      </c>
      <c r="C50" s="250" t="str">
        <f>IF(Διαμερίσματα!I15="","",Διαμερίσματα!I15)</f>
        <v>Ιδιοκτήτης-10</v>
      </c>
      <c r="D50" s="301" t="str">
        <f>IF(D$39=$C$11,Διαμερίσματα!$AB15,"")</f>
        <v/>
      </c>
      <c r="E50" s="301">
        <f ca="1">IF(E$39=$C$11,Διαμερίσματα!$AB15,"")</f>
        <v>236.65566490196161</v>
      </c>
      <c r="F50" s="301" t="str">
        <f>IF(F$39=$C$11,Διαμερίσματα!$AB15,"")</f>
        <v/>
      </c>
      <c r="G50" s="301" t="str">
        <f>IF(G$39=$C$11,Διαμερίσματα!$AB15,"")</f>
        <v/>
      </c>
      <c r="H50" s="301" t="str">
        <f>IF(H$39=$C$11,Διαμερίσματα!$AB15,"")</f>
        <v/>
      </c>
      <c r="I50" s="301" t="str">
        <f>IF(I$39=$C$11,Διαμερίσματα!$AB15,"")</f>
        <v/>
      </c>
      <c r="J50" s="301" t="str">
        <f>IF(J$39=$C$11,Διαμερίσματα!$AB15,"")</f>
        <v/>
      </c>
      <c r="K50" s="301" t="str">
        <f>IF(K$39=$C$11,Διαμερίσματα!$AB15,"")</f>
        <v/>
      </c>
      <c r="L50" s="301" t="str">
        <f>IF(L$39=$C$11,Διαμερίσματα!$AB15,"")</f>
        <v/>
      </c>
      <c r="M50" s="301" t="str">
        <f>IF(M$39=$C$11,Διαμερίσματα!$AB15,"")</f>
        <v/>
      </c>
      <c r="N50" s="301" t="str">
        <f>IF(N$39=$C$11,Διαμερίσματα!$AB15,"")</f>
        <v/>
      </c>
      <c r="O50" s="301" t="str">
        <f>IF(O$39=$C$11,Διαμερίσματα!$AB15,"")</f>
        <v/>
      </c>
      <c r="P50" s="302" t="str">
        <f>IF(P$39=$C$11,Διαμερίσματα!$AB15,"")</f>
        <v/>
      </c>
    </row>
    <row r="51" spans="1:16" s="463" customFormat="1" ht="11.1" customHeight="1">
      <c r="A51" s="41">
        <f t="shared" ref="A51" si="14">IF(B51="","",A50+1)</f>
        <v>11</v>
      </c>
      <c r="B51" s="128" t="str">
        <f>IF(Διαμερίσματα!B16="","",Διαμερίσματα!B16)</f>
        <v>Β4</v>
      </c>
      <c r="C51" s="250" t="str">
        <f>IF(Διαμερίσματα!I16="","",Διαμερίσματα!I16)</f>
        <v>Ιδιοκτήτης-11</v>
      </c>
      <c r="D51" s="301" t="str">
        <f>IF(D$39=$C$11,Διαμερίσματα!$AB16,"")</f>
        <v/>
      </c>
      <c r="E51" s="301">
        <f ca="1">IF(E$39=$C$11,Διαμερίσματα!$AB16,"")</f>
        <v>0</v>
      </c>
      <c r="F51" s="301" t="str">
        <f>IF(F$39=$C$11,Διαμερίσματα!$AB16,"")</f>
        <v/>
      </c>
      <c r="G51" s="301" t="str">
        <f>IF(G$39=$C$11,Διαμερίσματα!$AB16,"")</f>
        <v/>
      </c>
      <c r="H51" s="301" t="str">
        <f>IF(H$39=$C$11,Διαμερίσματα!$AB16,"")</f>
        <v/>
      </c>
      <c r="I51" s="301" t="str">
        <f>IF(I$39=$C$11,Διαμερίσματα!$AB16,"")</f>
        <v/>
      </c>
      <c r="J51" s="301" t="str">
        <f>IF(J$39=$C$11,Διαμερίσματα!$AB16,"")</f>
        <v/>
      </c>
      <c r="K51" s="301" t="str">
        <f>IF(K$39=$C$11,Διαμερίσματα!$AB16,"")</f>
        <v/>
      </c>
      <c r="L51" s="301" t="str">
        <f>IF(L$39=$C$11,Διαμερίσματα!$AB16,"")</f>
        <v/>
      </c>
      <c r="M51" s="301" t="str">
        <f>IF(M$39=$C$11,Διαμερίσματα!$AB16,"")</f>
        <v/>
      </c>
      <c r="N51" s="301" t="str">
        <f>IF(N$39=$C$11,Διαμερίσματα!$AB16,"")</f>
        <v/>
      </c>
      <c r="O51" s="301" t="str">
        <f>IF(O$39=$C$11,Διαμερίσματα!$AB16,"")</f>
        <v/>
      </c>
      <c r="P51" s="302" t="str">
        <f>IF(P$39=$C$11,Διαμερίσματα!$AB16,"")</f>
        <v/>
      </c>
    </row>
    <row r="52" spans="1:16" s="540" customFormat="1" ht="11.1" customHeight="1">
      <c r="A52" s="41">
        <f t="shared" ref="A52:A62" si="15">IF(B52="","",A51+1)</f>
        <v>12</v>
      </c>
      <c r="B52" s="128" t="str">
        <f>IF(Διαμερίσματα!B17="","",Διαμερίσματα!B17)</f>
        <v>Γ1</v>
      </c>
      <c r="C52" s="250" t="str">
        <f>IF(Διαμερίσματα!I17="","",Διαμερίσματα!I17)</f>
        <v>Ιδιοκτήτης-12</v>
      </c>
      <c r="D52" s="301" t="str">
        <f>IF(D$39=$C$11,Διαμερίσματα!$AB17,"")</f>
        <v/>
      </c>
      <c r="E52" s="301">
        <f ca="1">IF(E$39=$C$11,Διαμερίσματα!$AB17,"")</f>
        <v>26.341334434909303</v>
      </c>
      <c r="F52" s="301" t="str">
        <f>IF(F$39=$C$11,Διαμερίσματα!$AB17,"")</f>
        <v/>
      </c>
      <c r="G52" s="301" t="str">
        <f>IF(G$39=$C$11,Διαμερίσματα!$AB17,"")</f>
        <v/>
      </c>
      <c r="H52" s="301" t="str">
        <f>IF(H$39=$C$11,Διαμερίσματα!$AB17,"")</f>
        <v/>
      </c>
      <c r="I52" s="301" t="str">
        <f>IF(I$39=$C$11,Διαμερίσματα!$AB17,"")</f>
        <v/>
      </c>
      <c r="J52" s="301" t="str">
        <f>IF(J$39=$C$11,Διαμερίσματα!$AB17,"")</f>
        <v/>
      </c>
      <c r="K52" s="301" t="str">
        <f>IF(K$39=$C$11,Διαμερίσματα!$AB17,"")</f>
        <v/>
      </c>
      <c r="L52" s="301" t="str">
        <f>IF(L$39=$C$11,Διαμερίσματα!$AB17,"")</f>
        <v/>
      </c>
      <c r="M52" s="301" t="str">
        <f>IF(M$39=$C$11,Διαμερίσματα!$AB17,"")</f>
        <v/>
      </c>
      <c r="N52" s="301" t="str">
        <f>IF(N$39=$C$11,Διαμερίσματα!$AB17,"")</f>
        <v/>
      </c>
      <c r="O52" s="301" t="str">
        <f>IF(O$39=$C$11,Διαμερίσματα!$AB17,"")</f>
        <v/>
      </c>
      <c r="P52" s="302" t="str">
        <f>IF(P$39=$C$11,Διαμερίσματα!$AB17,"")</f>
        <v/>
      </c>
    </row>
    <row r="53" spans="1:16" s="540" customFormat="1" ht="11.1" customHeight="1">
      <c r="A53" s="41">
        <f t="shared" si="15"/>
        <v>13</v>
      </c>
      <c r="B53" s="128" t="str">
        <f>IF(Διαμερίσματα!B18="","",Διαμερίσματα!B18)</f>
        <v>Γ2</v>
      </c>
      <c r="C53" s="250" t="str">
        <f>IF(Διαμερίσματα!I18="","",Διαμερίσματα!I18)</f>
        <v>Ιδιοκτήτης-13</v>
      </c>
      <c r="D53" s="301" t="str">
        <f>IF(D$39=$C$11,Διαμερίσματα!$AB18,"")</f>
        <v/>
      </c>
      <c r="E53" s="301">
        <f ca="1">IF(E$39=$C$11,Διαμερίσματα!$AB18,"")</f>
        <v>26.37122660956501</v>
      </c>
      <c r="F53" s="301" t="str">
        <f>IF(F$39=$C$11,Διαμερίσματα!$AB18,"")</f>
        <v/>
      </c>
      <c r="G53" s="301" t="str">
        <f>IF(G$39=$C$11,Διαμερίσματα!$AB18,"")</f>
        <v/>
      </c>
      <c r="H53" s="301" t="str">
        <f>IF(H$39=$C$11,Διαμερίσματα!$AB18,"")</f>
        <v/>
      </c>
      <c r="I53" s="301" t="str">
        <f>IF(I$39=$C$11,Διαμερίσματα!$AB18,"")</f>
        <v/>
      </c>
      <c r="J53" s="301" t="str">
        <f>IF(J$39=$C$11,Διαμερίσματα!$AB18,"")</f>
        <v/>
      </c>
      <c r="K53" s="301" t="str">
        <f>IF(K$39=$C$11,Διαμερίσματα!$AB18,"")</f>
        <v/>
      </c>
      <c r="L53" s="301" t="str">
        <f>IF(L$39=$C$11,Διαμερίσματα!$AB18,"")</f>
        <v/>
      </c>
      <c r="M53" s="301" t="str">
        <f>IF(M$39=$C$11,Διαμερίσματα!$AB18,"")</f>
        <v/>
      </c>
      <c r="N53" s="301" t="str">
        <f>IF(N$39=$C$11,Διαμερίσματα!$AB18,"")</f>
        <v/>
      </c>
      <c r="O53" s="301" t="str">
        <f>IF(O$39=$C$11,Διαμερίσματα!$AB18,"")</f>
        <v/>
      </c>
      <c r="P53" s="302" t="str">
        <f>IF(P$39=$C$11,Διαμερίσματα!$AB18,"")</f>
        <v/>
      </c>
    </row>
    <row r="54" spans="1:16" s="540" customFormat="1" ht="11.1" customHeight="1">
      <c r="A54" s="41">
        <f t="shared" si="15"/>
        <v>14</v>
      </c>
      <c r="B54" s="128" t="str">
        <f>IF(Διαμερίσματα!B19="","",Διαμερίσματα!B19)</f>
        <v>Γ3</v>
      </c>
      <c r="C54" s="250" t="str">
        <f>IF(Διαμερίσματα!I19="","",Διαμερίσματα!I19)</f>
        <v>Ιδιοκτήτης-14</v>
      </c>
      <c r="D54" s="301" t="str">
        <f>IF(D$39=$C$11,Διαμερίσματα!$AB19,"")</f>
        <v/>
      </c>
      <c r="E54" s="301">
        <f ca="1">IF(E$39=$C$11,Διαμερίσματα!$AB19,"")</f>
        <v>26.37122660956501</v>
      </c>
      <c r="F54" s="301" t="str">
        <f>IF(F$39=$C$11,Διαμερίσματα!$AB19,"")</f>
        <v/>
      </c>
      <c r="G54" s="301" t="str">
        <f>IF(G$39=$C$11,Διαμερίσματα!$AB19,"")</f>
        <v/>
      </c>
      <c r="H54" s="301" t="str">
        <f>IF(H$39=$C$11,Διαμερίσματα!$AB19,"")</f>
        <v/>
      </c>
      <c r="I54" s="301" t="str">
        <f>IF(I$39=$C$11,Διαμερίσματα!$AB19,"")</f>
        <v/>
      </c>
      <c r="J54" s="301" t="str">
        <f>IF(J$39=$C$11,Διαμερίσματα!$AB19,"")</f>
        <v/>
      </c>
      <c r="K54" s="301" t="str">
        <f>IF(K$39=$C$11,Διαμερίσματα!$AB19,"")</f>
        <v/>
      </c>
      <c r="L54" s="301" t="str">
        <f>IF(L$39=$C$11,Διαμερίσματα!$AB19,"")</f>
        <v/>
      </c>
      <c r="M54" s="301" t="str">
        <f>IF(M$39=$C$11,Διαμερίσματα!$AB19,"")</f>
        <v/>
      </c>
      <c r="N54" s="301" t="str">
        <f>IF(N$39=$C$11,Διαμερίσματα!$AB19,"")</f>
        <v/>
      </c>
      <c r="O54" s="301" t="str">
        <f>IF(O$39=$C$11,Διαμερίσματα!$AB19,"")</f>
        <v/>
      </c>
      <c r="P54" s="302" t="str">
        <f>IF(P$39=$C$11,Διαμερίσματα!$AB19,"")</f>
        <v/>
      </c>
    </row>
    <row r="55" spans="1:16" s="540" customFormat="1" ht="11.1" customHeight="1">
      <c r="A55" s="41">
        <f t="shared" si="15"/>
        <v>15</v>
      </c>
      <c r="B55" s="128" t="str">
        <f>IF(Διαμερίσματα!B20="","",Διαμερίσματα!B20)</f>
        <v>Γ4</v>
      </c>
      <c r="C55" s="250" t="str">
        <f>IF(Διαμερίσματα!I20="","",Διαμερίσματα!I20)</f>
        <v>Ιδιοκτήτης-15</v>
      </c>
      <c r="D55" s="301" t="str">
        <f>IF(D$39=$C$11,Διαμερίσματα!$AB20,"")</f>
        <v/>
      </c>
      <c r="E55" s="301">
        <f ca="1">IF(E$39=$C$11,Διαμερίσματα!$AB20,"")</f>
        <v>26.37122660956501</v>
      </c>
      <c r="F55" s="301" t="str">
        <f>IF(F$39=$C$11,Διαμερίσματα!$AB20,"")</f>
        <v/>
      </c>
      <c r="G55" s="301" t="str">
        <f>IF(G$39=$C$11,Διαμερίσματα!$AB20,"")</f>
        <v/>
      </c>
      <c r="H55" s="301" t="str">
        <f>IF(H$39=$C$11,Διαμερίσματα!$AB20,"")</f>
        <v/>
      </c>
      <c r="I55" s="301" t="str">
        <f>IF(I$39=$C$11,Διαμερίσματα!$AB20,"")</f>
        <v/>
      </c>
      <c r="J55" s="301" t="str">
        <f>IF(J$39=$C$11,Διαμερίσματα!$AB20,"")</f>
        <v/>
      </c>
      <c r="K55" s="301" t="str">
        <f>IF(K$39=$C$11,Διαμερίσματα!$AB20,"")</f>
        <v/>
      </c>
      <c r="L55" s="301" t="str">
        <f>IF(L$39=$C$11,Διαμερίσματα!$AB20,"")</f>
        <v/>
      </c>
      <c r="M55" s="301" t="str">
        <f>IF(M$39=$C$11,Διαμερίσματα!$AB20,"")</f>
        <v/>
      </c>
      <c r="N55" s="301" t="str">
        <f>IF(N$39=$C$11,Διαμερίσματα!$AB20,"")</f>
        <v/>
      </c>
      <c r="O55" s="301" t="str">
        <f>IF(O$39=$C$11,Διαμερίσματα!$AB20,"")</f>
        <v/>
      </c>
      <c r="P55" s="302" t="str">
        <f>IF(P$39=$C$11,Διαμερίσματα!$AB20,"")</f>
        <v/>
      </c>
    </row>
    <row r="56" spans="1:16" s="540" customFormat="1" ht="11.1" customHeight="1">
      <c r="A56" s="41">
        <f t="shared" si="15"/>
        <v>16</v>
      </c>
      <c r="B56" s="128" t="str">
        <f>IF(Διαμερίσματα!B21="","",Διαμερίσματα!B21)</f>
        <v>Δ1</v>
      </c>
      <c r="C56" s="250" t="str">
        <f>IF(Διαμερίσματα!I21="","",Διαμερίσματα!I21)</f>
        <v>Ιδιοκτήτης-16</v>
      </c>
      <c r="D56" s="301" t="str">
        <f>IF(D$39=$C$11,Διαμερίσματα!$AB21,"")</f>
        <v/>
      </c>
      <c r="E56" s="301">
        <f ca="1">IF(E$39=$C$11,Διαμερίσματα!$AB21,"")</f>
        <v>26.37122660956501</v>
      </c>
      <c r="F56" s="301" t="str">
        <f>IF(F$39=$C$11,Διαμερίσματα!$AB21,"")</f>
        <v/>
      </c>
      <c r="G56" s="301" t="str">
        <f>IF(G$39=$C$11,Διαμερίσματα!$AB21,"")</f>
        <v/>
      </c>
      <c r="H56" s="301" t="str">
        <f>IF(H$39=$C$11,Διαμερίσματα!$AB21,"")</f>
        <v/>
      </c>
      <c r="I56" s="301" t="str">
        <f>IF(I$39=$C$11,Διαμερίσματα!$AB21,"")</f>
        <v/>
      </c>
      <c r="J56" s="301" t="str">
        <f>IF(J$39=$C$11,Διαμερίσματα!$AB21,"")</f>
        <v/>
      </c>
      <c r="K56" s="301" t="str">
        <f>IF(K$39=$C$11,Διαμερίσματα!$AB21,"")</f>
        <v/>
      </c>
      <c r="L56" s="301" t="str">
        <f>IF(L$39=$C$11,Διαμερίσματα!$AB21,"")</f>
        <v/>
      </c>
      <c r="M56" s="301" t="str">
        <f>IF(M$39=$C$11,Διαμερίσματα!$AB21,"")</f>
        <v/>
      </c>
      <c r="N56" s="301" t="str">
        <f>IF(N$39=$C$11,Διαμερίσματα!$AB21,"")</f>
        <v/>
      </c>
      <c r="O56" s="301" t="str">
        <f>IF(O$39=$C$11,Διαμερίσματα!$AB21,"")</f>
        <v/>
      </c>
      <c r="P56" s="302" t="str">
        <f>IF(P$39=$C$11,Διαμερίσματα!$AB21,"")</f>
        <v/>
      </c>
    </row>
    <row r="57" spans="1:16" s="540" customFormat="1" ht="11.1" customHeight="1">
      <c r="A57" s="41">
        <f t="shared" si="15"/>
        <v>17</v>
      </c>
      <c r="B57" s="128" t="str">
        <f>IF(Διαμερίσματα!B22="","",Διαμερίσματα!B22)</f>
        <v>Δ2</v>
      </c>
      <c r="C57" s="250" t="str">
        <f>IF(Διαμερίσματα!I22="","",Διαμερίσματα!I22)</f>
        <v>Ιδιοκτήτης-17</v>
      </c>
      <c r="D57" s="301" t="str">
        <f>IF(D$39=$C$11,Διαμερίσματα!$AB22,"")</f>
        <v/>
      </c>
      <c r="E57" s="301">
        <f ca="1">IF(E$39=$C$11,Διαμερίσματα!$AB22,"")</f>
        <v>26.37122660956501</v>
      </c>
      <c r="F57" s="301" t="str">
        <f>IF(F$39=$C$11,Διαμερίσματα!$AB22,"")</f>
        <v/>
      </c>
      <c r="G57" s="301" t="str">
        <f>IF(G$39=$C$11,Διαμερίσματα!$AB22,"")</f>
        <v/>
      </c>
      <c r="H57" s="301" t="str">
        <f>IF(H$39=$C$11,Διαμερίσματα!$AB22,"")</f>
        <v/>
      </c>
      <c r="I57" s="301" t="str">
        <f>IF(I$39=$C$11,Διαμερίσματα!$AB22,"")</f>
        <v/>
      </c>
      <c r="J57" s="301" t="str">
        <f>IF(J$39=$C$11,Διαμερίσματα!$AB22,"")</f>
        <v/>
      </c>
      <c r="K57" s="301" t="str">
        <f>IF(K$39=$C$11,Διαμερίσματα!$AB22,"")</f>
        <v/>
      </c>
      <c r="L57" s="301" t="str">
        <f>IF(L$39=$C$11,Διαμερίσματα!$AB22,"")</f>
        <v/>
      </c>
      <c r="M57" s="301" t="str">
        <f>IF(M$39=$C$11,Διαμερίσματα!$AB22,"")</f>
        <v/>
      </c>
      <c r="N57" s="301" t="str">
        <f>IF(N$39=$C$11,Διαμερίσματα!$AB22,"")</f>
        <v/>
      </c>
      <c r="O57" s="301" t="str">
        <f>IF(O$39=$C$11,Διαμερίσματα!$AB22,"")</f>
        <v/>
      </c>
      <c r="P57" s="302" t="str">
        <f>IF(P$39=$C$11,Διαμερίσματα!$AB22,"")</f>
        <v/>
      </c>
    </row>
    <row r="58" spans="1:16" s="540" customFormat="1" ht="11.1" customHeight="1">
      <c r="A58" s="41">
        <f t="shared" si="15"/>
        <v>18</v>
      </c>
      <c r="B58" s="128" t="str">
        <f>IF(Διαμερίσματα!B23="","",Διαμερίσματα!B23)</f>
        <v>Δ3</v>
      </c>
      <c r="C58" s="250" t="str">
        <f>IF(Διαμερίσματα!I23="","",Διαμερίσματα!I23)</f>
        <v>Ιδιοκτήτης-18</v>
      </c>
      <c r="D58" s="301" t="str">
        <f>IF(D$39=$C$11,Διαμερίσματα!$AB23,"")</f>
        <v/>
      </c>
      <c r="E58" s="301">
        <f ca="1">IF(E$39=$C$11,Διαμερίσματα!$AB23,"")</f>
        <v>26.518445453577037</v>
      </c>
      <c r="F58" s="301" t="str">
        <f>IF(F$39=$C$11,Διαμερίσματα!$AB23,"")</f>
        <v/>
      </c>
      <c r="G58" s="301" t="str">
        <f>IF(G$39=$C$11,Διαμερίσματα!$AB23,"")</f>
        <v/>
      </c>
      <c r="H58" s="301" t="str">
        <f>IF(H$39=$C$11,Διαμερίσματα!$AB23,"")</f>
        <v/>
      </c>
      <c r="I58" s="301" t="str">
        <f>IF(I$39=$C$11,Διαμερίσματα!$AB23,"")</f>
        <v/>
      </c>
      <c r="J58" s="301" t="str">
        <f>IF(J$39=$C$11,Διαμερίσματα!$AB23,"")</f>
        <v/>
      </c>
      <c r="K58" s="301" t="str">
        <f>IF(K$39=$C$11,Διαμερίσματα!$AB23,"")</f>
        <v/>
      </c>
      <c r="L58" s="301" t="str">
        <f>IF(L$39=$C$11,Διαμερίσματα!$AB23,"")</f>
        <v/>
      </c>
      <c r="M58" s="301" t="str">
        <f>IF(M$39=$C$11,Διαμερίσματα!$AB23,"")</f>
        <v/>
      </c>
      <c r="N58" s="301" t="str">
        <f>IF(N$39=$C$11,Διαμερίσματα!$AB23,"")</f>
        <v/>
      </c>
      <c r="O58" s="301" t="str">
        <f>IF(O$39=$C$11,Διαμερίσματα!$AB23,"")</f>
        <v/>
      </c>
      <c r="P58" s="302" t="str">
        <f>IF(P$39=$C$11,Διαμερίσματα!$AB23,"")</f>
        <v/>
      </c>
    </row>
    <row r="59" spans="1:16" s="540" customFormat="1" ht="11.1" customHeight="1">
      <c r="A59" s="41">
        <f t="shared" si="15"/>
        <v>19</v>
      </c>
      <c r="B59" s="128" t="str">
        <f>IF(Διαμερίσματα!B24="","",Διαμερίσματα!B24)</f>
        <v>Δ4</v>
      </c>
      <c r="C59" s="250" t="str">
        <f>IF(Διαμερίσματα!I24="","",Διαμερίσματα!I24)</f>
        <v>Ιδιοκτήτης-19</v>
      </c>
      <c r="D59" s="301" t="str">
        <f>IF(D$39=$C$11,Διαμερίσματα!$AB24,"")</f>
        <v/>
      </c>
      <c r="E59" s="301">
        <f ca="1">IF(E$39=$C$11,Διαμερίσματα!$AB24,"")</f>
        <v>26.37122660956501</v>
      </c>
      <c r="F59" s="301" t="str">
        <f>IF(F$39=$C$11,Διαμερίσματα!$AB24,"")</f>
        <v/>
      </c>
      <c r="G59" s="301" t="str">
        <f>IF(G$39=$C$11,Διαμερίσματα!$AB24,"")</f>
        <v/>
      </c>
      <c r="H59" s="301" t="str">
        <f>IF(H$39=$C$11,Διαμερίσματα!$AB24,"")</f>
        <v/>
      </c>
      <c r="I59" s="301" t="str">
        <f>IF(I$39=$C$11,Διαμερίσματα!$AB24,"")</f>
        <v/>
      </c>
      <c r="J59" s="301" t="str">
        <f>IF(J$39=$C$11,Διαμερίσματα!$AB24,"")</f>
        <v/>
      </c>
      <c r="K59" s="301" t="str">
        <f>IF(K$39=$C$11,Διαμερίσματα!$AB24,"")</f>
        <v/>
      </c>
      <c r="L59" s="301" t="str">
        <f>IF(L$39=$C$11,Διαμερίσματα!$AB24,"")</f>
        <v/>
      </c>
      <c r="M59" s="301" t="str">
        <f>IF(M$39=$C$11,Διαμερίσματα!$AB24,"")</f>
        <v/>
      </c>
      <c r="N59" s="301" t="str">
        <f>IF(N$39=$C$11,Διαμερίσματα!$AB24,"")</f>
        <v/>
      </c>
      <c r="O59" s="301" t="str">
        <f>IF(O$39=$C$11,Διαμερίσματα!$AB24,"")</f>
        <v/>
      </c>
      <c r="P59" s="302" t="str">
        <f>IF(P$39=$C$11,Διαμερίσματα!$AB24,"")</f>
        <v/>
      </c>
    </row>
    <row r="60" spans="1:16" s="540" customFormat="1" ht="11.1" customHeight="1">
      <c r="A60" s="41">
        <f t="shared" si="15"/>
        <v>20</v>
      </c>
      <c r="B60" s="128" t="str">
        <f>IF(Διαμερίσματα!B25="","",Διαμερίσματα!B25)</f>
        <v>Ε1</v>
      </c>
      <c r="C60" s="250" t="str">
        <f>IF(Διαμερίσματα!I25="","",Διαμερίσματα!I25)</f>
        <v>Ιδιοκτήτης-20</v>
      </c>
      <c r="D60" s="301" t="str">
        <f>IF(D$39=$C$11,Διαμερίσματα!$AB25,"")</f>
        <v/>
      </c>
      <c r="E60" s="301">
        <f ca="1">IF(E$39=$C$11,Διαμερίσματα!$AB25,"")</f>
        <v>26.37122660956501</v>
      </c>
      <c r="F60" s="301" t="str">
        <f>IF(F$39=$C$11,Διαμερίσματα!$AB25,"")</f>
        <v/>
      </c>
      <c r="G60" s="301" t="str">
        <f>IF(G$39=$C$11,Διαμερίσματα!$AB25,"")</f>
        <v/>
      </c>
      <c r="H60" s="301" t="str">
        <f>IF(H$39=$C$11,Διαμερίσματα!$AB25,"")</f>
        <v/>
      </c>
      <c r="I60" s="301" t="str">
        <f>IF(I$39=$C$11,Διαμερίσματα!$AB25,"")</f>
        <v/>
      </c>
      <c r="J60" s="301" t="str">
        <f>IF(J$39=$C$11,Διαμερίσματα!$AB25,"")</f>
        <v/>
      </c>
      <c r="K60" s="301" t="str">
        <f>IF(K$39=$C$11,Διαμερίσματα!$AB25,"")</f>
        <v/>
      </c>
      <c r="L60" s="301" t="str">
        <f>IF(L$39=$C$11,Διαμερίσματα!$AB25,"")</f>
        <v/>
      </c>
      <c r="M60" s="301" t="str">
        <f>IF(M$39=$C$11,Διαμερίσματα!$AB25,"")</f>
        <v/>
      </c>
      <c r="N60" s="301" t="str">
        <f>IF(N$39=$C$11,Διαμερίσματα!$AB25,"")</f>
        <v/>
      </c>
      <c r="O60" s="301" t="str">
        <f>IF(O$39=$C$11,Διαμερίσματα!$AB25,"")</f>
        <v/>
      </c>
      <c r="P60" s="302" t="str">
        <f>IF(P$39=$C$11,Διαμερίσματα!$AB25,"")</f>
        <v/>
      </c>
    </row>
    <row r="61" spans="1:16" s="540" customFormat="1" ht="11.1" customHeight="1">
      <c r="A61" s="41">
        <f t="shared" si="15"/>
        <v>21</v>
      </c>
      <c r="B61" s="128" t="str">
        <f>IF(Διαμερίσματα!B26="","",Διαμερίσματα!B26)</f>
        <v>Ε2</v>
      </c>
      <c r="C61" s="250" t="str">
        <f>IF(Διαμερίσματα!I26="","",Διαμερίσματα!I26)</f>
        <v>Ιδιοκτήτης-21</v>
      </c>
      <c r="D61" s="301" t="str">
        <f>IF(D$39=$C$11,Διαμερίσματα!$AB26,"")</f>
        <v/>
      </c>
      <c r="E61" s="301">
        <f ca="1">IF(E$39=$C$11,Διαμερίσματα!$AB26,"")</f>
        <v>26.37122660956501</v>
      </c>
      <c r="F61" s="301" t="str">
        <f>IF(F$39=$C$11,Διαμερίσματα!$AB26,"")</f>
        <v/>
      </c>
      <c r="G61" s="301" t="str">
        <f>IF(G$39=$C$11,Διαμερίσματα!$AB26,"")</f>
        <v/>
      </c>
      <c r="H61" s="301" t="str">
        <f>IF(H$39=$C$11,Διαμερίσματα!$AB26,"")</f>
        <v/>
      </c>
      <c r="I61" s="301" t="str">
        <f>IF(I$39=$C$11,Διαμερίσματα!$AB26,"")</f>
        <v/>
      </c>
      <c r="J61" s="301" t="str">
        <f>IF(J$39=$C$11,Διαμερίσματα!$AB26,"")</f>
        <v/>
      </c>
      <c r="K61" s="301" t="str">
        <f>IF(K$39=$C$11,Διαμερίσματα!$AB26,"")</f>
        <v/>
      </c>
      <c r="L61" s="301" t="str">
        <f>IF(L$39=$C$11,Διαμερίσματα!$AB26,"")</f>
        <v/>
      </c>
      <c r="M61" s="301" t="str">
        <f>IF(M$39=$C$11,Διαμερίσματα!$AB26,"")</f>
        <v/>
      </c>
      <c r="N61" s="301" t="str">
        <f>IF(N$39=$C$11,Διαμερίσματα!$AB26,"")</f>
        <v/>
      </c>
      <c r="O61" s="301" t="str">
        <f>IF(O$39=$C$11,Διαμερίσματα!$AB26,"")</f>
        <v/>
      </c>
      <c r="P61" s="302" t="str">
        <f>IF(P$39=$C$11,Διαμερίσματα!$AB26,"")</f>
        <v/>
      </c>
    </row>
    <row r="62" spans="1:16" s="463" customFormat="1" ht="11.1" customHeight="1">
      <c r="A62" s="41">
        <f t="shared" si="15"/>
        <v>22</v>
      </c>
      <c r="B62" s="128" t="str">
        <f>IF(Διαμερίσματα!B27="","",Διαμερίσματα!B27)</f>
        <v>Ε3</v>
      </c>
      <c r="C62" s="250" t="str">
        <f>IF(Διαμερίσματα!I27="","",Διαμερίσματα!I27)</f>
        <v>Ιδιοκτήτης-22</v>
      </c>
      <c r="D62" s="301" t="str">
        <f>IF(D$39=$C$11,Διαμερίσματα!$AB27,"")</f>
        <v/>
      </c>
      <c r="E62" s="301">
        <f ca="1">IF(E$39=$C$11,Διαμερίσματα!$AB27,"")</f>
        <v>0</v>
      </c>
      <c r="F62" s="301" t="str">
        <f>IF(F$39=$C$11,Διαμερίσματα!$AB27,"")</f>
        <v/>
      </c>
      <c r="G62" s="301" t="str">
        <f>IF(G$39=$C$11,Διαμερίσματα!$AB27,"")</f>
        <v/>
      </c>
      <c r="H62" s="301" t="str">
        <f>IF(H$39=$C$11,Διαμερίσματα!$AB27,"")</f>
        <v/>
      </c>
      <c r="I62" s="301" t="str">
        <f>IF(I$39=$C$11,Διαμερίσματα!$AB27,"")</f>
        <v/>
      </c>
      <c r="J62" s="301" t="str">
        <f>IF(J$39=$C$11,Διαμερίσματα!$AB27,"")</f>
        <v/>
      </c>
      <c r="K62" s="301" t="str">
        <f>IF(K$39=$C$11,Διαμερίσματα!$AB27,"")</f>
        <v/>
      </c>
      <c r="L62" s="301" t="str">
        <f>IF(L$39=$C$11,Διαμερίσματα!$AB27,"")</f>
        <v/>
      </c>
      <c r="M62" s="301" t="str">
        <f>IF(M$39=$C$11,Διαμερίσματα!$AB27,"")</f>
        <v/>
      </c>
      <c r="N62" s="301" t="str">
        <f>IF(N$39=$C$11,Διαμερίσματα!$AB27,"")</f>
        <v/>
      </c>
      <c r="O62" s="301" t="str">
        <f>IF(O$39=$C$11,Διαμερίσματα!$AB27,"")</f>
        <v/>
      </c>
      <c r="P62" s="302" t="str">
        <f>IF(P$39=$C$11,Διαμερίσματα!$AB27,"")</f>
        <v/>
      </c>
    </row>
    <row r="63" spans="1:16" s="6" customFormat="1">
      <c r="A63" s="748" t="s">
        <v>92</v>
      </c>
      <c r="B63" s="748"/>
      <c r="C63" s="748"/>
      <c r="D63" s="43">
        <f t="shared" ref="D63:P63" si="16">SUM(D41:D62)</f>
        <v>0</v>
      </c>
      <c r="E63" s="43">
        <f t="shared" ca="1" si="16"/>
        <v>1479.9999999999995</v>
      </c>
      <c r="F63" s="43">
        <f t="shared" si="16"/>
        <v>0</v>
      </c>
      <c r="G63" s="43">
        <f t="shared" si="16"/>
        <v>0</v>
      </c>
      <c r="H63" s="43">
        <f t="shared" si="16"/>
        <v>0</v>
      </c>
      <c r="I63" s="43">
        <f t="shared" si="16"/>
        <v>0</v>
      </c>
      <c r="J63" s="43">
        <f t="shared" si="16"/>
        <v>0</v>
      </c>
      <c r="K63" s="43">
        <f t="shared" si="16"/>
        <v>0</v>
      </c>
      <c r="L63" s="43">
        <f t="shared" si="16"/>
        <v>0</v>
      </c>
      <c r="M63" s="43">
        <f t="shared" si="16"/>
        <v>0</v>
      </c>
      <c r="N63" s="43">
        <f t="shared" si="16"/>
        <v>0</v>
      </c>
      <c r="O63" s="43">
        <f t="shared" si="16"/>
        <v>0</v>
      </c>
      <c r="P63" s="43">
        <f t="shared" si="16"/>
        <v>0</v>
      </c>
    </row>
  </sheetData>
  <sheetProtection password="E4A3" sheet="1" objects="1" scenarios="1"/>
  <mergeCells count="10">
    <mergeCell ref="A63:C63"/>
    <mergeCell ref="B3:B6"/>
    <mergeCell ref="A37:C37"/>
    <mergeCell ref="D1:E1"/>
    <mergeCell ref="D2:E2"/>
    <mergeCell ref="D3:E3"/>
    <mergeCell ref="D4:E4"/>
    <mergeCell ref="D5:E5"/>
    <mergeCell ref="D6:E6"/>
    <mergeCell ref="A18:C21"/>
  </mergeCells>
  <dataValidations count="3">
    <dataValidation type="list" errorStyle="information" allowBlank="1" showInputMessage="1" showErrorMessage="1" errorTitle="Λάθος..." error="...δεν επιτρέπεται η εισαγωγή δεδομένων εκτός λίστας." prompt="Επιλογή Μήνα Κοινοχρήστων" sqref="C11">
      <formula1>$F$1:$F$21</formula1>
    </dataValidation>
    <dataValidation type="list" errorStyle="information" allowBlank="1" showInputMessage="1" showErrorMessage="1" errorTitle="Λάθος..." error="...δεν επιτρέπεται η εισαγωγή δεδομένων εκτός λίστας." prompt="Επιλογή Έτους Εκκίνησης" sqref="D3:E3">
      <formula1>$E$7:$E$18</formula1>
    </dataValidation>
    <dataValidation type="list" errorStyle="information" allowBlank="1" showInputMessage="1" showErrorMessage="1" errorTitle="Λάθος..." error="...δεν επιτρέπεται η εισαγωγή δεδομένων εκτός λίστας." prompt="Επιλογή Μήνα Εκκίνησης" sqref="D6:E6">
      <formula1>$D$7:$D$18</formula1>
    </dataValidation>
  </dataValidations>
  <hyperlinks>
    <hyperlink ref="A18:C21" location="ΠΛΟΗΓΗΣΗ!A1" display="Επιστροφή   στην   ΠΛΟΗΓΗΣΗ"/>
  </hyperlinks>
  <pageMargins left="0.39370078740157483" right="0.39370078740157483" top="0.39370078740157483" bottom="0.39370078740157483" header="0.31496062992125984" footer="0.31496062992125984"/>
  <pageSetup paperSize="9" orientation="landscape" r:id="rId1"/>
  <customProperties>
    <customPr name="DVSECTIONID" r:id="rId2"/>
  </customProperties>
  <drawing r:id="rId3"/>
</worksheet>
</file>

<file path=xl/worksheets/sheet7.xml><?xml version="1.0" encoding="utf-8"?>
<worksheet xmlns="http://schemas.openxmlformats.org/spreadsheetml/2006/main" xmlns:r="http://schemas.openxmlformats.org/officeDocument/2006/relationships">
  <sheetPr codeName="Φύλλο18">
    <tabColor rgb="FF92D050"/>
  </sheetPr>
  <dimension ref="A1:AC37"/>
  <sheetViews>
    <sheetView zoomScaleNormal="100" workbookViewId="0">
      <selection activeCell="AC4" sqref="AC4"/>
    </sheetView>
  </sheetViews>
  <sheetFormatPr defaultColWidth="9.140625" defaultRowHeight="12"/>
  <cols>
    <col min="1" max="1" width="3.7109375" style="16" bestFit="1" customWidth="1"/>
    <col min="2" max="2" width="6.7109375" style="16" bestFit="1" customWidth="1"/>
    <col min="3" max="3" width="7.28515625" style="16" customWidth="1"/>
    <col min="4" max="4" width="6.42578125" style="16" customWidth="1"/>
    <col min="5" max="5" width="5.7109375" style="16" bestFit="1" customWidth="1"/>
    <col min="6" max="6" width="16.85546875" style="16" bestFit="1" customWidth="1"/>
    <col min="7" max="7" width="10.140625" style="16" bestFit="1" customWidth="1"/>
    <col min="8" max="8" width="11" style="16" bestFit="1" customWidth="1"/>
    <col min="9" max="9" width="16.85546875" style="16" bestFit="1" customWidth="1"/>
    <col min="10" max="10" width="10.140625" style="16" bestFit="1" customWidth="1"/>
    <col min="11" max="11" width="11" style="16" bestFit="1" customWidth="1"/>
    <col min="12" max="13" width="5.7109375" style="16" bestFit="1" customWidth="1"/>
    <col min="14" max="14" width="6.7109375" style="16" customWidth="1"/>
    <col min="15" max="15" width="4.85546875" style="16" customWidth="1"/>
    <col min="16" max="17" width="5.85546875" style="16" customWidth="1"/>
    <col min="18" max="18" width="4.85546875" style="16" bestFit="1" customWidth="1"/>
    <col min="19" max="19" width="6.42578125" style="16" bestFit="1" customWidth="1"/>
    <col min="20" max="20" width="5.7109375" style="16" bestFit="1" customWidth="1"/>
    <col min="21" max="21" width="6" style="16" customWidth="1"/>
    <col min="22" max="22" width="6.7109375" style="16" customWidth="1"/>
    <col min="23" max="25" width="5.7109375" style="16" bestFit="1" customWidth="1"/>
    <col min="26" max="26" width="6.7109375" style="16" customWidth="1"/>
    <col min="27" max="27" width="5.85546875" style="16" customWidth="1"/>
    <col min="28" max="28" width="7.28515625" style="16" customWidth="1"/>
    <col min="29" max="16384" width="9.140625" style="16"/>
  </cols>
  <sheetData>
    <row r="1" spans="1:28" s="14" customFormat="1" ht="62.25" customHeight="1">
      <c r="A1" s="549"/>
      <c r="B1" s="550"/>
      <c r="C1" s="550"/>
      <c r="D1" s="779" t="str">
        <f>ΣΤΟΙΧΕΙΑ!C4</f>
        <v>Δ Ι Α Μ Ε Ρ Ι Σ Μ Α Τ Α :</v>
      </c>
      <c r="E1" s="779"/>
      <c r="F1" s="779"/>
      <c r="G1" s="779"/>
      <c r="H1" s="779"/>
      <c r="I1" s="779"/>
      <c r="J1" s="779"/>
      <c r="K1" s="779"/>
      <c r="L1" s="780">
        <f>ΣΤΟΙΧΕΙΑ!C10</f>
        <v>40878</v>
      </c>
      <c r="M1" s="780"/>
      <c r="N1" s="780"/>
      <c r="O1" s="780"/>
      <c r="P1" s="780"/>
      <c r="Q1" s="780"/>
      <c r="R1" s="780"/>
      <c r="S1" s="780"/>
      <c r="T1" s="780"/>
      <c r="U1" s="780"/>
      <c r="V1" s="780"/>
      <c r="W1" s="781">
        <f>ΣΤΟΙΧΕΙΑ!C9</f>
        <v>40878</v>
      </c>
      <c r="X1" s="781"/>
      <c r="Y1" s="781"/>
      <c r="Z1" s="781"/>
      <c r="AA1" s="781"/>
      <c r="AB1" s="782"/>
    </row>
    <row r="2" spans="1:28" ht="16.5" thickBot="1">
      <c r="A2" s="774" t="s">
        <v>24</v>
      </c>
      <c r="B2" s="768" t="str">
        <f>ΣΤΟΙΧΕΙΑ!C2</f>
        <v>Πολυκατοικία :</v>
      </c>
      <c r="C2" s="769"/>
      <c r="D2" s="769"/>
      <c r="E2" s="769"/>
      <c r="F2" s="769"/>
      <c r="G2" s="785" t="str">
        <f>ΣΤΟΙΧΕΙΑ!C12</f>
        <v>Διευθύνση 123</v>
      </c>
      <c r="H2" s="785"/>
      <c r="I2" s="785"/>
      <c r="J2" s="785"/>
      <c r="K2" s="785"/>
      <c r="L2" s="785"/>
      <c r="M2" s="785"/>
      <c r="N2" s="785"/>
      <c r="O2" s="785"/>
      <c r="P2" s="783" t="str">
        <f>ΣΤΟΙΧΕΙΑ!C13</f>
        <v>Νεάπολη - ΑΤΤΙΚΗΣ.</v>
      </c>
      <c r="Q2" s="783"/>
      <c r="R2" s="783"/>
      <c r="S2" s="783"/>
      <c r="T2" s="783"/>
      <c r="U2" s="783"/>
      <c r="V2" s="783"/>
      <c r="W2" s="783"/>
      <c r="X2" s="783"/>
      <c r="Y2" s="783"/>
      <c r="Z2" s="783"/>
      <c r="AA2" s="783"/>
      <c r="AB2" s="784"/>
    </row>
    <row r="3" spans="1:28" ht="15.75" customHeight="1">
      <c r="A3" s="775"/>
      <c r="B3" s="770" t="s">
        <v>11</v>
      </c>
      <c r="C3" s="770"/>
      <c r="D3" s="770"/>
      <c r="E3" s="770"/>
      <c r="F3" s="770" t="s">
        <v>29</v>
      </c>
      <c r="G3" s="770"/>
      <c r="H3" s="770"/>
      <c r="I3" s="770" t="s">
        <v>78</v>
      </c>
      <c r="J3" s="770"/>
      <c r="K3" s="770"/>
      <c r="L3" s="670" t="s">
        <v>547</v>
      </c>
      <c r="M3" s="670"/>
      <c r="N3" s="670"/>
      <c r="O3" s="670"/>
      <c r="P3" s="670"/>
      <c r="Q3" s="762"/>
      <c r="R3" s="771" t="s">
        <v>480</v>
      </c>
      <c r="S3" s="772"/>
      <c r="T3" s="772"/>
      <c r="U3" s="772"/>
      <c r="V3" s="773"/>
      <c r="W3" s="763" t="s">
        <v>546</v>
      </c>
      <c r="X3" s="763"/>
      <c r="Y3" s="763"/>
      <c r="Z3" s="763"/>
      <c r="AA3" s="764"/>
      <c r="AB3" s="777" t="s">
        <v>169</v>
      </c>
    </row>
    <row r="4" spans="1:28" s="9" customFormat="1" ht="12.75">
      <c r="A4" s="776"/>
      <c r="B4" s="333" t="s">
        <v>40</v>
      </c>
      <c r="C4" s="477" t="s">
        <v>481</v>
      </c>
      <c r="D4" s="468" t="s">
        <v>28</v>
      </c>
      <c r="E4" s="45" t="s">
        <v>133</v>
      </c>
      <c r="F4" s="45" t="s">
        <v>85</v>
      </c>
      <c r="G4" s="45" t="s">
        <v>79</v>
      </c>
      <c r="H4" s="333" t="s">
        <v>80</v>
      </c>
      <c r="I4" s="333" t="s">
        <v>85</v>
      </c>
      <c r="J4" s="333" t="s">
        <v>79</v>
      </c>
      <c r="K4" s="333" t="s">
        <v>80</v>
      </c>
      <c r="L4" s="333" t="s">
        <v>81</v>
      </c>
      <c r="M4" s="333" t="s">
        <v>82</v>
      </c>
      <c r="N4" s="334" t="s">
        <v>238</v>
      </c>
      <c r="O4" s="474" t="s">
        <v>0</v>
      </c>
      <c r="P4" s="528" t="s">
        <v>483</v>
      </c>
      <c r="Q4" s="522" t="s">
        <v>1</v>
      </c>
      <c r="R4" s="485" t="s">
        <v>0</v>
      </c>
      <c r="S4" s="524" t="s">
        <v>1</v>
      </c>
      <c r="T4" s="524" t="s">
        <v>81</v>
      </c>
      <c r="U4" s="524" t="s">
        <v>82</v>
      </c>
      <c r="V4" s="486" t="s">
        <v>238</v>
      </c>
      <c r="W4" s="523" t="s">
        <v>1</v>
      </c>
      <c r="X4" s="482" t="s">
        <v>81</v>
      </c>
      <c r="Y4" s="474" t="s">
        <v>82</v>
      </c>
      <c r="Z4" s="334" t="s">
        <v>238</v>
      </c>
      <c r="AA4" s="496" t="s">
        <v>483</v>
      </c>
      <c r="AB4" s="778"/>
    </row>
    <row r="5" spans="1:28" s="9" customFormat="1">
      <c r="A5" s="293">
        <v>1</v>
      </c>
      <c r="B5" s="293">
        <f>A5+1</f>
        <v>2</v>
      </c>
      <c r="C5" s="293">
        <f t="shared" ref="C5:O5" si="0">B5+1</f>
        <v>3</v>
      </c>
      <c r="D5" s="293">
        <f t="shared" si="0"/>
        <v>4</v>
      </c>
      <c r="E5" s="293">
        <f t="shared" si="0"/>
        <v>5</v>
      </c>
      <c r="F5" s="293">
        <f t="shared" si="0"/>
        <v>6</v>
      </c>
      <c r="G5" s="293">
        <f t="shared" si="0"/>
        <v>7</v>
      </c>
      <c r="H5" s="293">
        <f t="shared" si="0"/>
        <v>8</v>
      </c>
      <c r="I5" s="293">
        <f t="shared" si="0"/>
        <v>9</v>
      </c>
      <c r="J5" s="293">
        <f t="shared" si="0"/>
        <v>10</v>
      </c>
      <c r="K5" s="293">
        <f t="shared" si="0"/>
        <v>11</v>
      </c>
      <c r="L5" s="293">
        <f t="shared" si="0"/>
        <v>12</v>
      </c>
      <c r="M5" s="293">
        <f t="shared" si="0"/>
        <v>13</v>
      </c>
      <c r="N5" s="293">
        <f t="shared" si="0"/>
        <v>14</v>
      </c>
      <c r="O5" s="293">
        <f t="shared" si="0"/>
        <v>15</v>
      </c>
      <c r="P5" s="480">
        <f>O5+1</f>
        <v>16</v>
      </c>
      <c r="Q5" s="480">
        <f t="shared" ref="Q5:AB5" si="1">P5+1</f>
        <v>17</v>
      </c>
      <c r="R5" s="530">
        <f t="shared" si="1"/>
        <v>18</v>
      </c>
      <c r="S5" s="480">
        <f t="shared" si="1"/>
        <v>19</v>
      </c>
      <c r="T5" s="480">
        <f t="shared" si="1"/>
        <v>20</v>
      </c>
      <c r="U5" s="480">
        <f t="shared" si="1"/>
        <v>21</v>
      </c>
      <c r="V5" s="487">
        <f t="shared" si="1"/>
        <v>22</v>
      </c>
      <c r="W5" s="483">
        <f t="shared" si="1"/>
        <v>23</v>
      </c>
      <c r="X5" s="293">
        <f t="shared" si="1"/>
        <v>24</v>
      </c>
      <c r="Y5" s="293">
        <f t="shared" si="1"/>
        <v>25</v>
      </c>
      <c r="Z5" s="293">
        <f t="shared" si="1"/>
        <v>26</v>
      </c>
      <c r="AA5" s="293">
        <f t="shared" si="1"/>
        <v>27</v>
      </c>
      <c r="AB5" s="293">
        <f t="shared" si="1"/>
        <v>28</v>
      </c>
    </row>
    <row r="6" spans="1:28">
      <c r="A6" s="45">
        <f>IF(B6="","",1)</f>
        <v>1</v>
      </c>
      <c r="B6" s="142" t="s">
        <v>520</v>
      </c>
      <c r="C6" s="476"/>
      <c r="D6" s="142" t="s">
        <v>523</v>
      </c>
      <c r="E6" s="32">
        <v>50</v>
      </c>
      <c r="F6" s="17" t="s">
        <v>501</v>
      </c>
      <c r="G6" s="17"/>
      <c r="H6" s="17"/>
      <c r="I6" s="140" t="str">
        <f t="shared" ref="I6:I15" si="2">IF(F6="","",F6)</f>
        <v>Ιδιοκτήτης-1</v>
      </c>
      <c r="J6" s="140" t="str">
        <f t="shared" ref="J6:J10" si="3">IF(G6="","",IF($F6=$I6,G6,""))</f>
        <v/>
      </c>
      <c r="K6" s="140" t="str">
        <f t="shared" ref="K6:K10" si="4">IF(H6="","",IF(F6=I6,H6,""))</f>
        <v/>
      </c>
      <c r="L6" s="492">
        <f t="shared" ref="L6:L16" si="5">X6*$T$28/$X$28</f>
        <v>46.203247348994005</v>
      </c>
      <c r="M6" s="492">
        <f t="shared" ref="M6:M16" si="6">Y6*$U$28/$Y$28</f>
        <v>64.648274979197325</v>
      </c>
      <c r="N6" s="492">
        <f t="shared" ref="N6:N16" si="7">Z6*$V$28/$Z$28</f>
        <v>33.401608739251955</v>
      </c>
      <c r="O6" s="493">
        <f>IFERROR(R6,0)</f>
        <v>0.35</v>
      </c>
      <c r="P6" s="494">
        <f>AA6*1000/$AA$28</f>
        <v>75.050709939148049</v>
      </c>
      <c r="Q6" s="531">
        <f t="shared" ref="Q6:Q16" si="8">W6*$S$28/$W$28</f>
        <v>7.5050709939148072E-2</v>
      </c>
      <c r="R6" s="488">
        <v>0.35</v>
      </c>
      <c r="S6" s="475">
        <v>7.0300000000000001E-2</v>
      </c>
      <c r="T6" s="332">
        <v>43.31</v>
      </c>
      <c r="U6" s="332">
        <v>60.6</v>
      </c>
      <c r="V6" s="489">
        <v>31.31</v>
      </c>
      <c r="W6" s="532">
        <f>IF($C6="",S6,S6*$B$30/100)</f>
        <v>7.0300000000000001E-2</v>
      </c>
      <c r="X6" s="495">
        <f>IF($C6="",T6,T6*$B$30/100)</f>
        <v>43.31</v>
      </c>
      <c r="Y6" s="493">
        <f>IF($C6="",U6,U6*$B$30/100)</f>
        <v>60.6</v>
      </c>
      <c r="Z6" s="493">
        <f>IF($C6="",V6,V6*$B$30/100)</f>
        <v>31.31</v>
      </c>
      <c r="AA6" s="493">
        <f t="shared" ref="AA6:AA16" si="9">IF($C6="",S6*1000,S6*$B$30*10)</f>
        <v>70.3</v>
      </c>
      <c r="AB6" s="478">
        <f ca="1">IF(B6="","",'1-2'!$G$21)</f>
        <v>44.314208126686182</v>
      </c>
    </row>
    <row r="7" spans="1:28">
      <c r="A7" s="45">
        <f>IF(B7="","",A6+1)</f>
        <v>2</v>
      </c>
      <c r="B7" s="142" t="s">
        <v>521</v>
      </c>
      <c r="C7" s="476"/>
      <c r="D7" s="142" t="s">
        <v>523</v>
      </c>
      <c r="E7" s="32">
        <v>60</v>
      </c>
      <c r="F7" s="17" t="s">
        <v>502</v>
      </c>
      <c r="G7" s="17"/>
      <c r="H7" s="17"/>
      <c r="I7" s="140" t="str">
        <f t="shared" si="2"/>
        <v>Ιδιοκτήτης-2</v>
      </c>
      <c r="J7" s="140" t="str">
        <f t="shared" si="3"/>
        <v/>
      </c>
      <c r="K7" s="140" t="str">
        <f t="shared" si="4"/>
        <v/>
      </c>
      <c r="L7" s="492">
        <f t="shared" si="5"/>
        <v>33.401608739251955</v>
      </c>
      <c r="M7" s="492">
        <f t="shared" si="6"/>
        <v>46.203247348994005</v>
      </c>
      <c r="N7" s="492">
        <f t="shared" si="7"/>
        <v>64.648274979197325</v>
      </c>
      <c r="O7" s="493">
        <f t="shared" ref="O7:O16" si="10">IFERROR(R7,0)</f>
        <v>0.41</v>
      </c>
      <c r="P7" s="494">
        <f t="shared" ref="P7:P16" si="11">AA7*1000/$AA$28</f>
        <v>63.84114444325823</v>
      </c>
      <c r="Q7" s="531">
        <f t="shared" si="8"/>
        <v>6.3841144443258252E-2</v>
      </c>
      <c r="R7" s="488">
        <v>0.41</v>
      </c>
      <c r="S7" s="475">
        <v>5.9799999999999999E-2</v>
      </c>
      <c r="T7" s="332">
        <v>31.31</v>
      </c>
      <c r="U7" s="332">
        <v>43.31</v>
      </c>
      <c r="V7" s="489">
        <v>60.6</v>
      </c>
      <c r="W7" s="532">
        <f t="shared" ref="W7:W16" si="12">IF($C7="",S7,S7*$B$30/100)</f>
        <v>5.9799999999999999E-2</v>
      </c>
      <c r="X7" s="495">
        <f t="shared" ref="X7:X16" si="13">IF($C7="",T7,T7*$B$30/100)</f>
        <v>31.31</v>
      </c>
      <c r="Y7" s="493">
        <f t="shared" ref="Y7:Y16" si="14">IF($C7="",U7,U7*$B$30/100)</f>
        <v>43.31</v>
      </c>
      <c r="Z7" s="493">
        <f t="shared" ref="Z7:Z16" si="15">IF($C7="",V7,V7*$B$30/100)</f>
        <v>60.6</v>
      </c>
      <c r="AA7" s="493">
        <f t="shared" si="9"/>
        <v>59.8</v>
      </c>
      <c r="AB7" s="478">
        <f ca="1">IF(B7="","",'1-2'!$G$46)</f>
        <v>49.190348052390995</v>
      </c>
    </row>
    <row r="8" spans="1:28">
      <c r="A8" s="45">
        <f t="shared" ref="A8:A27" si="16">IF(B8="","",A7+1)</f>
        <v>3</v>
      </c>
      <c r="B8" s="142" t="s">
        <v>522</v>
      </c>
      <c r="C8" s="476"/>
      <c r="D8" s="142" t="s">
        <v>523</v>
      </c>
      <c r="E8" s="32">
        <v>50</v>
      </c>
      <c r="F8" s="17" t="s">
        <v>503</v>
      </c>
      <c r="G8" s="17"/>
      <c r="H8" s="17"/>
      <c r="I8" s="140" t="str">
        <f t="shared" si="2"/>
        <v>Ιδιοκτήτης-3</v>
      </c>
      <c r="J8" s="140" t="str">
        <f t="shared" si="3"/>
        <v/>
      </c>
      <c r="K8" s="140" t="str">
        <f t="shared" si="4"/>
        <v/>
      </c>
      <c r="L8" s="492">
        <f t="shared" si="5"/>
        <v>64.648274979197325</v>
      </c>
      <c r="M8" s="492">
        <f t="shared" si="6"/>
        <v>33.401608739251955</v>
      </c>
      <c r="N8" s="492">
        <f t="shared" si="7"/>
        <v>46.203247348994005</v>
      </c>
      <c r="O8" s="493">
        <f t="shared" si="10"/>
        <v>0.36</v>
      </c>
      <c r="P8" s="494">
        <f t="shared" si="11"/>
        <v>56.474858545959208</v>
      </c>
      <c r="Q8" s="531">
        <f t="shared" si="8"/>
        <v>5.6474858545959225E-2</v>
      </c>
      <c r="R8" s="488">
        <v>0.36</v>
      </c>
      <c r="S8" s="475">
        <v>5.2900000000000003E-2</v>
      </c>
      <c r="T8" s="332">
        <v>60.6</v>
      </c>
      <c r="U8" s="332">
        <v>31.31</v>
      </c>
      <c r="V8" s="489">
        <v>43.31</v>
      </c>
      <c r="W8" s="532">
        <f t="shared" si="12"/>
        <v>5.2900000000000003E-2</v>
      </c>
      <c r="X8" s="495">
        <f t="shared" si="13"/>
        <v>60.6</v>
      </c>
      <c r="Y8" s="493">
        <f t="shared" si="14"/>
        <v>31.31</v>
      </c>
      <c r="Z8" s="493">
        <f t="shared" si="15"/>
        <v>43.31</v>
      </c>
      <c r="AA8" s="493">
        <f t="shared" si="9"/>
        <v>52.900000000000006</v>
      </c>
      <c r="AB8" s="478">
        <f ca="1">IF(B8="","",'3-4'!$G$21)</f>
        <v>225.0399534872713</v>
      </c>
    </row>
    <row r="9" spans="1:28">
      <c r="A9" s="45">
        <f t="shared" si="16"/>
        <v>4</v>
      </c>
      <c r="B9" s="142" t="s">
        <v>12</v>
      </c>
      <c r="C9" s="476"/>
      <c r="D9" s="655" t="s">
        <v>25</v>
      </c>
      <c r="E9" s="647">
        <v>60</v>
      </c>
      <c r="F9" s="646" t="s">
        <v>504</v>
      </c>
      <c r="G9" s="646"/>
      <c r="H9" s="646"/>
      <c r="I9" s="646" t="str">
        <f t="shared" si="2"/>
        <v>Ιδιοκτήτης-4</v>
      </c>
      <c r="J9" s="646" t="str">
        <f t="shared" si="3"/>
        <v/>
      </c>
      <c r="K9" s="646" t="str">
        <f t="shared" si="4"/>
        <v/>
      </c>
      <c r="L9" s="492">
        <f t="shared" si="5"/>
        <v>33.390940707077171</v>
      </c>
      <c r="M9" s="492">
        <f t="shared" si="6"/>
        <v>33.390940707077171</v>
      </c>
      <c r="N9" s="492">
        <f t="shared" si="7"/>
        <v>33.390940707077171</v>
      </c>
      <c r="O9" s="493">
        <f t="shared" si="10"/>
        <v>0.31</v>
      </c>
      <c r="P9" s="494">
        <f t="shared" si="11"/>
        <v>79.641293904131501</v>
      </c>
      <c r="Q9" s="531">
        <f t="shared" si="8"/>
        <v>7.9641293904131522E-2</v>
      </c>
      <c r="R9" s="488">
        <v>0.31</v>
      </c>
      <c r="S9" s="475">
        <v>7.46E-2</v>
      </c>
      <c r="T9" s="656">
        <f>V9</f>
        <v>31.3</v>
      </c>
      <c r="U9" s="656">
        <f>V9</f>
        <v>31.3</v>
      </c>
      <c r="V9" s="489">
        <v>31.3</v>
      </c>
      <c r="W9" s="532">
        <f t="shared" si="12"/>
        <v>7.46E-2</v>
      </c>
      <c r="X9" s="495">
        <f t="shared" si="13"/>
        <v>31.3</v>
      </c>
      <c r="Y9" s="493">
        <f t="shared" si="14"/>
        <v>31.3</v>
      </c>
      <c r="Z9" s="493">
        <f t="shared" si="15"/>
        <v>31.3</v>
      </c>
      <c r="AA9" s="493">
        <f t="shared" si="9"/>
        <v>74.599999999999994</v>
      </c>
      <c r="AB9" s="478">
        <f ca="1">IF(B9="","",'3-4'!$G$46)</f>
        <v>178.03119085637255</v>
      </c>
    </row>
    <row r="10" spans="1:28">
      <c r="A10" s="45">
        <f t="shared" si="16"/>
        <v>5</v>
      </c>
      <c r="B10" s="142" t="s">
        <v>13</v>
      </c>
      <c r="C10" s="476"/>
      <c r="D10" s="655" t="s">
        <v>25</v>
      </c>
      <c r="E10" s="647">
        <v>50</v>
      </c>
      <c r="F10" s="646" t="s">
        <v>505</v>
      </c>
      <c r="G10" s="646"/>
      <c r="H10" s="646"/>
      <c r="I10" s="646" t="str">
        <f t="shared" si="2"/>
        <v>Ιδιοκτήτης-5</v>
      </c>
      <c r="J10" s="646" t="str">
        <f t="shared" si="3"/>
        <v/>
      </c>
      <c r="K10" s="646" t="str">
        <f t="shared" si="4"/>
        <v/>
      </c>
      <c r="L10" s="492">
        <f t="shared" si="5"/>
        <v>33.401608739251955</v>
      </c>
      <c r="M10" s="492">
        <f t="shared" si="6"/>
        <v>33.401608739251955</v>
      </c>
      <c r="N10" s="492">
        <f t="shared" si="7"/>
        <v>33.401608739251955</v>
      </c>
      <c r="O10" s="493">
        <f t="shared" si="10"/>
        <v>0.46</v>
      </c>
      <c r="P10" s="494">
        <f t="shared" si="11"/>
        <v>61.065442510942653</v>
      </c>
      <c r="Q10" s="531">
        <f t="shared" si="8"/>
        <v>6.1065442510942675E-2</v>
      </c>
      <c r="R10" s="488">
        <v>0.46</v>
      </c>
      <c r="S10" s="475">
        <v>5.7200000000000001E-2</v>
      </c>
      <c r="T10" s="656">
        <f t="shared" ref="T10:T27" si="17">V10</f>
        <v>31.31</v>
      </c>
      <c r="U10" s="656">
        <f t="shared" ref="U10:U27" si="18">V10</f>
        <v>31.31</v>
      </c>
      <c r="V10" s="489">
        <v>31.31</v>
      </c>
      <c r="W10" s="532">
        <f t="shared" si="12"/>
        <v>5.7200000000000001E-2</v>
      </c>
      <c r="X10" s="495">
        <f t="shared" si="13"/>
        <v>31.31</v>
      </c>
      <c r="Y10" s="493">
        <f t="shared" si="14"/>
        <v>31.31</v>
      </c>
      <c r="Z10" s="493">
        <f t="shared" si="15"/>
        <v>31.31</v>
      </c>
      <c r="AA10" s="493">
        <f t="shared" si="9"/>
        <v>57.2</v>
      </c>
      <c r="AB10" s="478">
        <f ca="1">IF(B10="","",'5-6'!$G$21)</f>
        <v>164.47440806839413</v>
      </c>
    </row>
    <row r="11" spans="1:28">
      <c r="A11" s="45">
        <f t="shared" si="16"/>
        <v>6</v>
      </c>
      <c r="B11" s="142" t="s">
        <v>41</v>
      </c>
      <c r="C11" s="476"/>
      <c r="D11" s="655" t="s">
        <v>25</v>
      </c>
      <c r="E11" s="647">
        <v>60</v>
      </c>
      <c r="F11" s="646" t="s">
        <v>506</v>
      </c>
      <c r="G11" s="646"/>
      <c r="H11" s="646"/>
      <c r="I11" s="646" t="str">
        <f t="shared" si="2"/>
        <v>Ιδιοκτήτης-6</v>
      </c>
      <c r="J11" s="646" t="str">
        <f>IF(G11="","",IF($F11=$I11,G11,""))</f>
        <v/>
      </c>
      <c r="K11" s="646" t="str">
        <f>IF(H11="","",IF(F11=I11,H11,""))</f>
        <v/>
      </c>
      <c r="L11" s="492">
        <f t="shared" si="5"/>
        <v>33.401608739251955</v>
      </c>
      <c r="M11" s="492">
        <f t="shared" si="6"/>
        <v>33.401608739251955</v>
      </c>
      <c r="N11" s="492">
        <f t="shared" si="7"/>
        <v>33.401608739251955</v>
      </c>
      <c r="O11" s="493">
        <f t="shared" si="10"/>
        <v>0.31</v>
      </c>
      <c r="P11" s="494">
        <f t="shared" si="11"/>
        <v>80.38859827052417</v>
      </c>
      <c r="Q11" s="531">
        <f t="shared" si="8"/>
        <v>8.0388598270524192E-2</v>
      </c>
      <c r="R11" s="488">
        <v>0.31</v>
      </c>
      <c r="S11" s="475">
        <v>7.5300000000000006E-2</v>
      </c>
      <c r="T11" s="656">
        <f t="shared" si="17"/>
        <v>31.31</v>
      </c>
      <c r="U11" s="656">
        <f t="shared" si="18"/>
        <v>31.31</v>
      </c>
      <c r="V11" s="489">
        <v>31.31</v>
      </c>
      <c r="W11" s="532">
        <f t="shared" si="12"/>
        <v>7.5300000000000006E-2</v>
      </c>
      <c r="X11" s="495">
        <f t="shared" si="13"/>
        <v>31.31</v>
      </c>
      <c r="Y11" s="493">
        <f t="shared" si="14"/>
        <v>31.31</v>
      </c>
      <c r="Z11" s="493">
        <f t="shared" si="15"/>
        <v>31.31</v>
      </c>
      <c r="AA11" s="493">
        <f t="shared" si="9"/>
        <v>75.300000000000011</v>
      </c>
      <c r="AB11" s="478">
        <f ca="1">IF(B11="","",'5-6'!$G$46)</f>
        <v>29.674311909020545</v>
      </c>
    </row>
    <row r="12" spans="1:28">
      <c r="A12" s="45">
        <f t="shared" si="16"/>
        <v>7</v>
      </c>
      <c r="B12" s="142" t="s">
        <v>513</v>
      </c>
      <c r="C12" s="476"/>
      <c r="D12" s="655" t="s">
        <v>25</v>
      </c>
      <c r="E12" s="647">
        <v>50</v>
      </c>
      <c r="F12" s="646" t="s">
        <v>507</v>
      </c>
      <c r="G12" s="646"/>
      <c r="H12" s="646"/>
      <c r="I12" s="646" t="str">
        <f t="shared" si="2"/>
        <v>Ιδιοκτήτης-7</v>
      </c>
      <c r="J12" s="646" t="str">
        <f>IF(G12="","",IF($F12=$I12,G12,""))</f>
        <v/>
      </c>
      <c r="K12" s="646" t="str">
        <f>IF(H12="","",IF(F12=I12,H12,""))</f>
        <v/>
      </c>
      <c r="L12" s="492">
        <f t="shared" si="5"/>
        <v>107.75779299750367</v>
      </c>
      <c r="M12" s="492">
        <f t="shared" si="6"/>
        <v>107.75779299750367</v>
      </c>
      <c r="N12" s="492">
        <f t="shared" si="7"/>
        <v>107.75779299750367</v>
      </c>
      <c r="O12" s="493">
        <f t="shared" si="10"/>
        <v>0.33</v>
      </c>
      <c r="P12" s="494">
        <f t="shared" si="11"/>
        <v>39.393615885555668</v>
      </c>
      <c r="Q12" s="531">
        <f t="shared" si="8"/>
        <v>3.9393615885555677E-2</v>
      </c>
      <c r="R12" s="488">
        <v>0.33</v>
      </c>
      <c r="S12" s="475">
        <v>3.6900000000000002E-2</v>
      </c>
      <c r="T12" s="656">
        <f t="shared" si="17"/>
        <v>101.01</v>
      </c>
      <c r="U12" s="656">
        <f t="shared" si="18"/>
        <v>101.01</v>
      </c>
      <c r="V12" s="489">
        <v>101.01</v>
      </c>
      <c r="W12" s="532">
        <f t="shared" si="12"/>
        <v>3.6900000000000002E-2</v>
      </c>
      <c r="X12" s="495">
        <f t="shared" si="13"/>
        <v>101.01</v>
      </c>
      <c r="Y12" s="493">
        <f t="shared" si="14"/>
        <v>101.01</v>
      </c>
      <c r="Z12" s="493">
        <f t="shared" si="15"/>
        <v>101.01</v>
      </c>
      <c r="AA12" s="493">
        <f t="shared" si="9"/>
        <v>36.900000000000006</v>
      </c>
      <c r="AB12" s="478">
        <f ca="1">IF(B12="","",'7-8'!$G$21)</f>
        <v>78.110430280266428</v>
      </c>
    </row>
    <row r="13" spans="1:28">
      <c r="A13" s="45">
        <f t="shared" si="16"/>
        <v>8</v>
      </c>
      <c r="B13" s="142" t="s">
        <v>14</v>
      </c>
      <c r="C13" s="476"/>
      <c r="D13" s="655" t="s">
        <v>26</v>
      </c>
      <c r="E13" s="647">
        <v>60</v>
      </c>
      <c r="F13" s="646" t="s">
        <v>508</v>
      </c>
      <c r="G13" s="646"/>
      <c r="H13" s="646"/>
      <c r="I13" s="646" t="str">
        <f t="shared" si="2"/>
        <v>Ιδιοκτήτης-8</v>
      </c>
      <c r="J13" s="646" t="str">
        <f t="shared" ref="J13:J15" si="19">IF(G13="","",IF($F13=$I13,G13,""))</f>
        <v/>
      </c>
      <c r="K13" s="646" t="str">
        <f t="shared" ref="K13:K15" si="20">IF(H13="","",IF(F13=I13,H13,""))</f>
        <v/>
      </c>
      <c r="L13" s="492">
        <f t="shared" si="5"/>
        <v>33.401608739251955</v>
      </c>
      <c r="M13" s="492">
        <f t="shared" si="6"/>
        <v>33.401608739251955</v>
      </c>
      <c r="N13" s="492">
        <f t="shared" si="7"/>
        <v>33.401608739251955</v>
      </c>
      <c r="O13" s="493">
        <f t="shared" si="10"/>
        <v>0.41</v>
      </c>
      <c r="P13" s="494">
        <f t="shared" si="11"/>
        <v>69.392548307889385</v>
      </c>
      <c r="Q13" s="531">
        <f t="shared" si="8"/>
        <v>6.9392548307889407E-2</v>
      </c>
      <c r="R13" s="488">
        <v>0.41</v>
      </c>
      <c r="S13" s="475">
        <v>6.5000000000000002E-2</v>
      </c>
      <c r="T13" s="656">
        <f t="shared" si="17"/>
        <v>31.31</v>
      </c>
      <c r="U13" s="656">
        <f t="shared" si="18"/>
        <v>31.31</v>
      </c>
      <c r="V13" s="489">
        <v>31.31</v>
      </c>
      <c r="W13" s="532">
        <f t="shared" si="12"/>
        <v>6.5000000000000002E-2</v>
      </c>
      <c r="X13" s="495">
        <f t="shared" si="13"/>
        <v>31.31</v>
      </c>
      <c r="Y13" s="493">
        <f t="shared" si="14"/>
        <v>31.31</v>
      </c>
      <c r="Z13" s="493">
        <f t="shared" si="15"/>
        <v>31.31</v>
      </c>
      <c r="AA13" s="493">
        <f t="shared" si="9"/>
        <v>65</v>
      </c>
      <c r="AB13" s="478">
        <f ca="1">IF(B13="","",'7-8'!$G$46)</f>
        <v>77.398602290764842</v>
      </c>
    </row>
    <row r="14" spans="1:28">
      <c r="A14" s="45">
        <f t="shared" si="16"/>
        <v>9</v>
      </c>
      <c r="B14" s="142" t="s">
        <v>204</v>
      </c>
      <c r="C14" s="476"/>
      <c r="D14" s="655" t="s">
        <v>26</v>
      </c>
      <c r="E14" s="647">
        <v>50</v>
      </c>
      <c r="F14" s="646" t="s">
        <v>509</v>
      </c>
      <c r="G14" s="646"/>
      <c r="H14" s="646"/>
      <c r="I14" s="646" t="str">
        <f t="shared" si="2"/>
        <v>Ιδιοκτήτης-9</v>
      </c>
      <c r="J14" s="646" t="str">
        <f t="shared" si="19"/>
        <v/>
      </c>
      <c r="K14" s="646" t="str">
        <f t="shared" si="20"/>
        <v/>
      </c>
      <c r="L14" s="492">
        <f t="shared" si="5"/>
        <v>140.08193048710237</v>
      </c>
      <c r="M14" s="492">
        <f t="shared" si="6"/>
        <v>140.08193048710237</v>
      </c>
      <c r="N14" s="492">
        <f t="shared" si="7"/>
        <v>140.08193048710237</v>
      </c>
      <c r="O14" s="493">
        <f t="shared" si="10"/>
        <v>0.35</v>
      </c>
      <c r="P14" s="494">
        <f t="shared" si="11"/>
        <v>75.904772072168228</v>
      </c>
      <c r="Q14" s="531">
        <f t="shared" si="8"/>
        <v>7.5904772072168253E-2</v>
      </c>
      <c r="R14" s="488">
        <v>0.35</v>
      </c>
      <c r="S14" s="475">
        <v>7.1099999999999997E-2</v>
      </c>
      <c r="T14" s="656">
        <f t="shared" si="17"/>
        <v>131.31</v>
      </c>
      <c r="U14" s="656">
        <f t="shared" si="18"/>
        <v>131.31</v>
      </c>
      <c r="V14" s="489">
        <v>131.31</v>
      </c>
      <c r="W14" s="532">
        <f t="shared" si="12"/>
        <v>7.1099999999999997E-2</v>
      </c>
      <c r="X14" s="495">
        <f t="shared" si="13"/>
        <v>131.31</v>
      </c>
      <c r="Y14" s="493">
        <f t="shared" si="14"/>
        <v>131.31</v>
      </c>
      <c r="Z14" s="493">
        <f t="shared" si="15"/>
        <v>131.31</v>
      </c>
      <c r="AA14" s="493">
        <f t="shared" si="9"/>
        <v>71.099999999999994</v>
      </c>
      <c r="AB14" s="478">
        <f ca="1">IF(B14="","",'9-10'!$G$21)</f>
        <v>133.28128926186497</v>
      </c>
    </row>
    <row r="15" spans="1:28">
      <c r="A15" s="45">
        <f t="shared" si="16"/>
        <v>10</v>
      </c>
      <c r="B15" s="142" t="s">
        <v>498</v>
      </c>
      <c r="C15" s="476"/>
      <c r="D15" s="655" t="s">
        <v>26</v>
      </c>
      <c r="E15" s="647">
        <v>60</v>
      </c>
      <c r="F15" s="646" t="s">
        <v>510</v>
      </c>
      <c r="G15" s="646"/>
      <c r="H15" s="646"/>
      <c r="I15" s="646" t="str">
        <f t="shared" si="2"/>
        <v>Ιδιοκτήτης-10</v>
      </c>
      <c r="J15" s="646" t="str">
        <f t="shared" si="19"/>
        <v/>
      </c>
      <c r="K15" s="646" t="str">
        <f t="shared" si="20"/>
        <v/>
      </c>
      <c r="L15" s="492">
        <f t="shared" si="5"/>
        <v>140.08193048710237</v>
      </c>
      <c r="M15" s="492">
        <f t="shared" si="6"/>
        <v>140.08193048710237</v>
      </c>
      <c r="N15" s="492">
        <f t="shared" si="7"/>
        <v>140.08193048710237</v>
      </c>
      <c r="O15" s="493">
        <f t="shared" si="10"/>
        <v>0.35</v>
      </c>
      <c r="P15" s="494">
        <f t="shared" si="11"/>
        <v>67.257392975338931</v>
      </c>
      <c r="Q15" s="531">
        <f t="shared" si="8"/>
        <v>6.7257392975338962E-2</v>
      </c>
      <c r="R15" s="488">
        <v>0.35</v>
      </c>
      <c r="S15" s="475">
        <v>6.3E-2</v>
      </c>
      <c r="T15" s="656">
        <f t="shared" si="17"/>
        <v>131.31</v>
      </c>
      <c r="U15" s="656">
        <f t="shared" si="18"/>
        <v>131.31</v>
      </c>
      <c r="V15" s="489">
        <v>131.31</v>
      </c>
      <c r="W15" s="532">
        <f t="shared" si="12"/>
        <v>6.3E-2</v>
      </c>
      <c r="X15" s="495">
        <f t="shared" si="13"/>
        <v>131.31</v>
      </c>
      <c r="Y15" s="493">
        <f t="shared" si="14"/>
        <v>131.31</v>
      </c>
      <c r="Z15" s="493">
        <f t="shared" si="15"/>
        <v>131.31</v>
      </c>
      <c r="AA15" s="493">
        <f t="shared" si="9"/>
        <v>63</v>
      </c>
      <c r="AB15" s="478">
        <f ca="1">IF(B15="","",'9-10'!$G$46)</f>
        <v>236.65566490196161</v>
      </c>
    </row>
    <row r="16" spans="1:28">
      <c r="A16" s="458">
        <f t="shared" si="16"/>
        <v>11</v>
      </c>
      <c r="B16" s="142" t="s">
        <v>514</v>
      </c>
      <c r="C16" s="476" t="s">
        <v>257</v>
      </c>
      <c r="D16" s="655" t="s">
        <v>26</v>
      </c>
      <c r="E16" s="647">
        <v>50</v>
      </c>
      <c r="F16" s="646" t="s">
        <v>511</v>
      </c>
      <c r="G16" s="646"/>
      <c r="H16" s="646"/>
      <c r="I16" s="646" t="str">
        <f t="shared" ref="I16" si="21">IF(F16="","",F16)</f>
        <v>Ιδιοκτήτης-11</v>
      </c>
      <c r="J16" s="646" t="str">
        <f t="shared" ref="J16" si="22">IF(G16="","",IF($F16=$I16,G16,""))</f>
        <v/>
      </c>
      <c r="K16" s="646" t="str">
        <f t="shared" ref="K16" si="23">IF(H16="","",IF(F16=I16,H16,""))</f>
        <v/>
      </c>
      <c r="L16" s="492">
        <f t="shared" si="5"/>
        <v>0</v>
      </c>
      <c r="M16" s="492">
        <f t="shared" si="6"/>
        <v>0</v>
      </c>
      <c r="N16" s="492">
        <f t="shared" si="7"/>
        <v>0</v>
      </c>
      <c r="O16" s="493">
        <f t="shared" si="10"/>
        <v>0.25</v>
      </c>
      <c r="P16" s="494">
        <f t="shared" si="11"/>
        <v>0</v>
      </c>
      <c r="Q16" s="531">
        <f t="shared" si="8"/>
        <v>0</v>
      </c>
      <c r="R16" s="488">
        <v>0.25</v>
      </c>
      <c r="S16" s="475">
        <v>3.2199999999999999E-2</v>
      </c>
      <c r="T16" s="656">
        <f t="shared" si="17"/>
        <v>31.31</v>
      </c>
      <c r="U16" s="656">
        <f t="shared" si="18"/>
        <v>31.31</v>
      </c>
      <c r="V16" s="489">
        <v>31.31</v>
      </c>
      <c r="W16" s="532">
        <f t="shared" si="12"/>
        <v>0</v>
      </c>
      <c r="X16" s="495">
        <f t="shared" si="13"/>
        <v>0</v>
      </c>
      <c r="Y16" s="493">
        <f t="shared" si="14"/>
        <v>0</v>
      </c>
      <c r="Z16" s="493">
        <f t="shared" si="15"/>
        <v>0</v>
      </c>
      <c r="AA16" s="493">
        <f t="shared" si="9"/>
        <v>0</v>
      </c>
      <c r="AB16" s="478">
        <f ca="1">IF(B16="","",'11-12'!$G$21)</f>
        <v>0</v>
      </c>
    </row>
    <row r="17" spans="1:28">
      <c r="A17" s="536">
        <f t="shared" si="16"/>
        <v>12</v>
      </c>
      <c r="B17" s="142" t="s">
        <v>15</v>
      </c>
      <c r="C17" s="476"/>
      <c r="D17" s="655" t="s">
        <v>27</v>
      </c>
      <c r="E17" s="647">
        <v>60</v>
      </c>
      <c r="F17" s="646" t="s">
        <v>512</v>
      </c>
      <c r="G17" s="646"/>
      <c r="H17" s="646"/>
      <c r="I17" s="646" t="str">
        <f t="shared" ref="I17:I27" si="24">IF(F17="","",F17)</f>
        <v>Ιδιοκτήτης-12</v>
      </c>
      <c r="J17" s="646" t="str">
        <f t="shared" ref="J17:J27" si="25">IF(G17="","",IF($F17=$I17,G17,""))</f>
        <v/>
      </c>
      <c r="K17" s="646" t="str">
        <f t="shared" ref="K17:K27" si="26">IF(H17="","",IF(F17=I17,H17,""))</f>
        <v/>
      </c>
      <c r="L17" s="492">
        <f t="shared" ref="L17:L27" si="27">X17*$T$28/$X$28</f>
        <v>33.401608739251955</v>
      </c>
      <c r="M17" s="492">
        <f t="shared" ref="M17:M27" si="28">Y17*$U$28/$Y$28</f>
        <v>33.401608739251955</v>
      </c>
      <c r="N17" s="492">
        <f t="shared" ref="N17:N27" si="29">Z17*$V$28/$Z$28</f>
        <v>33.401608739251955</v>
      </c>
      <c r="O17" s="493">
        <f t="shared" ref="O17:O27" si="30">IFERROR(R17,0)</f>
        <v>0.25</v>
      </c>
      <c r="P17" s="494">
        <f t="shared" ref="P17:P27" si="31">AA17*1000/$AA$28</f>
        <v>32.774634354649294</v>
      </c>
      <c r="Q17" s="531">
        <f t="shared" ref="Q17:Q27" si="32">W17*$S$28/$W$28</f>
        <v>3.27746343546493E-2</v>
      </c>
      <c r="R17" s="488">
        <v>0.25</v>
      </c>
      <c r="S17" s="475">
        <v>3.0700000000000002E-2</v>
      </c>
      <c r="T17" s="656">
        <f t="shared" si="17"/>
        <v>31.31</v>
      </c>
      <c r="U17" s="656">
        <f t="shared" si="18"/>
        <v>31.31</v>
      </c>
      <c r="V17" s="489">
        <v>31.31</v>
      </c>
      <c r="W17" s="532">
        <f t="shared" ref="W17:W27" si="33">IF($C17="",S17,S17*$B$30/100)</f>
        <v>3.0700000000000002E-2</v>
      </c>
      <c r="X17" s="495">
        <f t="shared" ref="X17:X27" si="34">IF($C17="",T17,T17*$B$30/100)</f>
        <v>31.31</v>
      </c>
      <c r="Y17" s="493">
        <f t="shared" ref="Y17:Y27" si="35">IF($C17="",U17,U17*$B$30/100)</f>
        <v>31.31</v>
      </c>
      <c r="Z17" s="493">
        <f t="shared" ref="Z17:Z27" si="36">IF($C17="",V17,V17*$B$30/100)</f>
        <v>31.31</v>
      </c>
      <c r="AA17" s="493">
        <f t="shared" ref="AA17:AA27" si="37">IF($C17="",S17*1000,S17*$B$30*10)</f>
        <v>30.700000000000003</v>
      </c>
      <c r="AB17" s="478">
        <f ca="1">IF(B17="","",'11-12'!$G$46)</f>
        <v>26.341334434909303</v>
      </c>
    </row>
    <row r="18" spans="1:28">
      <c r="A18" s="536">
        <f t="shared" si="16"/>
        <v>13</v>
      </c>
      <c r="B18" s="142" t="s">
        <v>16</v>
      </c>
      <c r="C18" s="476"/>
      <c r="D18" s="655" t="s">
        <v>27</v>
      </c>
      <c r="E18" s="647">
        <v>50</v>
      </c>
      <c r="F18" s="646" t="s">
        <v>524</v>
      </c>
      <c r="G18" s="646"/>
      <c r="H18" s="646"/>
      <c r="I18" s="646" t="str">
        <f t="shared" si="24"/>
        <v>Ιδιοκτήτης-13</v>
      </c>
      <c r="J18" s="646" t="str">
        <f t="shared" si="25"/>
        <v/>
      </c>
      <c r="K18" s="646" t="str">
        <f t="shared" si="26"/>
        <v/>
      </c>
      <c r="L18" s="492">
        <f t="shared" si="27"/>
        <v>33.401608739251955</v>
      </c>
      <c r="M18" s="492">
        <f t="shared" si="28"/>
        <v>33.401608739251955</v>
      </c>
      <c r="N18" s="492">
        <f t="shared" si="29"/>
        <v>33.401608739251955</v>
      </c>
      <c r="O18" s="493">
        <f t="shared" si="30"/>
        <v>0.25</v>
      </c>
      <c r="P18" s="494">
        <f t="shared" si="31"/>
        <v>33.201665421159376</v>
      </c>
      <c r="Q18" s="531">
        <f t="shared" si="32"/>
        <v>3.320166542115939E-2</v>
      </c>
      <c r="R18" s="488">
        <v>0.25</v>
      </c>
      <c r="S18" s="475">
        <v>3.1099999999999999E-2</v>
      </c>
      <c r="T18" s="656">
        <f t="shared" si="17"/>
        <v>31.31</v>
      </c>
      <c r="U18" s="656">
        <f t="shared" si="18"/>
        <v>31.31</v>
      </c>
      <c r="V18" s="489">
        <v>31.31</v>
      </c>
      <c r="W18" s="532">
        <f t="shared" si="33"/>
        <v>3.1099999999999999E-2</v>
      </c>
      <c r="X18" s="495">
        <f t="shared" si="34"/>
        <v>31.31</v>
      </c>
      <c r="Y18" s="493">
        <f t="shared" si="35"/>
        <v>31.31</v>
      </c>
      <c r="Z18" s="493">
        <f t="shared" si="36"/>
        <v>31.31</v>
      </c>
      <c r="AA18" s="493">
        <f t="shared" si="37"/>
        <v>31.099999999999998</v>
      </c>
      <c r="AB18" s="478">
        <f ca="1">IF(B18="","",'13-14'!$G$21)</f>
        <v>26.37122660956501</v>
      </c>
    </row>
    <row r="19" spans="1:28">
      <c r="A19" s="536">
        <f t="shared" si="16"/>
        <v>14</v>
      </c>
      <c r="B19" s="142" t="s">
        <v>515</v>
      </c>
      <c r="C19" s="476"/>
      <c r="D19" s="655" t="s">
        <v>27</v>
      </c>
      <c r="E19" s="647">
        <v>60</v>
      </c>
      <c r="F19" s="646" t="s">
        <v>525</v>
      </c>
      <c r="G19" s="646"/>
      <c r="H19" s="646"/>
      <c r="I19" s="646" t="str">
        <f t="shared" si="24"/>
        <v>Ιδιοκτήτης-14</v>
      </c>
      <c r="J19" s="646" t="str">
        <f t="shared" si="25"/>
        <v/>
      </c>
      <c r="K19" s="646" t="str">
        <f t="shared" si="26"/>
        <v/>
      </c>
      <c r="L19" s="492">
        <f t="shared" si="27"/>
        <v>33.401608739251955</v>
      </c>
      <c r="M19" s="492">
        <f t="shared" si="28"/>
        <v>33.401608739251955</v>
      </c>
      <c r="N19" s="492">
        <f t="shared" si="29"/>
        <v>33.401608739251955</v>
      </c>
      <c r="O19" s="493">
        <f t="shared" si="30"/>
        <v>0.25</v>
      </c>
      <c r="P19" s="494">
        <f t="shared" si="31"/>
        <v>33.201665421159376</v>
      </c>
      <c r="Q19" s="531">
        <f t="shared" si="32"/>
        <v>3.320166542115939E-2</v>
      </c>
      <c r="R19" s="488">
        <v>0.25</v>
      </c>
      <c r="S19" s="475">
        <v>3.1099999999999999E-2</v>
      </c>
      <c r="T19" s="656">
        <f t="shared" si="17"/>
        <v>31.31</v>
      </c>
      <c r="U19" s="656">
        <f t="shared" si="18"/>
        <v>31.31</v>
      </c>
      <c r="V19" s="489">
        <v>31.31</v>
      </c>
      <c r="W19" s="532">
        <f t="shared" si="33"/>
        <v>3.1099999999999999E-2</v>
      </c>
      <c r="X19" s="495">
        <f t="shared" si="34"/>
        <v>31.31</v>
      </c>
      <c r="Y19" s="493">
        <f t="shared" si="35"/>
        <v>31.31</v>
      </c>
      <c r="Z19" s="493">
        <f t="shared" si="36"/>
        <v>31.31</v>
      </c>
      <c r="AA19" s="493">
        <f t="shared" si="37"/>
        <v>31.099999999999998</v>
      </c>
      <c r="AB19" s="478">
        <f ca="1">IF(B19="","",'13-14'!$G$46)</f>
        <v>26.37122660956501</v>
      </c>
    </row>
    <row r="20" spans="1:28">
      <c r="A20" s="536">
        <f t="shared" si="16"/>
        <v>15</v>
      </c>
      <c r="B20" s="142" t="s">
        <v>516</v>
      </c>
      <c r="C20" s="476"/>
      <c r="D20" s="655" t="s">
        <v>27</v>
      </c>
      <c r="E20" s="647">
        <v>50</v>
      </c>
      <c r="F20" s="646" t="s">
        <v>526</v>
      </c>
      <c r="G20" s="646"/>
      <c r="H20" s="646"/>
      <c r="I20" s="646" t="str">
        <f t="shared" si="24"/>
        <v>Ιδιοκτήτης-15</v>
      </c>
      <c r="J20" s="646" t="str">
        <f t="shared" si="25"/>
        <v/>
      </c>
      <c r="K20" s="646" t="str">
        <f t="shared" si="26"/>
        <v/>
      </c>
      <c r="L20" s="492">
        <f t="shared" si="27"/>
        <v>33.401608739251955</v>
      </c>
      <c r="M20" s="492">
        <f t="shared" si="28"/>
        <v>33.401608739251955</v>
      </c>
      <c r="N20" s="492">
        <f t="shared" si="29"/>
        <v>33.401608739251955</v>
      </c>
      <c r="O20" s="493">
        <f t="shared" si="30"/>
        <v>0.25</v>
      </c>
      <c r="P20" s="494">
        <f t="shared" si="31"/>
        <v>33.201665421159376</v>
      </c>
      <c r="Q20" s="531">
        <f t="shared" si="32"/>
        <v>3.320166542115939E-2</v>
      </c>
      <c r="R20" s="488">
        <v>0.25</v>
      </c>
      <c r="S20" s="475">
        <v>3.1099999999999999E-2</v>
      </c>
      <c r="T20" s="656">
        <f t="shared" si="17"/>
        <v>31.31</v>
      </c>
      <c r="U20" s="656">
        <f t="shared" si="18"/>
        <v>31.31</v>
      </c>
      <c r="V20" s="489">
        <v>31.31</v>
      </c>
      <c r="W20" s="532">
        <f t="shared" si="33"/>
        <v>3.1099999999999999E-2</v>
      </c>
      <c r="X20" s="495">
        <f t="shared" si="34"/>
        <v>31.31</v>
      </c>
      <c r="Y20" s="493">
        <f t="shared" si="35"/>
        <v>31.31</v>
      </c>
      <c r="Z20" s="493">
        <f t="shared" si="36"/>
        <v>31.31</v>
      </c>
      <c r="AA20" s="493">
        <f t="shared" si="37"/>
        <v>31.099999999999998</v>
      </c>
      <c r="AB20" s="478">
        <f ca="1">IF(B20="","",'15-16'!$G$21)</f>
        <v>26.37122660956501</v>
      </c>
    </row>
    <row r="21" spans="1:28">
      <c r="A21" s="536">
        <f t="shared" si="16"/>
        <v>16</v>
      </c>
      <c r="B21" s="142" t="s">
        <v>17</v>
      </c>
      <c r="C21" s="476"/>
      <c r="D21" s="655" t="s">
        <v>69</v>
      </c>
      <c r="E21" s="647">
        <v>60</v>
      </c>
      <c r="F21" s="646" t="s">
        <v>527</v>
      </c>
      <c r="G21" s="646"/>
      <c r="H21" s="646"/>
      <c r="I21" s="646" t="str">
        <f t="shared" si="24"/>
        <v>Ιδιοκτήτης-16</v>
      </c>
      <c r="J21" s="646" t="str">
        <f t="shared" si="25"/>
        <v/>
      </c>
      <c r="K21" s="646" t="str">
        <f t="shared" si="26"/>
        <v/>
      </c>
      <c r="L21" s="492">
        <f t="shared" si="27"/>
        <v>33.401608739251955</v>
      </c>
      <c r="M21" s="492">
        <f t="shared" si="28"/>
        <v>33.401608739251955</v>
      </c>
      <c r="N21" s="492">
        <f t="shared" si="29"/>
        <v>33.401608739251955</v>
      </c>
      <c r="O21" s="493">
        <f t="shared" si="30"/>
        <v>0.25</v>
      </c>
      <c r="P21" s="494">
        <f t="shared" si="31"/>
        <v>33.201665421159376</v>
      </c>
      <c r="Q21" s="531">
        <f t="shared" si="32"/>
        <v>3.320166542115939E-2</v>
      </c>
      <c r="R21" s="488">
        <v>0.25</v>
      </c>
      <c r="S21" s="475">
        <v>3.1099999999999999E-2</v>
      </c>
      <c r="T21" s="656">
        <f t="shared" si="17"/>
        <v>31.31</v>
      </c>
      <c r="U21" s="656">
        <f t="shared" si="18"/>
        <v>31.31</v>
      </c>
      <c r="V21" s="489">
        <v>31.31</v>
      </c>
      <c r="W21" s="532">
        <f t="shared" si="33"/>
        <v>3.1099999999999999E-2</v>
      </c>
      <c r="X21" s="495">
        <f t="shared" si="34"/>
        <v>31.31</v>
      </c>
      <c r="Y21" s="493">
        <f t="shared" si="35"/>
        <v>31.31</v>
      </c>
      <c r="Z21" s="493">
        <f t="shared" si="36"/>
        <v>31.31</v>
      </c>
      <c r="AA21" s="493">
        <f t="shared" si="37"/>
        <v>31.099999999999998</v>
      </c>
      <c r="AB21" s="478">
        <f ca="1">IF(B21="","",'15-16'!$G$46)</f>
        <v>26.37122660956501</v>
      </c>
    </row>
    <row r="22" spans="1:28">
      <c r="A22" s="536">
        <f t="shared" si="16"/>
        <v>17</v>
      </c>
      <c r="B22" s="142" t="s">
        <v>18</v>
      </c>
      <c r="C22" s="476"/>
      <c r="D22" s="655" t="s">
        <v>69</v>
      </c>
      <c r="E22" s="647">
        <v>50</v>
      </c>
      <c r="F22" s="646" t="s">
        <v>528</v>
      </c>
      <c r="G22" s="646"/>
      <c r="H22" s="646"/>
      <c r="I22" s="646" t="str">
        <f t="shared" si="24"/>
        <v>Ιδιοκτήτης-17</v>
      </c>
      <c r="J22" s="646" t="str">
        <f t="shared" si="25"/>
        <v/>
      </c>
      <c r="K22" s="646" t="str">
        <f t="shared" si="26"/>
        <v/>
      </c>
      <c r="L22" s="492">
        <f t="shared" si="27"/>
        <v>33.401608739251955</v>
      </c>
      <c r="M22" s="492">
        <f t="shared" si="28"/>
        <v>33.401608739251955</v>
      </c>
      <c r="N22" s="492">
        <f t="shared" si="29"/>
        <v>33.401608739251955</v>
      </c>
      <c r="O22" s="493">
        <f t="shared" si="30"/>
        <v>0.25</v>
      </c>
      <c r="P22" s="494">
        <f t="shared" si="31"/>
        <v>33.201665421159376</v>
      </c>
      <c r="Q22" s="531">
        <f t="shared" si="32"/>
        <v>3.320166542115939E-2</v>
      </c>
      <c r="R22" s="488">
        <v>0.25</v>
      </c>
      <c r="S22" s="475">
        <v>3.1099999999999999E-2</v>
      </c>
      <c r="T22" s="656">
        <f t="shared" si="17"/>
        <v>31.31</v>
      </c>
      <c r="U22" s="656">
        <f t="shared" si="18"/>
        <v>31.31</v>
      </c>
      <c r="V22" s="489">
        <v>31.31</v>
      </c>
      <c r="W22" s="532">
        <f t="shared" si="33"/>
        <v>3.1099999999999999E-2</v>
      </c>
      <c r="X22" s="495">
        <f t="shared" si="34"/>
        <v>31.31</v>
      </c>
      <c r="Y22" s="493">
        <f t="shared" si="35"/>
        <v>31.31</v>
      </c>
      <c r="Z22" s="493">
        <f t="shared" si="36"/>
        <v>31.31</v>
      </c>
      <c r="AA22" s="493">
        <f t="shared" si="37"/>
        <v>31.099999999999998</v>
      </c>
      <c r="AB22" s="478">
        <f ca="1">IF(B22="","",'17-18'!$G$21)</f>
        <v>26.37122660956501</v>
      </c>
    </row>
    <row r="23" spans="1:28">
      <c r="A23" s="536">
        <f t="shared" si="16"/>
        <v>18</v>
      </c>
      <c r="B23" s="142" t="s">
        <v>517</v>
      </c>
      <c r="C23" s="476"/>
      <c r="D23" s="655" t="s">
        <v>69</v>
      </c>
      <c r="E23" s="647">
        <v>60</v>
      </c>
      <c r="F23" s="646" t="s">
        <v>529</v>
      </c>
      <c r="G23" s="646"/>
      <c r="H23" s="646"/>
      <c r="I23" s="646" t="str">
        <f t="shared" si="24"/>
        <v>Ιδιοκτήτης-18</v>
      </c>
      <c r="J23" s="646" t="str">
        <f t="shared" si="25"/>
        <v/>
      </c>
      <c r="K23" s="646" t="str">
        <f t="shared" si="26"/>
        <v/>
      </c>
      <c r="L23" s="492">
        <f t="shared" si="27"/>
        <v>33.61496938274766</v>
      </c>
      <c r="M23" s="492">
        <f t="shared" si="28"/>
        <v>33.61496938274766</v>
      </c>
      <c r="N23" s="492">
        <f t="shared" si="29"/>
        <v>33.61496938274766</v>
      </c>
      <c r="O23" s="493">
        <f t="shared" si="30"/>
        <v>0.25</v>
      </c>
      <c r="P23" s="494">
        <f t="shared" si="31"/>
        <v>33.201665421159376</v>
      </c>
      <c r="Q23" s="531">
        <f t="shared" si="32"/>
        <v>3.320166542115939E-2</v>
      </c>
      <c r="R23" s="488">
        <v>0.25</v>
      </c>
      <c r="S23" s="475">
        <v>3.1099999999999999E-2</v>
      </c>
      <c r="T23" s="656">
        <f t="shared" si="17"/>
        <v>31.51</v>
      </c>
      <c r="U23" s="656">
        <f t="shared" si="18"/>
        <v>31.51</v>
      </c>
      <c r="V23" s="489">
        <v>31.51</v>
      </c>
      <c r="W23" s="532">
        <f t="shared" si="33"/>
        <v>3.1099999999999999E-2</v>
      </c>
      <c r="X23" s="495">
        <f t="shared" si="34"/>
        <v>31.51</v>
      </c>
      <c r="Y23" s="493">
        <f t="shared" si="35"/>
        <v>31.51</v>
      </c>
      <c r="Z23" s="493">
        <f t="shared" si="36"/>
        <v>31.51</v>
      </c>
      <c r="AA23" s="493">
        <f t="shared" si="37"/>
        <v>31.099999999999998</v>
      </c>
      <c r="AB23" s="478">
        <f ca="1">IF(B23="","",'17-18'!$G$46)</f>
        <v>26.518445453577037</v>
      </c>
    </row>
    <row r="24" spans="1:28">
      <c r="A24" s="536">
        <f t="shared" si="16"/>
        <v>19</v>
      </c>
      <c r="B24" s="142" t="s">
        <v>518</v>
      </c>
      <c r="C24" s="476"/>
      <c r="D24" s="655" t="s">
        <v>69</v>
      </c>
      <c r="E24" s="647">
        <v>50</v>
      </c>
      <c r="F24" s="646" t="s">
        <v>530</v>
      </c>
      <c r="G24" s="646"/>
      <c r="H24" s="646"/>
      <c r="I24" s="646" t="str">
        <f t="shared" si="24"/>
        <v>Ιδιοκτήτης-19</v>
      </c>
      <c r="J24" s="646" t="str">
        <f t="shared" si="25"/>
        <v/>
      </c>
      <c r="K24" s="646" t="str">
        <f t="shared" si="26"/>
        <v/>
      </c>
      <c r="L24" s="492">
        <f t="shared" si="27"/>
        <v>33.401608739251955</v>
      </c>
      <c r="M24" s="492">
        <f t="shared" si="28"/>
        <v>33.401608739251955</v>
      </c>
      <c r="N24" s="492">
        <f t="shared" si="29"/>
        <v>33.401608739251955</v>
      </c>
      <c r="O24" s="493">
        <f t="shared" si="30"/>
        <v>0.25</v>
      </c>
      <c r="P24" s="494">
        <f t="shared" si="31"/>
        <v>33.201665421159376</v>
      </c>
      <c r="Q24" s="531">
        <f t="shared" si="32"/>
        <v>3.320166542115939E-2</v>
      </c>
      <c r="R24" s="488">
        <v>0.25</v>
      </c>
      <c r="S24" s="475">
        <v>3.1099999999999999E-2</v>
      </c>
      <c r="T24" s="656">
        <f t="shared" si="17"/>
        <v>31.31</v>
      </c>
      <c r="U24" s="656">
        <f t="shared" si="18"/>
        <v>31.31</v>
      </c>
      <c r="V24" s="489">
        <v>31.31</v>
      </c>
      <c r="W24" s="532">
        <f t="shared" si="33"/>
        <v>3.1099999999999999E-2</v>
      </c>
      <c r="X24" s="495">
        <f t="shared" si="34"/>
        <v>31.31</v>
      </c>
      <c r="Y24" s="493">
        <f t="shared" si="35"/>
        <v>31.31</v>
      </c>
      <c r="Z24" s="493">
        <f t="shared" si="36"/>
        <v>31.31</v>
      </c>
      <c r="AA24" s="493">
        <f t="shared" si="37"/>
        <v>31.099999999999998</v>
      </c>
      <c r="AB24" s="478">
        <f ca="1">IF(B24="","",'19-20'!$G$21)</f>
        <v>26.37122660956501</v>
      </c>
    </row>
    <row r="25" spans="1:28">
      <c r="A25" s="536">
        <f t="shared" si="16"/>
        <v>20</v>
      </c>
      <c r="B25" s="142" t="s">
        <v>19</v>
      </c>
      <c r="C25" s="476"/>
      <c r="D25" s="655" t="s">
        <v>500</v>
      </c>
      <c r="E25" s="647">
        <v>60</v>
      </c>
      <c r="F25" s="646" t="s">
        <v>531</v>
      </c>
      <c r="G25" s="646"/>
      <c r="H25" s="646"/>
      <c r="I25" s="646" t="str">
        <f t="shared" si="24"/>
        <v>Ιδιοκτήτης-20</v>
      </c>
      <c r="J25" s="646" t="str">
        <f t="shared" si="25"/>
        <v/>
      </c>
      <c r="K25" s="646" t="str">
        <f t="shared" si="26"/>
        <v/>
      </c>
      <c r="L25" s="492">
        <f t="shared" si="27"/>
        <v>33.401608739251955</v>
      </c>
      <c r="M25" s="492">
        <f t="shared" si="28"/>
        <v>33.401608739251955</v>
      </c>
      <c r="N25" s="492">
        <f t="shared" si="29"/>
        <v>33.401608739251955</v>
      </c>
      <c r="O25" s="493">
        <f t="shared" si="30"/>
        <v>0.25</v>
      </c>
      <c r="P25" s="494">
        <f t="shared" si="31"/>
        <v>33.201665421159376</v>
      </c>
      <c r="Q25" s="531">
        <f t="shared" si="32"/>
        <v>3.320166542115939E-2</v>
      </c>
      <c r="R25" s="488">
        <v>0.25</v>
      </c>
      <c r="S25" s="475">
        <v>3.1099999999999999E-2</v>
      </c>
      <c r="T25" s="656">
        <f t="shared" si="17"/>
        <v>31.31</v>
      </c>
      <c r="U25" s="656">
        <f t="shared" si="18"/>
        <v>31.31</v>
      </c>
      <c r="V25" s="489">
        <v>31.31</v>
      </c>
      <c r="W25" s="532">
        <f t="shared" si="33"/>
        <v>3.1099999999999999E-2</v>
      </c>
      <c r="X25" s="495">
        <f t="shared" si="34"/>
        <v>31.31</v>
      </c>
      <c r="Y25" s="493">
        <f t="shared" si="35"/>
        <v>31.31</v>
      </c>
      <c r="Z25" s="493">
        <f t="shared" si="36"/>
        <v>31.31</v>
      </c>
      <c r="AA25" s="493">
        <f t="shared" si="37"/>
        <v>31.099999999999998</v>
      </c>
      <c r="AB25" s="478">
        <f ca="1">IF(B25="","",'19-20'!$G$46)</f>
        <v>26.37122660956501</v>
      </c>
    </row>
    <row r="26" spans="1:28">
      <c r="A26" s="536">
        <f t="shared" si="16"/>
        <v>21</v>
      </c>
      <c r="B26" s="142" t="s">
        <v>499</v>
      </c>
      <c r="C26" s="476"/>
      <c r="D26" s="655" t="s">
        <v>500</v>
      </c>
      <c r="E26" s="647">
        <v>50</v>
      </c>
      <c r="F26" s="646" t="s">
        <v>532</v>
      </c>
      <c r="G26" s="646"/>
      <c r="H26" s="646"/>
      <c r="I26" s="646" t="str">
        <f t="shared" si="24"/>
        <v>Ιδιοκτήτης-21</v>
      </c>
      <c r="J26" s="646" t="str">
        <f t="shared" si="25"/>
        <v/>
      </c>
      <c r="K26" s="646" t="str">
        <f t="shared" si="26"/>
        <v/>
      </c>
      <c r="L26" s="492">
        <f t="shared" si="27"/>
        <v>33.401608739251955</v>
      </c>
      <c r="M26" s="492">
        <f t="shared" si="28"/>
        <v>33.401608739251955</v>
      </c>
      <c r="N26" s="492">
        <f t="shared" si="29"/>
        <v>33.401608739251955</v>
      </c>
      <c r="O26" s="493">
        <f t="shared" si="30"/>
        <v>0.25</v>
      </c>
      <c r="P26" s="494">
        <f t="shared" si="31"/>
        <v>33.201665421159376</v>
      </c>
      <c r="Q26" s="531">
        <f t="shared" si="32"/>
        <v>3.320166542115939E-2</v>
      </c>
      <c r="R26" s="488">
        <v>0.25</v>
      </c>
      <c r="S26" s="475">
        <v>3.1099999999999999E-2</v>
      </c>
      <c r="T26" s="656">
        <f t="shared" si="17"/>
        <v>31.31</v>
      </c>
      <c r="U26" s="656">
        <f t="shared" si="18"/>
        <v>31.31</v>
      </c>
      <c r="V26" s="489">
        <v>31.31</v>
      </c>
      <c r="W26" s="532">
        <f t="shared" si="33"/>
        <v>3.1099999999999999E-2</v>
      </c>
      <c r="X26" s="495">
        <f t="shared" si="34"/>
        <v>31.31</v>
      </c>
      <c r="Y26" s="493">
        <f t="shared" si="35"/>
        <v>31.31</v>
      </c>
      <c r="Z26" s="493">
        <f t="shared" si="36"/>
        <v>31.31</v>
      </c>
      <c r="AA26" s="493">
        <f t="shared" si="37"/>
        <v>31.099999999999998</v>
      </c>
      <c r="AB26" s="478">
        <f ca="1">IF(B26="","",'21-22'!$G$21)</f>
        <v>26.37122660956501</v>
      </c>
    </row>
    <row r="27" spans="1:28">
      <c r="A27" s="536">
        <f t="shared" si="16"/>
        <v>22</v>
      </c>
      <c r="B27" s="142" t="s">
        <v>519</v>
      </c>
      <c r="C27" s="476" t="s">
        <v>257</v>
      </c>
      <c r="D27" s="655" t="s">
        <v>500</v>
      </c>
      <c r="E27" s="647">
        <v>60</v>
      </c>
      <c r="F27" s="646" t="s">
        <v>533</v>
      </c>
      <c r="G27" s="646"/>
      <c r="H27" s="646"/>
      <c r="I27" s="646" t="str">
        <f t="shared" si="24"/>
        <v>Ιδιοκτήτης-22</v>
      </c>
      <c r="J27" s="646" t="str">
        <f t="shared" si="25"/>
        <v/>
      </c>
      <c r="K27" s="646" t="str">
        <f t="shared" si="26"/>
        <v/>
      </c>
      <c r="L27" s="492">
        <f t="shared" si="27"/>
        <v>0</v>
      </c>
      <c r="M27" s="492">
        <f t="shared" si="28"/>
        <v>0</v>
      </c>
      <c r="N27" s="492">
        <f t="shared" si="29"/>
        <v>0</v>
      </c>
      <c r="O27" s="493">
        <f t="shared" si="30"/>
        <v>0.25</v>
      </c>
      <c r="P27" s="494">
        <f t="shared" si="31"/>
        <v>0</v>
      </c>
      <c r="Q27" s="531">
        <f t="shared" si="32"/>
        <v>0</v>
      </c>
      <c r="R27" s="488">
        <v>0.25</v>
      </c>
      <c r="S27" s="475">
        <v>3.1099999999999999E-2</v>
      </c>
      <c r="T27" s="656">
        <f t="shared" si="17"/>
        <v>31.31</v>
      </c>
      <c r="U27" s="656">
        <f t="shared" si="18"/>
        <v>31.31</v>
      </c>
      <c r="V27" s="489">
        <v>31.31</v>
      </c>
      <c r="W27" s="532">
        <f t="shared" si="33"/>
        <v>0</v>
      </c>
      <c r="X27" s="495">
        <f t="shared" si="34"/>
        <v>0</v>
      </c>
      <c r="Y27" s="493">
        <f t="shared" si="35"/>
        <v>0</v>
      </c>
      <c r="Z27" s="493">
        <f t="shared" si="36"/>
        <v>0</v>
      </c>
      <c r="AA27" s="493">
        <f t="shared" si="37"/>
        <v>0</v>
      </c>
      <c r="AB27" s="478">
        <f ca="1">IF(B27="","",'21-22'!$G$46)</f>
        <v>0</v>
      </c>
    </row>
    <row r="28" spans="1:28" s="18" customFormat="1" ht="13.5" thickBot="1">
      <c r="A28" s="761" t="s">
        <v>23</v>
      </c>
      <c r="B28" s="761"/>
      <c r="C28" s="473">
        <f>COUNTA(C6:C27)</f>
        <v>2</v>
      </c>
      <c r="D28" s="473">
        <f>COUNTA(B6:B27)-C28</f>
        <v>20</v>
      </c>
      <c r="E28" s="161">
        <f>SUM(E6:E27)</f>
        <v>1210</v>
      </c>
      <c r="F28" s="48"/>
      <c r="G28" s="48"/>
      <c r="H28" s="48"/>
      <c r="I28" s="48"/>
      <c r="J28" s="48"/>
      <c r="K28" s="48"/>
      <c r="L28" s="48">
        <f t="shared" ref="L28:AB28" si="38">SUM(L6:L27)</f>
        <v>1000.0000000000001</v>
      </c>
      <c r="M28" s="48">
        <f t="shared" si="38"/>
        <v>1000.0000000000001</v>
      </c>
      <c r="N28" s="48">
        <f t="shared" si="38"/>
        <v>1000.0000000000001</v>
      </c>
      <c r="O28" s="61">
        <f t="shared" si="38"/>
        <v>6.6400000000000006</v>
      </c>
      <c r="P28" s="481">
        <f t="shared" si="38"/>
        <v>1000.0000000000001</v>
      </c>
      <c r="Q28" s="527">
        <f t="shared" si="38"/>
        <v>1.0000000000000004</v>
      </c>
      <c r="R28" s="533">
        <f t="shared" si="38"/>
        <v>6.6400000000000006</v>
      </c>
      <c r="S28" s="543">
        <f t="shared" si="38"/>
        <v>1</v>
      </c>
      <c r="T28" s="490">
        <f t="shared" ref="T28:AA28" si="39">SUM(T6:T27)</f>
        <v>999.99999999999943</v>
      </c>
      <c r="U28" s="490">
        <f t="shared" si="39"/>
        <v>999.99999999999943</v>
      </c>
      <c r="V28" s="491">
        <f t="shared" si="39"/>
        <v>999.99999999999943</v>
      </c>
      <c r="W28" s="529">
        <f t="shared" si="39"/>
        <v>0.93669999999999998</v>
      </c>
      <c r="X28" s="484">
        <f t="shared" si="39"/>
        <v>937.37999999999954</v>
      </c>
      <c r="Y28" s="48">
        <f t="shared" si="39"/>
        <v>937.37999999999954</v>
      </c>
      <c r="Z28" s="48">
        <f t="shared" si="39"/>
        <v>937.37999999999954</v>
      </c>
      <c r="AA28" s="48">
        <f t="shared" si="39"/>
        <v>936.70000000000027</v>
      </c>
      <c r="AB28" s="479">
        <f t="shared" ca="1" si="38"/>
        <v>1479.9999999999995</v>
      </c>
    </row>
    <row r="30" spans="1:28" ht="55.5">
      <c r="A30" s="520" t="s">
        <v>491</v>
      </c>
      <c r="B30" s="521">
        <v>0</v>
      </c>
      <c r="C30" s="519" t="s">
        <v>257</v>
      </c>
      <c r="D30" s="765" t="s">
        <v>225</v>
      </c>
      <c r="E30" s="766"/>
      <c r="F30" s="766"/>
      <c r="G30" s="766"/>
      <c r="H30" s="766"/>
      <c r="I30" s="766"/>
      <c r="J30" s="766"/>
      <c r="K30" s="766"/>
      <c r="L30" s="766"/>
      <c r="M30" s="766"/>
      <c r="N30" s="766"/>
      <c r="O30" s="766"/>
      <c r="P30" s="766"/>
      <c r="Q30" s="766"/>
      <c r="R30" s="766"/>
      <c r="S30" s="766"/>
      <c r="T30" s="766"/>
      <c r="U30" s="766"/>
      <c r="V30" s="766"/>
      <c r="W30" s="766"/>
      <c r="X30" s="766"/>
      <c r="Y30" s="766"/>
      <c r="Z30" s="766"/>
      <c r="AA30" s="766"/>
      <c r="AB30" s="767"/>
    </row>
    <row r="37" spans="29:29">
      <c r="AC37" s="9"/>
    </row>
  </sheetData>
  <sheetProtection password="E4A3" sheet="1" objects="1" scenarios="1"/>
  <mergeCells count="16">
    <mergeCell ref="D1:K1"/>
    <mergeCell ref="L1:V1"/>
    <mergeCell ref="W1:AB1"/>
    <mergeCell ref="P2:AB2"/>
    <mergeCell ref="G2:O2"/>
    <mergeCell ref="A28:B28"/>
    <mergeCell ref="L3:Q3"/>
    <mergeCell ref="W3:AA3"/>
    <mergeCell ref="D30:AB30"/>
    <mergeCell ref="B2:F2"/>
    <mergeCell ref="B3:E3"/>
    <mergeCell ref="F3:H3"/>
    <mergeCell ref="I3:K3"/>
    <mergeCell ref="R3:V3"/>
    <mergeCell ref="A2:A4"/>
    <mergeCell ref="AB3:AB4"/>
  </mergeCells>
  <conditionalFormatting sqref="C6:C27">
    <cfRule type="cellIs" dxfId="347" priority="67" operator="equal">
      <formula>"ΝΑΙ"</formula>
    </cfRule>
  </conditionalFormatting>
  <dataValidations count="1">
    <dataValidation type="list" allowBlank="1" showInputMessage="1" showErrorMessage="1" sqref="C6:C27">
      <formula1>$C$30:$C$30</formula1>
    </dataValidation>
  </dataValidations>
  <hyperlinks>
    <hyperlink ref="D30:AB30" location="ΠΛΟΗΓΗΣΗ!A1" display="Επιστροφή   στην   ΠΛΟΗΓΗΣΗ"/>
  </hyperlinks>
  <pageMargins left="0.19685039370078741" right="0.39370078740157483" top="0.39370078740157483" bottom="0.39370078740157483" header="0.31496062992125984" footer="0.31496062992125984"/>
  <pageSetup paperSize="9" orientation="landscape" r:id="rId1"/>
  <customProperties>
    <customPr name="DVSECTIONID" r:id="rId2"/>
  </customProperties>
  <drawing r:id="rId3"/>
  <legacyDrawing r:id="rId4"/>
</worksheet>
</file>

<file path=xl/worksheets/sheet8.xml><?xml version="1.0" encoding="utf-8"?>
<worksheet xmlns="http://schemas.openxmlformats.org/spreadsheetml/2006/main" xmlns:r="http://schemas.openxmlformats.org/officeDocument/2006/relationships">
  <sheetPr codeName="Φύλλο25">
    <tabColor rgb="FFFF0000"/>
  </sheetPr>
  <dimension ref="A1:R29"/>
  <sheetViews>
    <sheetView zoomScale="120" zoomScaleNormal="120" workbookViewId="0">
      <selection activeCell="E5" sqref="E5"/>
    </sheetView>
  </sheetViews>
  <sheetFormatPr defaultColWidth="9.140625" defaultRowHeight="12"/>
  <cols>
    <col min="1" max="1" width="3.7109375" style="16" bestFit="1" customWidth="1"/>
    <col min="2" max="2" width="8.5703125" style="16" bestFit="1" customWidth="1"/>
    <col min="3" max="3" width="7" style="16" bestFit="1" customWidth="1"/>
    <col min="4" max="4" width="7.42578125" style="16" bestFit="1" customWidth="1"/>
    <col min="5" max="5" width="7.42578125" style="16" customWidth="1"/>
    <col min="6" max="6" width="7.5703125" style="16" bestFit="1" customWidth="1"/>
    <col min="7" max="7" width="7.5703125" style="16" customWidth="1"/>
    <col min="8" max="11" width="7.28515625" style="16" bestFit="1" customWidth="1"/>
    <col min="12" max="12" width="12.5703125" style="16" bestFit="1" customWidth="1"/>
    <col min="13" max="13" width="7.7109375" style="16" bestFit="1" customWidth="1"/>
    <col min="14" max="14" width="18.85546875" style="16" bestFit="1" customWidth="1"/>
    <col min="15" max="15" width="10" style="16" bestFit="1" customWidth="1"/>
    <col min="16" max="16" width="6.42578125" style="16" customWidth="1"/>
    <col min="17" max="17" width="8.5703125" style="16" bestFit="1" customWidth="1"/>
    <col min="18" max="18" width="6.140625" style="16" bestFit="1" customWidth="1"/>
    <col min="19" max="16384" width="9.140625" style="16"/>
  </cols>
  <sheetData>
    <row r="1" spans="1:18" s="14" customFormat="1" ht="94.5" customHeight="1">
      <c r="B1" s="15"/>
      <c r="C1" s="15"/>
      <c r="D1" s="786" t="str">
        <f>ΣΤΟΙΧΕΙΑ!C6</f>
        <v>ΑΥΤΟΝΟΜΗ  ΘΕΡΜΑΝΣΗ:</v>
      </c>
      <c r="E1" s="786"/>
      <c r="F1" s="786"/>
      <c r="G1" s="786"/>
      <c r="H1" s="786"/>
      <c r="I1" s="786"/>
      <c r="J1" s="786"/>
      <c r="K1" s="786"/>
      <c r="L1" s="786"/>
      <c r="M1" s="786"/>
      <c r="N1" s="788">
        <f>ΣΤΟΙΧΕΙΑ!C10</f>
        <v>40878</v>
      </c>
      <c r="O1" s="788"/>
      <c r="P1" s="787">
        <f>ΣΤΟΙΧΕΙΑ!C9</f>
        <v>40878</v>
      </c>
      <c r="Q1" s="787"/>
      <c r="R1" s="787"/>
    </row>
    <row r="2" spans="1:18" ht="15.75">
      <c r="A2" s="774" t="s">
        <v>24</v>
      </c>
      <c r="B2" s="768" t="str">
        <f>ΣΤΟΙΧΕΙΑ!C2</f>
        <v>Πολυκατοικία :</v>
      </c>
      <c r="C2" s="769"/>
      <c r="D2" s="769"/>
      <c r="E2" s="769"/>
      <c r="F2" s="769"/>
      <c r="G2" s="769"/>
      <c r="H2" s="769"/>
      <c r="I2" s="785" t="str">
        <f>ΣΤΟΙΧΕΙΑ!C12</f>
        <v>Διευθύνση 123</v>
      </c>
      <c r="J2" s="785"/>
      <c r="K2" s="785"/>
      <c r="L2" s="785"/>
      <c r="M2" s="789" t="str">
        <f>ΣΤΟΙΧΕΙΑ!C13</f>
        <v>Νεάπολη - ΑΤΤΙΚΗΣ.</v>
      </c>
      <c r="N2" s="789"/>
      <c r="O2" s="790"/>
      <c r="P2" s="741" t="s">
        <v>20</v>
      </c>
      <c r="Q2" s="714"/>
      <c r="R2" s="714"/>
    </row>
    <row r="3" spans="1:18" s="9" customFormat="1">
      <c r="A3" s="776"/>
      <c r="B3" s="563" t="s">
        <v>11</v>
      </c>
      <c r="C3" s="333" t="s">
        <v>0</v>
      </c>
      <c r="D3" s="333" t="s">
        <v>1</v>
      </c>
      <c r="E3" s="622" t="s">
        <v>588</v>
      </c>
      <c r="F3" s="333" t="s">
        <v>2</v>
      </c>
      <c r="G3" s="565" t="s">
        <v>3</v>
      </c>
      <c r="H3" s="565" t="s">
        <v>603</v>
      </c>
      <c r="I3" s="333" t="s">
        <v>4</v>
      </c>
      <c r="J3" s="333" t="s">
        <v>5</v>
      </c>
      <c r="K3" s="333" t="s">
        <v>6</v>
      </c>
      <c r="L3" s="333" t="s">
        <v>7</v>
      </c>
      <c r="M3" s="333" t="s">
        <v>8</v>
      </c>
      <c r="N3" s="384" t="s">
        <v>9</v>
      </c>
      <c r="O3" s="333" t="s">
        <v>10</v>
      </c>
      <c r="P3" s="45" t="s">
        <v>21</v>
      </c>
      <c r="Q3" s="64" t="s">
        <v>163</v>
      </c>
      <c r="R3" s="45" t="s">
        <v>22</v>
      </c>
    </row>
    <row r="4" spans="1:18" s="9" customFormat="1" ht="15.75">
      <c r="A4" s="293">
        <v>1</v>
      </c>
      <c r="B4" s="293" t="s">
        <v>589</v>
      </c>
      <c r="C4" s="293">
        <v>3</v>
      </c>
      <c r="D4" s="293">
        <v>4</v>
      </c>
      <c r="E4" s="293" t="s">
        <v>590</v>
      </c>
      <c r="F4" s="293">
        <v>6</v>
      </c>
      <c r="G4" s="560" t="s">
        <v>591</v>
      </c>
      <c r="H4" s="560" t="s">
        <v>592</v>
      </c>
      <c r="I4" s="560" t="s">
        <v>593</v>
      </c>
      <c r="J4" s="560" t="s">
        <v>594</v>
      </c>
      <c r="K4" s="560" t="s">
        <v>595</v>
      </c>
      <c r="L4" s="560" t="s">
        <v>596</v>
      </c>
      <c r="M4" s="560" t="s">
        <v>597</v>
      </c>
      <c r="N4" s="560" t="s">
        <v>598</v>
      </c>
      <c r="O4" s="560" t="s">
        <v>599</v>
      </c>
      <c r="P4" s="526">
        <f>IFERROR(VLOOKUP(ΣΤΟΙΧΕΙΑ!$C$11,Πετρέλαιο!$B$13:$V$33,20,FALSE),0)</f>
        <v>840.6</v>
      </c>
      <c r="Q4" s="456">
        <f>IFERROR(R4/P4,0)</f>
        <v>0.83273852010468707</v>
      </c>
      <c r="R4" s="526">
        <f>IFERROR(VLOOKUP(ΣΤΟΙΧΕΙΑ!$C$11,Πετρέλαιο!$B$13:$V$33,21,FALSE),0)</f>
        <v>700</v>
      </c>
    </row>
    <row r="5" spans="1:18" ht="15">
      <c r="A5" s="45">
        <f>IF(B5="","",1)</f>
        <v>1</v>
      </c>
      <c r="B5" s="44" t="str">
        <f>IF(Διαμερίσματα!B6="","",Διαμερίσματα!B6)</f>
        <v>Κ1</v>
      </c>
      <c r="C5" s="46">
        <f>IF(Διαμερίσματα!R6="","",Διαμερίσματα!R6)</f>
        <v>0.35</v>
      </c>
      <c r="D5" s="47">
        <f>IF(Διαμερίσματα!Q6="","",Διαμερίσματα!Q6)</f>
        <v>7.5050709939148072E-2</v>
      </c>
      <c r="E5" s="976">
        <v>1</v>
      </c>
      <c r="F5" s="65">
        <f ca="1">IFERROR(HLOOKUP(ΣΤΟΙΧΕΙΑ!$C$11,Ώρες!$D$29:$P$52,2+A5,FALSE),0)</f>
        <v>0</v>
      </c>
      <c r="G5" s="66">
        <f>IF(C5="","",C5*D5)</f>
        <v>2.6267748478701825E-2</v>
      </c>
      <c r="H5" s="625">
        <f>IF(C5="","",C5*D5*((1-E5)/1))</f>
        <v>0</v>
      </c>
      <c r="I5" s="47">
        <f ca="1">IF(D5="","",IF(F5="",0,F5*D5))</f>
        <v>0</v>
      </c>
      <c r="J5" s="67">
        <f t="shared" ref="J5:J14" ca="1" si="0">IF(C5="","",$I$27)</f>
        <v>20.545852460766522</v>
      </c>
      <c r="K5" s="67">
        <f t="shared" ref="K5:K14" si="1">IF(C5="","",$H$27)</f>
        <v>2.3252909149140601E-2</v>
      </c>
      <c r="L5" s="67">
        <f ca="1">IFERROR(IF(C5="","",I5/J5),0)</f>
        <v>0</v>
      </c>
      <c r="M5" s="67">
        <f t="shared" ref="M5:M14" si="2">IF(C5="","",1-K5)</f>
        <v>0.97674709085085942</v>
      </c>
      <c r="N5" s="68">
        <f t="shared" ref="N5:N14" ca="1" si="3">IF(C5="","",L5*M5)</f>
        <v>0</v>
      </c>
      <c r="O5" s="69">
        <f t="shared" ref="O5:O14" ca="1" si="4">IF(C5="","",H5+N5)</f>
        <v>0</v>
      </c>
      <c r="P5" s="70">
        <f ca="1">IFERROR(IF(C5="","",$P$4*R5/$R$4),0)</f>
        <v>0</v>
      </c>
      <c r="Q5" s="525" t="str">
        <f>IF(Διαμερίσματα!I6="","",Διαμερίσματα!I6)</f>
        <v>Ιδιοκτήτης-1</v>
      </c>
      <c r="R5" s="71">
        <f ca="1">IF(C5="","",IFERROR(O5*$R$4,0))</f>
        <v>0</v>
      </c>
    </row>
    <row r="6" spans="1:18">
      <c r="A6" s="45">
        <f>IF(B6="","",A5+1)</f>
        <v>2</v>
      </c>
      <c r="B6" s="44" t="str">
        <f>IF(Διαμερίσματα!B7="","",Διαμερίσματα!B7)</f>
        <v>Κ2</v>
      </c>
      <c r="C6" s="46">
        <f>IF(Διαμερίσματα!R7="","",Διαμερίσματα!R7)</f>
        <v>0.41</v>
      </c>
      <c r="D6" s="47">
        <f>IF(Διαμερίσματα!Q7="","",Διαμερίσματα!Q7)</f>
        <v>6.3841144443258252E-2</v>
      </c>
      <c r="E6" s="623">
        <v>0.5</v>
      </c>
      <c r="F6" s="65">
        <f ca="1">IFERROR(HLOOKUP(ΣΤΟΙΧΕΙΑ!$C$11,Ώρες!$D$29:$P$52,2+A6,FALSE),0)</f>
        <v>0</v>
      </c>
      <c r="G6" s="66">
        <f t="shared" ref="G6:G26" si="5">IF(C6="","",C6*D6)</f>
        <v>2.6174869221735883E-2</v>
      </c>
      <c r="H6" s="625">
        <f t="shared" ref="H6:H26" si="6">IF(C6="","",C6*D6*((1-E6)/1))</f>
        <v>1.3087434610867942E-2</v>
      </c>
      <c r="I6" s="47">
        <f t="shared" ref="I6:I14" ca="1" si="7">IF(D6="","",IF(F6="",0,F6*D6))</f>
        <v>0</v>
      </c>
      <c r="J6" s="67">
        <f t="shared" ca="1" si="0"/>
        <v>20.545852460766522</v>
      </c>
      <c r="K6" s="67">
        <f t="shared" si="1"/>
        <v>2.3252909149140601E-2</v>
      </c>
      <c r="L6" s="67">
        <f t="shared" ref="L6:L14" ca="1" si="8">IFERROR(IF(C6="","",I6/J6),0)</f>
        <v>0</v>
      </c>
      <c r="M6" s="67">
        <f t="shared" si="2"/>
        <v>0.97674709085085942</v>
      </c>
      <c r="N6" s="68">
        <f t="shared" ca="1" si="3"/>
        <v>0</v>
      </c>
      <c r="O6" s="69">
        <f t="shared" ca="1" si="4"/>
        <v>1.3087434610867942E-2</v>
      </c>
      <c r="P6" s="70">
        <f t="shared" ref="P6:P14" ca="1" si="9">IFERROR(IF(C6="","",$P$4*R6/$R$4),0)</f>
        <v>11.001297533895592</v>
      </c>
      <c r="Q6" s="525" t="str">
        <f>IF(Διαμερίσματα!I7="","",Διαμερίσματα!I7)</f>
        <v>Ιδιοκτήτης-2</v>
      </c>
      <c r="R6" s="71">
        <f t="shared" ref="R6:R14" ca="1" si="10">IF(C6="","",IFERROR(O6*$R$4,0))</f>
        <v>9.1612042276075591</v>
      </c>
    </row>
    <row r="7" spans="1:18">
      <c r="A7" s="45">
        <f t="shared" ref="A7:A13" si="11">IF(B7="","",A6+1)</f>
        <v>3</v>
      </c>
      <c r="B7" s="44" t="str">
        <f>IF(Διαμερίσματα!B8="","",Διαμερίσματα!B8)</f>
        <v>Κ3</v>
      </c>
      <c r="C7" s="46">
        <f>IF(Διαμερίσματα!R8="","",Διαμερίσματα!R8)</f>
        <v>0.36</v>
      </c>
      <c r="D7" s="47">
        <f>IF(Διαμερίσματα!Q8="","",Διαμερίσματα!Q8)</f>
        <v>5.6474858545959225E-2</v>
      </c>
      <c r="E7" s="623">
        <v>0.5</v>
      </c>
      <c r="F7" s="65">
        <f ca="1">IFERROR(HLOOKUP(ΣΤΟΙΧΕΙΑ!$C$11,Ώρες!$D$29:$P$52,2+A7,FALSE),0)</f>
        <v>99</v>
      </c>
      <c r="G7" s="66">
        <f t="shared" si="5"/>
        <v>2.033094907654532E-2</v>
      </c>
      <c r="H7" s="625">
        <f t="shared" si="6"/>
        <v>1.016547453827266E-2</v>
      </c>
      <c r="I7" s="47">
        <f t="shared" ca="1" si="7"/>
        <v>5.5910109960499632</v>
      </c>
      <c r="J7" s="67">
        <f t="shared" ca="1" si="0"/>
        <v>20.545852460766522</v>
      </c>
      <c r="K7" s="67">
        <f t="shared" si="1"/>
        <v>2.3252909149140601E-2</v>
      </c>
      <c r="L7" s="67">
        <f t="shared" ca="1" si="8"/>
        <v>0.27212358342036758</v>
      </c>
      <c r="M7" s="67">
        <f t="shared" si="2"/>
        <v>0.97674709085085942</v>
      </c>
      <c r="N7" s="68">
        <f t="shared" ca="1" si="3"/>
        <v>0.26579591845775519</v>
      </c>
      <c r="O7" s="69">
        <f t="shared" ca="1" si="4"/>
        <v>0.27596139299602784</v>
      </c>
      <c r="P7" s="70">
        <f t="shared" ca="1" si="9"/>
        <v>231.97314695246098</v>
      </c>
      <c r="Q7" s="525" t="str">
        <f>IF(Διαμερίσματα!I8="","",Διαμερίσματα!I8)</f>
        <v>Ιδιοκτήτης-3</v>
      </c>
      <c r="R7" s="71">
        <f t="shared" ca="1" si="10"/>
        <v>193.17297509721948</v>
      </c>
    </row>
    <row r="8" spans="1:18">
      <c r="A8" s="45">
        <f t="shared" si="11"/>
        <v>4</v>
      </c>
      <c r="B8" s="44" t="str">
        <f>IF(Διαμερίσματα!B9="","",Διαμερίσματα!B9)</f>
        <v>Α1</v>
      </c>
      <c r="C8" s="46">
        <f>IF(Διαμερίσματα!R9="","",Διαμερίσματα!R9)</f>
        <v>0.31</v>
      </c>
      <c r="D8" s="47">
        <f>IF(Διαμερίσματα!Q9="","",Διαμερίσματα!Q9)</f>
        <v>7.9641293904131522E-2</v>
      </c>
      <c r="E8" s="657">
        <f>$E$5</f>
        <v>1</v>
      </c>
      <c r="F8" s="65">
        <f ca="1">IFERROR(HLOOKUP(ΣΤΟΙΧΕΙΑ!$C$11,Ώρες!$D$29:$P$52,2+A8,FALSE),0)</f>
        <v>56</v>
      </c>
      <c r="G8" s="66">
        <f t="shared" si="5"/>
        <v>2.468880111028077E-2</v>
      </c>
      <c r="H8" s="625">
        <f t="shared" si="6"/>
        <v>0</v>
      </c>
      <c r="I8" s="47">
        <f t="shared" ca="1" si="7"/>
        <v>4.459912458631365</v>
      </c>
      <c r="J8" s="67">
        <f t="shared" ca="1" si="0"/>
        <v>20.545852460766522</v>
      </c>
      <c r="K8" s="67">
        <f t="shared" si="1"/>
        <v>2.3252909149140601E-2</v>
      </c>
      <c r="L8" s="67">
        <f t="shared" ca="1" si="8"/>
        <v>0.21707118101562456</v>
      </c>
      <c r="M8" s="67">
        <f t="shared" si="2"/>
        <v>0.97674709085085942</v>
      </c>
      <c r="N8" s="68">
        <f t="shared" ca="1" si="3"/>
        <v>0.2120236445645716</v>
      </c>
      <c r="O8" s="69">
        <f t="shared" ca="1" si="4"/>
        <v>0.2120236445645716</v>
      </c>
      <c r="P8" s="70">
        <f t="shared" ca="1" si="9"/>
        <v>178.22707562097892</v>
      </c>
      <c r="Q8" s="525" t="str">
        <f>IF(Διαμερίσματα!I9="","",Διαμερίσματα!I9)</f>
        <v>Ιδιοκτήτης-4</v>
      </c>
      <c r="R8" s="71">
        <f t="shared" ca="1" si="10"/>
        <v>148.41655119520013</v>
      </c>
    </row>
    <row r="9" spans="1:18">
      <c r="A9" s="45">
        <f t="shared" si="11"/>
        <v>5</v>
      </c>
      <c r="B9" s="44" t="str">
        <f>IF(Διαμερίσματα!B10="","",Διαμερίσματα!B10)</f>
        <v>Α2</v>
      </c>
      <c r="C9" s="46">
        <f>IF(Διαμερίσματα!R10="","",Διαμερίσματα!R10)</f>
        <v>0.46</v>
      </c>
      <c r="D9" s="47">
        <f>IF(Διαμερίσματα!Q10="","",Διαμερίσματα!Q10)</f>
        <v>6.1065442510942675E-2</v>
      </c>
      <c r="E9" s="657">
        <f t="shared" ref="E9:E26" si="12">$E$5</f>
        <v>1</v>
      </c>
      <c r="F9" s="65">
        <f ca="1">IFERROR(HLOOKUP(ΣΤΟΙΧΕΙΑ!$C$11,Ώρες!$D$29:$P$52,2+A9,FALSE),0)</f>
        <v>67</v>
      </c>
      <c r="G9" s="66">
        <f t="shared" si="5"/>
        <v>2.8090103555033632E-2</v>
      </c>
      <c r="H9" s="625">
        <f t="shared" si="6"/>
        <v>0</v>
      </c>
      <c r="I9" s="47">
        <f t="shared" ca="1" si="7"/>
        <v>4.0913846482331593</v>
      </c>
      <c r="J9" s="67">
        <f t="shared" ca="1" si="0"/>
        <v>20.545852460766522</v>
      </c>
      <c r="K9" s="67">
        <f t="shared" si="1"/>
        <v>2.3252909149140601E-2</v>
      </c>
      <c r="L9" s="67">
        <f t="shared" ca="1" si="8"/>
        <v>0.1991343340971562</v>
      </c>
      <c r="M9" s="67">
        <f t="shared" si="2"/>
        <v>0.97674709085085942</v>
      </c>
      <c r="N9" s="68">
        <f t="shared" ca="1" si="3"/>
        <v>0.19450388151792042</v>
      </c>
      <c r="O9" s="69">
        <f t="shared" ca="1" si="4"/>
        <v>0.19450388151792042</v>
      </c>
      <c r="P9" s="70">
        <f t="shared" ca="1" si="9"/>
        <v>163.49996280396391</v>
      </c>
      <c r="Q9" s="525" t="str">
        <f>IF(Διαμερίσματα!I10="","",Διαμερίσματα!I10)</f>
        <v>Ιδιοκτήτης-5</v>
      </c>
      <c r="R9" s="71">
        <f t="shared" ca="1" si="10"/>
        <v>136.1527170625443</v>
      </c>
    </row>
    <row r="10" spans="1:18">
      <c r="A10" s="45">
        <f t="shared" si="11"/>
        <v>6</v>
      </c>
      <c r="B10" s="44" t="str">
        <f>IF(Διαμερίσματα!B11="","",Διαμερίσματα!B11)</f>
        <v>Α3</v>
      </c>
      <c r="C10" s="46">
        <f>IF(Διαμερίσματα!R11="","",Διαμερίσματα!R11)</f>
        <v>0.31</v>
      </c>
      <c r="D10" s="47">
        <f>IF(Διαμερίσματα!Q11="","",Διαμερίσματα!Q11)</f>
        <v>8.0388598270524192E-2</v>
      </c>
      <c r="E10" s="657">
        <f t="shared" si="12"/>
        <v>1</v>
      </c>
      <c r="F10" s="65">
        <f ca="1">IFERROR(HLOOKUP(ΣΤΟΙΧΕΙΑ!$C$11,Ώρες!$D$29:$P$52,2+A10,FALSE),0)</f>
        <v>0</v>
      </c>
      <c r="G10" s="66">
        <f t="shared" si="5"/>
        <v>2.49204654638625E-2</v>
      </c>
      <c r="H10" s="625">
        <f t="shared" si="6"/>
        <v>0</v>
      </c>
      <c r="I10" s="47">
        <f t="shared" ca="1" si="7"/>
        <v>0</v>
      </c>
      <c r="J10" s="67">
        <f t="shared" ca="1" si="0"/>
        <v>20.545852460766522</v>
      </c>
      <c r="K10" s="67">
        <f t="shared" si="1"/>
        <v>2.3252909149140601E-2</v>
      </c>
      <c r="L10" s="67">
        <f t="shared" ca="1" si="8"/>
        <v>0</v>
      </c>
      <c r="M10" s="67">
        <f t="shared" si="2"/>
        <v>0.97674709085085942</v>
      </c>
      <c r="N10" s="68">
        <f t="shared" ca="1" si="3"/>
        <v>0</v>
      </c>
      <c r="O10" s="69">
        <f t="shared" ca="1" si="4"/>
        <v>0</v>
      </c>
      <c r="P10" s="70">
        <f t="shared" ca="1" si="9"/>
        <v>0</v>
      </c>
      <c r="Q10" s="525" t="str">
        <f>IF(Διαμερίσματα!I11="","",Διαμερίσματα!I11)</f>
        <v>Ιδιοκτήτης-6</v>
      </c>
      <c r="R10" s="71">
        <f t="shared" ca="1" si="10"/>
        <v>0</v>
      </c>
    </row>
    <row r="11" spans="1:18">
      <c r="A11" s="45">
        <f t="shared" si="11"/>
        <v>7</v>
      </c>
      <c r="B11" s="44" t="str">
        <f>IF(Διαμερίσματα!B12="","",Διαμερίσματα!B12)</f>
        <v>Α4</v>
      </c>
      <c r="C11" s="46">
        <f>IF(Διαμερίσματα!R12="","",Διαμερίσματα!R12)</f>
        <v>0.33</v>
      </c>
      <c r="D11" s="47">
        <f>IF(Διαμερίσματα!Q12="","",Διαμερίσματα!Q12)</f>
        <v>3.9393615885555677E-2</v>
      </c>
      <c r="E11" s="657">
        <f t="shared" si="12"/>
        <v>1</v>
      </c>
      <c r="F11" s="65">
        <f ca="1">IFERROR(HLOOKUP(ΣΤΟΙΧΕΙΑ!$C$11,Ώρες!$D$29:$P$52,2+A11,FALSE),0)</f>
        <v>0</v>
      </c>
      <c r="G11" s="66">
        <f t="shared" si="5"/>
        <v>1.2999893242233374E-2</v>
      </c>
      <c r="H11" s="625">
        <f t="shared" si="6"/>
        <v>0</v>
      </c>
      <c r="I11" s="47">
        <f t="shared" ca="1" si="7"/>
        <v>0</v>
      </c>
      <c r="J11" s="67">
        <f t="shared" ca="1" si="0"/>
        <v>20.545852460766522</v>
      </c>
      <c r="K11" s="67">
        <f t="shared" si="1"/>
        <v>2.3252909149140601E-2</v>
      </c>
      <c r="L11" s="67">
        <f t="shared" ca="1" si="8"/>
        <v>0</v>
      </c>
      <c r="M11" s="67">
        <f t="shared" si="2"/>
        <v>0.97674709085085942</v>
      </c>
      <c r="N11" s="68">
        <f t="shared" ca="1" si="3"/>
        <v>0</v>
      </c>
      <c r="O11" s="69">
        <f t="shared" ca="1" si="4"/>
        <v>0</v>
      </c>
      <c r="P11" s="70">
        <f t="shared" ca="1" si="9"/>
        <v>0</v>
      </c>
      <c r="Q11" s="525" t="str">
        <f>IF(Διαμερίσματα!I12="","",Διαμερίσματα!I12)</f>
        <v>Ιδιοκτήτης-7</v>
      </c>
      <c r="R11" s="71">
        <f t="shared" ca="1" si="10"/>
        <v>0</v>
      </c>
    </row>
    <row r="12" spans="1:18">
      <c r="A12" s="45">
        <f t="shared" si="11"/>
        <v>8</v>
      </c>
      <c r="B12" s="44" t="str">
        <f>IF(Διαμερίσματα!B13="","",Διαμερίσματα!B13)</f>
        <v>Β1</v>
      </c>
      <c r="C12" s="46">
        <f>IF(Διαμερίσματα!R13="","",Διαμερίσματα!R13)</f>
        <v>0.41</v>
      </c>
      <c r="D12" s="47">
        <f>IF(Διαμερίσματα!Q13="","",Διαμερίσματα!Q13)</f>
        <v>6.9392548307889407E-2</v>
      </c>
      <c r="E12" s="657">
        <f t="shared" si="12"/>
        <v>1</v>
      </c>
      <c r="F12" s="65">
        <f ca="1">IFERROR(HLOOKUP(ΣΤΟΙΧΕΙΑ!$C$11,Ώρες!$D$29:$P$52,2+A12,FALSE),0)</f>
        <v>21</v>
      </c>
      <c r="G12" s="66">
        <f t="shared" si="5"/>
        <v>2.8450944806234654E-2</v>
      </c>
      <c r="H12" s="625">
        <f t="shared" si="6"/>
        <v>0</v>
      </c>
      <c r="I12" s="47">
        <f t="shared" ca="1" si="7"/>
        <v>1.4572435144656775</v>
      </c>
      <c r="J12" s="67">
        <f t="shared" ca="1" si="0"/>
        <v>20.545852460766522</v>
      </c>
      <c r="K12" s="67">
        <f t="shared" si="1"/>
        <v>2.3252909149140601E-2</v>
      </c>
      <c r="L12" s="67">
        <f t="shared" ca="1" si="8"/>
        <v>7.0926408006110581E-2</v>
      </c>
      <c r="M12" s="67">
        <f t="shared" si="2"/>
        <v>0.97674709085085942</v>
      </c>
      <c r="N12" s="68">
        <f t="shared" ca="1" si="3"/>
        <v>6.9277162684469609E-2</v>
      </c>
      <c r="O12" s="69">
        <f t="shared" ca="1" si="4"/>
        <v>6.9277162684469609E-2</v>
      </c>
      <c r="P12" s="70">
        <f t="shared" ca="1" si="9"/>
        <v>58.234382952565156</v>
      </c>
      <c r="Q12" s="525" t="str">
        <f>IF(Διαμερίσματα!I13="","",Διαμερίσματα!I13)</f>
        <v>Ιδιοκτήτης-8</v>
      </c>
      <c r="R12" s="71">
        <f t="shared" ca="1" si="10"/>
        <v>48.49401387912873</v>
      </c>
    </row>
    <row r="13" spans="1:18">
      <c r="A13" s="45">
        <f t="shared" si="11"/>
        <v>9</v>
      </c>
      <c r="B13" s="44" t="str">
        <f>IF(Διαμερίσματα!B14="","",Διαμερίσματα!B14)</f>
        <v>Β2</v>
      </c>
      <c r="C13" s="46">
        <f>IF(Διαμερίσματα!R14="","",Διαμερίσματα!R14)</f>
        <v>0.35</v>
      </c>
      <c r="D13" s="47">
        <f>IF(Διαμερίσματα!Q14="","",Διαμερίσματα!Q14)</f>
        <v>7.5904772072168253E-2</v>
      </c>
      <c r="E13" s="657">
        <f t="shared" si="12"/>
        <v>1</v>
      </c>
      <c r="F13" s="65">
        <f ca="1">IFERROR(HLOOKUP(ΣΤΟΙΧΕΙΑ!$C$11,Ώρες!$D$29:$P$52,2+A13,FALSE),0)</f>
        <v>12</v>
      </c>
      <c r="G13" s="66">
        <f t="shared" si="5"/>
        <v>2.6566670225258888E-2</v>
      </c>
      <c r="H13" s="625">
        <f t="shared" si="6"/>
        <v>0</v>
      </c>
      <c r="I13" s="47">
        <f t="shared" ca="1" si="7"/>
        <v>0.91085726486601903</v>
      </c>
      <c r="J13" s="67">
        <f t="shared" ca="1" si="0"/>
        <v>20.545852460766522</v>
      </c>
      <c r="K13" s="67">
        <f t="shared" si="1"/>
        <v>2.3252909149140601E-2</v>
      </c>
      <c r="L13" s="67">
        <f t="shared" ca="1" si="8"/>
        <v>4.4332902059204066E-2</v>
      </c>
      <c r="M13" s="67">
        <f t="shared" si="2"/>
        <v>0.97674709085085942</v>
      </c>
      <c r="N13" s="68">
        <f t="shared" ca="1" si="3"/>
        <v>4.3302033115303645E-2</v>
      </c>
      <c r="O13" s="69">
        <f t="shared" ca="1" si="4"/>
        <v>4.3302033115303645E-2</v>
      </c>
      <c r="P13" s="70">
        <f t="shared" ca="1" si="9"/>
        <v>36.399689036724247</v>
      </c>
      <c r="Q13" s="525" t="str">
        <f>IF(Διαμερίσματα!I14="","",Διαμερίσματα!I14)</f>
        <v>Ιδιοκτήτης-9</v>
      </c>
      <c r="R13" s="71">
        <f t="shared" ca="1" si="10"/>
        <v>30.311423180712552</v>
      </c>
    </row>
    <row r="14" spans="1:18">
      <c r="A14" s="45">
        <f>IF(B14="","",A13+1)</f>
        <v>10</v>
      </c>
      <c r="B14" s="44" t="str">
        <f>IF(Διαμερίσματα!B15="","",Διαμερίσματα!B15)</f>
        <v>Β3</v>
      </c>
      <c r="C14" s="46">
        <f>IF(Διαμερίσματα!R15="","",Διαμερίσματα!R15)</f>
        <v>0.35</v>
      </c>
      <c r="D14" s="47">
        <f>IF(Διαμερίσματα!Q15="","",Διαμερίσματα!Q15)</f>
        <v>6.7257392975338962E-2</v>
      </c>
      <c r="E14" s="657">
        <f t="shared" si="12"/>
        <v>1</v>
      </c>
      <c r="F14" s="65">
        <f ca="1">IFERROR(HLOOKUP(ΣΤΟΙΧΕΙΑ!$C$11,Ώρες!$D$29:$P$52,2+A14,FALSE),0)</f>
        <v>60</v>
      </c>
      <c r="G14" s="66">
        <f t="shared" si="5"/>
        <v>2.3540087541368635E-2</v>
      </c>
      <c r="H14" s="625">
        <f t="shared" si="6"/>
        <v>0</v>
      </c>
      <c r="I14" s="47">
        <f t="shared" ca="1" si="7"/>
        <v>4.0354435785203373</v>
      </c>
      <c r="J14" s="67">
        <f t="shared" ca="1" si="0"/>
        <v>20.545852460766522</v>
      </c>
      <c r="K14" s="67">
        <f t="shared" si="1"/>
        <v>2.3252909149140601E-2</v>
      </c>
      <c r="L14" s="67">
        <f t="shared" ca="1" si="8"/>
        <v>0.19641159140153699</v>
      </c>
      <c r="M14" s="67">
        <f t="shared" si="2"/>
        <v>0.97674709085085942</v>
      </c>
      <c r="N14" s="68">
        <f t="shared" ca="1" si="3"/>
        <v>0.19184445051083893</v>
      </c>
      <c r="O14" s="69">
        <f t="shared" ca="1" si="4"/>
        <v>0.19184445051083893</v>
      </c>
      <c r="P14" s="70">
        <f t="shared" ca="1" si="9"/>
        <v>161.2644450994112</v>
      </c>
      <c r="Q14" s="525" t="str">
        <f>IF(Διαμερίσματα!I15="","",Διαμερίσματα!I15)</f>
        <v>Ιδιοκτήτης-10</v>
      </c>
      <c r="R14" s="71">
        <f t="shared" ca="1" si="10"/>
        <v>134.29111535758724</v>
      </c>
    </row>
    <row r="15" spans="1:18">
      <c r="A15" s="458">
        <f t="shared" ref="A15:A26" si="13">IF(B15="","",A14+1)</f>
        <v>11</v>
      </c>
      <c r="B15" s="44" t="str">
        <f>IF(Διαμερίσματα!B16="","",Διαμερίσματα!B16)</f>
        <v>Β4</v>
      </c>
      <c r="C15" s="46">
        <f>IF(Διαμερίσματα!R16="","",Διαμερίσματα!R16)</f>
        <v>0.25</v>
      </c>
      <c r="D15" s="47">
        <f>IF(Διαμερίσματα!Q16="","",Διαμερίσματα!Q16)</f>
        <v>0</v>
      </c>
      <c r="E15" s="657">
        <f t="shared" si="12"/>
        <v>1</v>
      </c>
      <c r="F15" s="65">
        <f ca="1">IFERROR(HLOOKUP(ΣΤΟΙΧΕΙΑ!$C$11,Ώρες!$D$29:$P$52,2+A15,FALSE),0)</f>
        <v>72</v>
      </c>
      <c r="G15" s="66">
        <f t="shared" si="5"/>
        <v>0</v>
      </c>
      <c r="H15" s="625">
        <f t="shared" si="6"/>
        <v>0</v>
      </c>
      <c r="I15" s="47">
        <f t="shared" ref="I15" ca="1" si="14">IF(D15="","",IF(F15="",0,F15*D15))</f>
        <v>0</v>
      </c>
      <c r="J15" s="67">
        <f ca="1">IF(C15="","",$I$27)</f>
        <v>20.545852460766522</v>
      </c>
      <c r="K15" s="67">
        <f>IF(C15="","",$H$27)</f>
        <v>2.3252909149140601E-2</v>
      </c>
      <c r="L15" s="67">
        <f t="shared" ref="L15" ca="1" si="15">IFERROR(IF(C15="","",I15/J15),0)</f>
        <v>0</v>
      </c>
      <c r="M15" s="67">
        <f t="shared" ref="M15" si="16">IF(C15="","",1-K15)</f>
        <v>0.97674709085085942</v>
      </c>
      <c r="N15" s="68">
        <f t="shared" ref="N15" ca="1" si="17">IF(C15="","",L15*M15)</f>
        <v>0</v>
      </c>
      <c r="O15" s="69">
        <f t="shared" ref="O15" ca="1" si="18">IF(C15="","",H15+N15)</f>
        <v>0</v>
      </c>
      <c r="P15" s="70">
        <f t="shared" ref="P15" ca="1" si="19">IFERROR(IF(C15="","",$P$4*R15/$R$4),0)</f>
        <v>0</v>
      </c>
      <c r="Q15" s="525" t="str">
        <f>IF(Διαμερίσματα!I16="","",Διαμερίσματα!I16)</f>
        <v>Ιδιοκτήτης-11</v>
      </c>
      <c r="R15" s="71">
        <f t="shared" ref="R15" ca="1" si="20">IF(C15="","",IFERROR(O15*$R$4,0))</f>
        <v>0</v>
      </c>
    </row>
    <row r="16" spans="1:18">
      <c r="A16" s="536">
        <f t="shared" si="13"/>
        <v>12</v>
      </c>
      <c r="B16" s="44" t="str">
        <f>IF(Διαμερίσματα!B17="","",Διαμερίσματα!B17)</f>
        <v>Γ1</v>
      </c>
      <c r="C16" s="46">
        <f>IF(Διαμερίσματα!R17="","",Διαμερίσματα!R17)</f>
        <v>0.25</v>
      </c>
      <c r="D16" s="47">
        <f>IF(Διαμερίσματα!Q17="","",Διαμερίσματα!Q17)</f>
        <v>3.27746343546493E-2</v>
      </c>
      <c r="E16" s="657">
        <f t="shared" si="12"/>
        <v>1</v>
      </c>
      <c r="F16" s="65">
        <f ca="1">IFERROR(HLOOKUP(ΣΤΟΙΧΕΙΑ!$C$11,Ώρες!$D$29:$P$52,2+A16,FALSE),0)</f>
        <v>0</v>
      </c>
      <c r="G16" s="66">
        <f t="shared" si="5"/>
        <v>8.193658588662325E-3</v>
      </c>
      <c r="H16" s="625">
        <f t="shared" si="6"/>
        <v>0</v>
      </c>
      <c r="I16" s="47">
        <f t="shared" ref="I16:I26" ca="1" si="21">IF(D16="","",IF(F16="",0,F16*D16))</f>
        <v>0</v>
      </c>
      <c r="J16" s="67">
        <f t="shared" ref="J16:J26" ca="1" si="22">IF(C16="","",$I$27)</f>
        <v>20.545852460766522</v>
      </c>
      <c r="K16" s="67">
        <f t="shared" ref="K16:K26" si="23">IF(C16="","",$H$27)</f>
        <v>2.3252909149140601E-2</v>
      </c>
      <c r="L16" s="67">
        <f t="shared" ref="L16:L26" ca="1" si="24">IFERROR(IF(C16="","",I16/J16),0)</f>
        <v>0</v>
      </c>
      <c r="M16" s="67">
        <f t="shared" ref="M16:M26" si="25">IF(C16="","",1-K16)</f>
        <v>0.97674709085085942</v>
      </c>
      <c r="N16" s="68">
        <f t="shared" ref="N16:N26" ca="1" si="26">IF(C16="","",L16*M16)</f>
        <v>0</v>
      </c>
      <c r="O16" s="69">
        <f t="shared" ref="O16:O26" ca="1" si="27">IF(C16="","",H16+N16)</f>
        <v>0</v>
      </c>
      <c r="P16" s="70">
        <f t="shared" ref="P16:P26" ca="1" si="28">IFERROR(IF(C16="","",$P$4*R16/$R$4),0)</f>
        <v>0</v>
      </c>
      <c r="Q16" s="525" t="str">
        <f>IF(Διαμερίσματα!I17="","",Διαμερίσματα!I17)</f>
        <v>Ιδιοκτήτης-12</v>
      </c>
      <c r="R16" s="71">
        <f t="shared" ref="R16:R26" ca="1" si="29">IF(C16="","",IFERROR(O16*$R$4,0))</f>
        <v>0</v>
      </c>
    </row>
    <row r="17" spans="1:18">
      <c r="A17" s="536">
        <f t="shared" si="13"/>
        <v>13</v>
      </c>
      <c r="B17" s="44" t="str">
        <f>IF(Διαμερίσματα!B18="","",Διαμερίσματα!B18)</f>
        <v>Γ2</v>
      </c>
      <c r="C17" s="46">
        <f>IF(Διαμερίσματα!R18="","",Διαμερίσματα!R18)</f>
        <v>0.25</v>
      </c>
      <c r="D17" s="47">
        <f>IF(Διαμερίσματα!Q18="","",Διαμερίσματα!Q18)</f>
        <v>3.320166542115939E-2</v>
      </c>
      <c r="E17" s="657">
        <f t="shared" si="12"/>
        <v>1</v>
      </c>
      <c r="F17" s="65">
        <f ca="1">IFERROR(HLOOKUP(ΣΤΟΙΧΕΙΑ!$C$11,Ώρες!$D$29:$P$52,2+A17,FALSE),0)</f>
        <v>0</v>
      </c>
      <c r="G17" s="66">
        <f t="shared" si="5"/>
        <v>8.3004163552898476E-3</v>
      </c>
      <c r="H17" s="625">
        <f t="shared" si="6"/>
        <v>0</v>
      </c>
      <c r="I17" s="47">
        <f t="shared" ca="1" si="21"/>
        <v>0</v>
      </c>
      <c r="J17" s="67">
        <f t="shared" ca="1" si="22"/>
        <v>20.545852460766522</v>
      </c>
      <c r="K17" s="67">
        <f t="shared" si="23"/>
        <v>2.3252909149140601E-2</v>
      </c>
      <c r="L17" s="67">
        <f t="shared" ca="1" si="24"/>
        <v>0</v>
      </c>
      <c r="M17" s="67">
        <f t="shared" si="25"/>
        <v>0.97674709085085942</v>
      </c>
      <c r="N17" s="68">
        <f t="shared" ca="1" si="26"/>
        <v>0</v>
      </c>
      <c r="O17" s="69">
        <f t="shared" ca="1" si="27"/>
        <v>0</v>
      </c>
      <c r="P17" s="70">
        <f t="shared" ca="1" si="28"/>
        <v>0</v>
      </c>
      <c r="Q17" s="525" t="str">
        <f>IF(Διαμερίσματα!I18="","",Διαμερίσματα!I18)</f>
        <v>Ιδιοκτήτης-13</v>
      </c>
      <c r="R17" s="71">
        <f t="shared" ca="1" si="29"/>
        <v>0</v>
      </c>
    </row>
    <row r="18" spans="1:18">
      <c r="A18" s="536">
        <f t="shared" si="13"/>
        <v>14</v>
      </c>
      <c r="B18" s="44" t="str">
        <f>IF(Διαμερίσματα!B19="","",Διαμερίσματα!B19)</f>
        <v>Γ3</v>
      </c>
      <c r="C18" s="46">
        <f>IF(Διαμερίσματα!R19="","",Διαμερίσματα!R19)</f>
        <v>0.25</v>
      </c>
      <c r="D18" s="47">
        <f>IF(Διαμερίσματα!Q19="","",Διαμερίσματα!Q19)</f>
        <v>3.320166542115939E-2</v>
      </c>
      <c r="E18" s="657">
        <f t="shared" si="12"/>
        <v>1</v>
      </c>
      <c r="F18" s="65">
        <f ca="1">IFERROR(HLOOKUP(ΣΤΟΙΧΕΙΑ!$C$11,Ώρες!$D$29:$P$52,2+A18,FALSE),0)</f>
        <v>0</v>
      </c>
      <c r="G18" s="66">
        <f t="shared" si="5"/>
        <v>8.3004163552898476E-3</v>
      </c>
      <c r="H18" s="625">
        <f t="shared" si="6"/>
        <v>0</v>
      </c>
      <c r="I18" s="47">
        <f t="shared" ca="1" si="21"/>
        <v>0</v>
      </c>
      <c r="J18" s="67">
        <f t="shared" ca="1" si="22"/>
        <v>20.545852460766522</v>
      </c>
      <c r="K18" s="67">
        <f t="shared" si="23"/>
        <v>2.3252909149140601E-2</v>
      </c>
      <c r="L18" s="67">
        <f t="shared" ca="1" si="24"/>
        <v>0</v>
      </c>
      <c r="M18" s="67">
        <f t="shared" si="25"/>
        <v>0.97674709085085942</v>
      </c>
      <c r="N18" s="68">
        <f t="shared" ca="1" si="26"/>
        <v>0</v>
      </c>
      <c r="O18" s="69">
        <f t="shared" ca="1" si="27"/>
        <v>0</v>
      </c>
      <c r="P18" s="70">
        <f t="shared" ca="1" si="28"/>
        <v>0</v>
      </c>
      <c r="Q18" s="525" t="str">
        <f>IF(Διαμερίσματα!I19="","",Διαμερίσματα!I19)</f>
        <v>Ιδιοκτήτης-14</v>
      </c>
      <c r="R18" s="71">
        <f t="shared" ca="1" si="29"/>
        <v>0</v>
      </c>
    </row>
    <row r="19" spans="1:18">
      <c r="A19" s="536">
        <f t="shared" si="13"/>
        <v>15</v>
      </c>
      <c r="B19" s="44" t="str">
        <f>IF(Διαμερίσματα!B20="","",Διαμερίσματα!B20)</f>
        <v>Γ4</v>
      </c>
      <c r="C19" s="46">
        <f>IF(Διαμερίσματα!R20="","",Διαμερίσματα!R20)</f>
        <v>0.25</v>
      </c>
      <c r="D19" s="47">
        <f>IF(Διαμερίσματα!Q20="","",Διαμερίσματα!Q20)</f>
        <v>3.320166542115939E-2</v>
      </c>
      <c r="E19" s="657">
        <f t="shared" si="12"/>
        <v>1</v>
      </c>
      <c r="F19" s="65">
        <f ca="1">IFERROR(HLOOKUP(ΣΤΟΙΧΕΙΑ!$C$11,Ώρες!$D$29:$P$52,2+A19,FALSE),0)</f>
        <v>0</v>
      </c>
      <c r="G19" s="66">
        <f t="shared" si="5"/>
        <v>8.3004163552898476E-3</v>
      </c>
      <c r="H19" s="625">
        <f t="shared" si="6"/>
        <v>0</v>
      </c>
      <c r="I19" s="47">
        <f t="shared" ca="1" si="21"/>
        <v>0</v>
      </c>
      <c r="J19" s="67">
        <f t="shared" ca="1" si="22"/>
        <v>20.545852460766522</v>
      </c>
      <c r="K19" s="67">
        <f t="shared" si="23"/>
        <v>2.3252909149140601E-2</v>
      </c>
      <c r="L19" s="67">
        <f t="shared" ca="1" si="24"/>
        <v>0</v>
      </c>
      <c r="M19" s="67">
        <f t="shared" si="25"/>
        <v>0.97674709085085942</v>
      </c>
      <c r="N19" s="68">
        <f t="shared" ca="1" si="26"/>
        <v>0</v>
      </c>
      <c r="O19" s="69">
        <f t="shared" ca="1" si="27"/>
        <v>0</v>
      </c>
      <c r="P19" s="70">
        <f t="shared" ca="1" si="28"/>
        <v>0</v>
      </c>
      <c r="Q19" s="525" t="str">
        <f>IF(Διαμερίσματα!I20="","",Διαμερίσματα!I20)</f>
        <v>Ιδιοκτήτης-15</v>
      </c>
      <c r="R19" s="71">
        <f t="shared" ca="1" si="29"/>
        <v>0</v>
      </c>
    </row>
    <row r="20" spans="1:18">
      <c r="A20" s="536">
        <f t="shared" si="13"/>
        <v>16</v>
      </c>
      <c r="B20" s="44" t="str">
        <f>IF(Διαμερίσματα!B21="","",Διαμερίσματα!B21)</f>
        <v>Δ1</v>
      </c>
      <c r="C20" s="46">
        <f>IF(Διαμερίσματα!R21="","",Διαμερίσματα!R21)</f>
        <v>0.25</v>
      </c>
      <c r="D20" s="47">
        <f>IF(Διαμερίσματα!Q21="","",Διαμερίσματα!Q21)</f>
        <v>3.320166542115939E-2</v>
      </c>
      <c r="E20" s="657">
        <f t="shared" si="12"/>
        <v>1</v>
      </c>
      <c r="F20" s="65">
        <f ca="1">IFERROR(HLOOKUP(ΣΤΟΙΧΕΙΑ!$C$11,Ώρες!$D$29:$P$52,2+A20,FALSE),0)</f>
        <v>0</v>
      </c>
      <c r="G20" s="66">
        <f t="shared" si="5"/>
        <v>8.3004163552898476E-3</v>
      </c>
      <c r="H20" s="625">
        <f t="shared" si="6"/>
        <v>0</v>
      </c>
      <c r="I20" s="47">
        <f t="shared" ca="1" si="21"/>
        <v>0</v>
      </c>
      <c r="J20" s="67">
        <f t="shared" ca="1" si="22"/>
        <v>20.545852460766522</v>
      </c>
      <c r="K20" s="67">
        <f t="shared" si="23"/>
        <v>2.3252909149140601E-2</v>
      </c>
      <c r="L20" s="67">
        <f t="shared" ca="1" si="24"/>
        <v>0</v>
      </c>
      <c r="M20" s="67">
        <f t="shared" si="25"/>
        <v>0.97674709085085942</v>
      </c>
      <c r="N20" s="68">
        <f t="shared" ca="1" si="26"/>
        <v>0</v>
      </c>
      <c r="O20" s="69">
        <f t="shared" ca="1" si="27"/>
        <v>0</v>
      </c>
      <c r="P20" s="70">
        <f t="shared" ca="1" si="28"/>
        <v>0</v>
      </c>
      <c r="Q20" s="525" t="str">
        <f>IF(Διαμερίσματα!I21="","",Διαμερίσματα!I21)</f>
        <v>Ιδιοκτήτης-16</v>
      </c>
      <c r="R20" s="71">
        <f t="shared" ca="1" si="29"/>
        <v>0</v>
      </c>
    </row>
    <row r="21" spans="1:18">
      <c r="A21" s="536">
        <f t="shared" si="13"/>
        <v>17</v>
      </c>
      <c r="B21" s="44" t="str">
        <f>IF(Διαμερίσματα!B22="","",Διαμερίσματα!B22)</f>
        <v>Δ2</v>
      </c>
      <c r="C21" s="46">
        <f>IF(Διαμερίσματα!R22="","",Διαμερίσματα!R22)</f>
        <v>0.25</v>
      </c>
      <c r="D21" s="47">
        <f>IF(Διαμερίσματα!Q22="","",Διαμερίσματα!Q22)</f>
        <v>3.320166542115939E-2</v>
      </c>
      <c r="E21" s="657">
        <f t="shared" si="12"/>
        <v>1</v>
      </c>
      <c r="F21" s="65">
        <f ca="1">IFERROR(HLOOKUP(ΣΤΟΙΧΕΙΑ!$C$11,Ώρες!$D$29:$P$52,2+A21,FALSE),0)</f>
        <v>0</v>
      </c>
      <c r="G21" s="66">
        <f t="shared" si="5"/>
        <v>8.3004163552898476E-3</v>
      </c>
      <c r="H21" s="625">
        <f t="shared" si="6"/>
        <v>0</v>
      </c>
      <c r="I21" s="47">
        <f t="shared" ca="1" si="21"/>
        <v>0</v>
      </c>
      <c r="J21" s="67">
        <f t="shared" ca="1" si="22"/>
        <v>20.545852460766522</v>
      </c>
      <c r="K21" s="67">
        <f t="shared" si="23"/>
        <v>2.3252909149140601E-2</v>
      </c>
      <c r="L21" s="67">
        <f t="shared" ca="1" si="24"/>
        <v>0</v>
      </c>
      <c r="M21" s="67">
        <f t="shared" si="25"/>
        <v>0.97674709085085942</v>
      </c>
      <c r="N21" s="68">
        <f t="shared" ca="1" si="26"/>
        <v>0</v>
      </c>
      <c r="O21" s="69">
        <f t="shared" ca="1" si="27"/>
        <v>0</v>
      </c>
      <c r="P21" s="70">
        <f t="shared" ca="1" si="28"/>
        <v>0</v>
      </c>
      <c r="Q21" s="525" t="str">
        <f>IF(Διαμερίσματα!I22="","",Διαμερίσματα!I22)</f>
        <v>Ιδιοκτήτης-17</v>
      </c>
      <c r="R21" s="71">
        <f t="shared" ca="1" si="29"/>
        <v>0</v>
      </c>
    </row>
    <row r="22" spans="1:18">
      <c r="A22" s="536">
        <f t="shared" si="13"/>
        <v>18</v>
      </c>
      <c r="B22" s="44" t="str">
        <f>IF(Διαμερίσματα!B23="","",Διαμερίσματα!B23)</f>
        <v>Δ3</v>
      </c>
      <c r="C22" s="46">
        <f>IF(Διαμερίσματα!R23="","",Διαμερίσματα!R23)</f>
        <v>0.25</v>
      </c>
      <c r="D22" s="47">
        <f>IF(Διαμερίσματα!Q23="","",Διαμερίσματα!Q23)</f>
        <v>3.320166542115939E-2</v>
      </c>
      <c r="E22" s="657">
        <f t="shared" si="12"/>
        <v>1</v>
      </c>
      <c r="F22" s="65">
        <f ca="1">IFERROR(HLOOKUP(ΣΤΟΙΧΕΙΑ!$C$11,Ώρες!$D$29:$P$52,2+A22,FALSE),0)</f>
        <v>0</v>
      </c>
      <c r="G22" s="66">
        <f t="shared" si="5"/>
        <v>8.3004163552898476E-3</v>
      </c>
      <c r="H22" s="625">
        <f t="shared" si="6"/>
        <v>0</v>
      </c>
      <c r="I22" s="47">
        <f t="shared" ca="1" si="21"/>
        <v>0</v>
      </c>
      <c r="J22" s="67">
        <f t="shared" ca="1" si="22"/>
        <v>20.545852460766522</v>
      </c>
      <c r="K22" s="67">
        <f t="shared" si="23"/>
        <v>2.3252909149140601E-2</v>
      </c>
      <c r="L22" s="67">
        <f t="shared" ca="1" si="24"/>
        <v>0</v>
      </c>
      <c r="M22" s="67">
        <f t="shared" si="25"/>
        <v>0.97674709085085942</v>
      </c>
      <c r="N22" s="68">
        <f t="shared" ca="1" si="26"/>
        <v>0</v>
      </c>
      <c r="O22" s="69">
        <f t="shared" ca="1" si="27"/>
        <v>0</v>
      </c>
      <c r="P22" s="70">
        <f t="shared" ca="1" si="28"/>
        <v>0</v>
      </c>
      <c r="Q22" s="525" t="str">
        <f>IF(Διαμερίσματα!I23="","",Διαμερίσματα!I23)</f>
        <v>Ιδιοκτήτης-18</v>
      </c>
      <c r="R22" s="71">
        <f t="shared" ca="1" si="29"/>
        <v>0</v>
      </c>
    </row>
    <row r="23" spans="1:18">
      <c r="A23" s="536">
        <f t="shared" si="13"/>
        <v>19</v>
      </c>
      <c r="B23" s="44" t="str">
        <f>IF(Διαμερίσματα!B24="","",Διαμερίσματα!B24)</f>
        <v>Δ4</v>
      </c>
      <c r="C23" s="46">
        <f>IF(Διαμερίσματα!R24="","",Διαμερίσματα!R24)</f>
        <v>0.25</v>
      </c>
      <c r="D23" s="47">
        <f>IF(Διαμερίσματα!Q24="","",Διαμερίσματα!Q24)</f>
        <v>3.320166542115939E-2</v>
      </c>
      <c r="E23" s="657">
        <f t="shared" si="12"/>
        <v>1</v>
      </c>
      <c r="F23" s="65">
        <f ca="1">IFERROR(HLOOKUP(ΣΤΟΙΧΕΙΑ!$C$11,Ώρες!$D$29:$P$52,2+A23,FALSE),0)</f>
        <v>0</v>
      </c>
      <c r="G23" s="66">
        <f t="shared" si="5"/>
        <v>8.3004163552898476E-3</v>
      </c>
      <c r="H23" s="625">
        <f t="shared" si="6"/>
        <v>0</v>
      </c>
      <c r="I23" s="47">
        <f t="shared" ca="1" si="21"/>
        <v>0</v>
      </c>
      <c r="J23" s="67">
        <f t="shared" ca="1" si="22"/>
        <v>20.545852460766522</v>
      </c>
      <c r="K23" s="67">
        <f t="shared" si="23"/>
        <v>2.3252909149140601E-2</v>
      </c>
      <c r="L23" s="67">
        <f t="shared" ca="1" si="24"/>
        <v>0</v>
      </c>
      <c r="M23" s="67">
        <f t="shared" si="25"/>
        <v>0.97674709085085942</v>
      </c>
      <c r="N23" s="68">
        <f t="shared" ca="1" si="26"/>
        <v>0</v>
      </c>
      <c r="O23" s="69">
        <f t="shared" ca="1" si="27"/>
        <v>0</v>
      </c>
      <c r="P23" s="70">
        <f t="shared" ca="1" si="28"/>
        <v>0</v>
      </c>
      <c r="Q23" s="525" t="str">
        <f>IF(Διαμερίσματα!I24="","",Διαμερίσματα!I24)</f>
        <v>Ιδιοκτήτης-19</v>
      </c>
      <c r="R23" s="71">
        <f t="shared" ca="1" si="29"/>
        <v>0</v>
      </c>
    </row>
    <row r="24" spans="1:18">
      <c r="A24" s="536">
        <f t="shared" si="13"/>
        <v>20</v>
      </c>
      <c r="B24" s="44" t="str">
        <f>IF(Διαμερίσματα!B25="","",Διαμερίσματα!B25)</f>
        <v>Ε1</v>
      </c>
      <c r="C24" s="46">
        <f>IF(Διαμερίσματα!R25="","",Διαμερίσματα!R25)</f>
        <v>0.25</v>
      </c>
      <c r="D24" s="47">
        <f>IF(Διαμερίσματα!Q25="","",Διαμερίσματα!Q25)</f>
        <v>3.320166542115939E-2</v>
      </c>
      <c r="E24" s="657">
        <f t="shared" si="12"/>
        <v>1</v>
      </c>
      <c r="F24" s="65">
        <f ca="1">IFERROR(HLOOKUP(ΣΤΟΙΧΕΙΑ!$C$11,Ώρες!$D$29:$P$52,2+A24,FALSE),0)</f>
        <v>0</v>
      </c>
      <c r="G24" s="66">
        <f t="shared" si="5"/>
        <v>8.3004163552898476E-3</v>
      </c>
      <c r="H24" s="625">
        <f t="shared" si="6"/>
        <v>0</v>
      </c>
      <c r="I24" s="47">
        <f t="shared" ca="1" si="21"/>
        <v>0</v>
      </c>
      <c r="J24" s="67">
        <f t="shared" ca="1" si="22"/>
        <v>20.545852460766522</v>
      </c>
      <c r="K24" s="67">
        <f t="shared" si="23"/>
        <v>2.3252909149140601E-2</v>
      </c>
      <c r="L24" s="67">
        <f t="shared" ca="1" si="24"/>
        <v>0</v>
      </c>
      <c r="M24" s="67">
        <f t="shared" si="25"/>
        <v>0.97674709085085942</v>
      </c>
      <c r="N24" s="68">
        <f t="shared" ca="1" si="26"/>
        <v>0</v>
      </c>
      <c r="O24" s="69">
        <f t="shared" ca="1" si="27"/>
        <v>0</v>
      </c>
      <c r="P24" s="70">
        <f t="shared" ca="1" si="28"/>
        <v>0</v>
      </c>
      <c r="Q24" s="525" t="str">
        <f>IF(Διαμερίσματα!I25="","",Διαμερίσματα!I25)</f>
        <v>Ιδιοκτήτης-20</v>
      </c>
      <c r="R24" s="71">
        <f t="shared" ca="1" si="29"/>
        <v>0</v>
      </c>
    </row>
    <row r="25" spans="1:18">
      <c r="A25" s="536">
        <f t="shared" si="13"/>
        <v>21</v>
      </c>
      <c r="B25" s="44" t="str">
        <f>IF(Διαμερίσματα!B26="","",Διαμερίσματα!B26)</f>
        <v>Ε2</v>
      </c>
      <c r="C25" s="46">
        <f>IF(Διαμερίσματα!R26="","",Διαμερίσματα!R26)</f>
        <v>0.25</v>
      </c>
      <c r="D25" s="47">
        <f>IF(Διαμερίσματα!Q26="","",Διαμερίσματα!Q26)</f>
        <v>3.320166542115939E-2</v>
      </c>
      <c r="E25" s="657">
        <f t="shared" si="12"/>
        <v>1</v>
      </c>
      <c r="F25" s="65">
        <f ca="1">IFERROR(HLOOKUP(ΣΤΟΙΧΕΙΑ!$C$11,Ώρες!$D$29:$P$52,2+A25,FALSE),0)</f>
        <v>0</v>
      </c>
      <c r="G25" s="66">
        <f t="shared" si="5"/>
        <v>8.3004163552898476E-3</v>
      </c>
      <c r="H25" s="625">
        <f t="shared" si="6"/>
        <v>0</v>
      </c>
      <c r="I25" s="47">
        <f t="shared" ca="1" si="21"/>
        <v>0</v>
      </c>
      <c r="J25" s="67">
        <f t="shared" ca="1" si="22"/>
        <v>20.545852460766522</v>
      </c>
      <c r="K25" s="67">
        <f t="shared" si="23"/>
        <v>2.3252909149140601E-2</v>
      </c>
      <c r="L25" s="67">
        <f t="shared" ca="1" si="24"/>
        <v>0</v>
      </c>
      <c r="M25" s="67">
        <f t="shared" si="25"/>
        <v>0.97674709085085942</v>
      </c>
      <c r="N25" s="68">
        <f t="shared" ca="1" si="26"/>
        <v>0</v>
      </c>
      <c r="O25" s="69">
        <f t="shared" ca="1" si="27"/>
        <v>0</v>
      </c>
      <c r="P25" s="70">
        <f t="shared" ca="1" si="28"/>
        <v>0</v>
      </c>
      <c r="Q25" s="525" t="str">
        <f>IF(Διαμερίσματα!I26="","",Διαμερίσματα!I26)</f>
        <v>Ιδιοκτήτης-21</v>
      </c>
      <c r="R25" s="71">
        <f t="shared" ca="1" si="29"/>
        <v>0</v>
      </c>
    </row>
    <row r="26" spans="1:18">
      <c r="A26" s="536">
        <f t="shared" si="13"/>
        <v>22</v>
      </c>
      <c r="B26" s="44" t="str">
        <f>IF(Διαμερίσματα!B27="","",Διαμερίσματα!B27)</f>
        <v>Ε3</v>
      </c>
      <c r="C26" s="46">
        <f>IF(Διαμερίσματα!R27="","",Διαμερίσματα!R27)</f>
        <v>0.25</v>
      </c>
      <c r="D26" s="47">
        <f>IF(Διαμερίσματα!Q27="","",Διαμερίσματα!Q27)</f>
        <v>0</v>
      </c>
      <c r="E26" s="657">
        <f t="shared" si="12"/>
        <v>1</v>
      </c>
      <c r="F26" s="65">
        <f ca="1">IFERROR(HLOOKUP(ΣΤΟΙΧΕΙΑ!$C$11,Ώρες!$D$29:$P$52,2+A26,FALSE),0)</f>
        <v>0</v>
      </c>
      <c r="G26" s="66">
        <f t="shared" si="5"/>
        <v>0</v>
      </c>
      <c r="H26" s="625">
        <f t="shared" si="6"/>
        <v>0</v>
      </c>
      <c r="I26" s="47">
        <f t="shared" ca="1" si="21"/>
        <v>0</v>
      </c>
      <c r="J26" s="67">
        <f t="shared" ca="1" si="22"/>
        <v>20.545852460766522</v>
      </c>
      <c r="K26" s="67">
        <f t="shared" si="23"/>
        <v>2.3252909149140601E-2</v>
      </c>
      <c r="L26" s="67">
        <f t="shared" ca="1" si="24"/>
        <v>0</v>
      </c>
      <c r="M26" s="67">
        <f t="shared" si="25"/>
        <v>0.97674709085085942</v>
      </c>
      <c r="N26" s="68">
        <f t="shared" ca="1" si="26"/>
        <v>0</v>
      </c>
      <c r="O26" s="69">
        <f t="shared" ca="1" si="27"/>
        <v>0</v>
      </c>
      <c r="P26" s="70">
        <f t="shared" ca="1" si="28"/>
        <v>0</v>
      </c>
      <c r="Q26" s="525" t="str">
        <f>IF(Διαμερίσματα!I27="","",Διαμερίσματα!I27)</f>
        <v>Ιδιοκτήτης-22</v>
      </c>
      <c r="R26" s="71">
        <f t="shared" ca="1" si="29"/>
        <v>0</v>
      </c>
    </row>
    <row r="27" spans="1:18" s="18" customFormat="1" ht="12.75">
      <c r="A27" s="761" t="s">
        <v>23</v>
      </c>
      <c r="B27" s="761"/>
      <c r="C27" s="49">
        <f>SUM(C5:C26)</f>
        <v>6.6400000000000006</v>
      </c>
      <c r="D27" s="49">
        <f>SUM(D5:D26)</f>
        <v>1.0000000000000004</v>
      </c>
      <c r="E27" s="624" t="s">
        <v>3</v>
      </c>
      <c r="F27" s="161">
        <f ca="1">SUM(F5:F26)</f>
        <v>387</v>
      </c>
      <c r="G27" s="558">
        <f>SUM(G5:G26)</f>
        <v>0.32492793850752627</v>
      </c>
      <c r="H27" s="558">
        <f>SUM(H5:H26)</f>
        <v>2.3252909149140601E-2</v>
      </c>
      <c r="I27" s="60">
        <f ca="1">SUM(I5:I26)</f>
        <v>20.545852460766522</v>
      </c>
      <c r="J27" s="49"/>
      <c r="K27" s="49"/>
      <c r="L27" s="49"/>
      <c r="M27" s="49"/>
      <c r="N27" s="49"/>
      <c r="O27" s="49"/>
      <c r="P27" s="48">
        <f ca="1">SUM(P5:P26)</f>
        <v>840.59999999999991</v>
      </c>
      <c r="Q27" s="49"/>
      <c r="R27" s="48">
        <f ca="1">SUM(R5:R26)</f>
        <v>700.00000000000011</v>
      </c>
    </row>
    <row r="29" spans="1:18" ht="36">
      <c r="A29" s="765" t="s">
        <v>225</v>
      </c>
      <c r="B29" s="766"/>
      <c r="C29" s="766"/>
      <c r="D29" s="766"/>
      <c r="E29" s="766"/>
      <c r="F29" s="766"/>
      <c r="G29" s="766"/>
      <c r="H29" s="766"/>
      <c r="I29" s="766"/>
      <c r="J29" s="766"/>
      <c r="K29" s="766"/>
      <c r="L29" s="766"/>
      <c r="M29" s="766"/>
      <c r="N29" s="766"/>
      <c r="O29" s="766"/>
      <c r="P29" s="766"/>
      <c r="Q29" s="766"/>
      <c r="R29" s="767"/>
    </row>
  </sheetData>
  <sheetProtection password="E4A3" sheet="1" objects="1" scenarios="1"/>
  <mergeCells count="10">
    <mergeCell ref="A29:R29"/>
    <mergeCell ref="A2:A3"/>
    <mergeCell ref="A27:B27"/>
    <mergeCell ref="D1:M1"/>
    <mergeCell ref="P1:R1"/>
    <mergeCell ref="N1:O1"/>
    <mergeCell ref="M2:O2"/>
    <mergeCell ref="I2:L2"/>
    <mergeCell ref="P2:R2"/>
    <mergeCell ref="B2:H2"/>
  </mergeCells>
  <conditionalFormatting sqref="E5:E26">
    <cfRule type="expression" dxfId="346" priority="2">
      <formula>E5=100%</formula>
    </cfRule>
  </conditionalFormatting>
  <conditionalFormatting sqref="F5:F26">
    <cfRule type="expression" dxfId="345" priority="1">
      <formula>E5=100%</formula>
    </cfRule>
  </conditionalFormatting>
  <hyperlinks>
    <hyperlink ref="A29:G29" location="ΠΛΟΗΓΗΣΗ!A1" display="Επιστροφή   στην   ΠΛΟΗΓΗΣΗ"/>
  </hyperlinks>
  <pageMargins left="0.19685039370078741" right="0.39370078740157483" top="0.19685039370078741" bottom="0.19685039370078741" header="0.31496062992125984" footer="0.31496062992125984"/>
  <pageSetup paperSize="9" scale="95" orientation="landscape" r:id="rId1"/>
  <customProperties>
    <customPr name="DVSECTIONID" r:id="rId2"/>
  </customProperties>
  <drawing r:id="rId3"/>
  <legacyDrawing r:id="rId4"/>
</worksheet>
</file>

<file path=xl/worksheets/sheet9.xml><?xml version="1.0" encoding="utf-8"?>
<worksheet xmlns="http://schemas.openxmlformats.org/spreadsheetml/2006/main" xmlns:r="http://schemas.openxmlformats.org/officeDocument/2006/relationships">
  <sheetPr codeName="Φύλλο19">
    <tabColor rgb="FF92D050"/>
  </sheetPr>
  <dimension ref="A1:N23"/>
  <sheetViews>
    <sheetView zoomScale="130" zoomScaleNormal="130" workbookViewId="0">
      <selection activeCell="G8" sqref="G8"/>
    </sheetView>
  </sheetViews>
  <sheetFormatPr defaultColWidth="9.140625" defaultRowHeight="12"/>
  <cols>
    <col min="1" max="1" width="4.140625" style="9" bestFit="1" customWidth="1"/>
    <col min="2" max="2" width="9.5703125" style="9" customWidth="1"/>
    <col min="3" max="3" width="25.28515625" style="9" customWidth="1"/>
    <col min="4" max="4" width="38.7109375" style="9" customWidth="1"/>
    <col min="5" max="5" width="11.7109375" style="9" customWidth="1"/>
    <col min="6" max="6" width="12.42578125" style="9" bestFit="1" customWidth="1"/>
    <col min="7" max="16384" width="9.140625" style="9"/>
  </cols>
  <sheetData>
    <row r="1" spans="1:14" s="14" customFormat="1" ht="62.25" customHeight="1">
      <c r="B1" s="15"/>
      <c r="C1" s="50" t="str">
        <f>ΣΤΟΙΧΕΙΑ!C5</f>
        <v>Δ Α Π Α Ν Ε Σ :</v>
      </c>
      <c r="D1" s="794">
        <f>ΣΤΟΙΧΕΙΑ!C11</f>
        <v>40878</v>
      </c>
      <c r="E1" s="794"/>
      <c r="F1" s="794"/>
      <c r="G1" s="19"/>
      <c r="H1" s="19"/>
      <c r="I1" s="19"/>
      <c r="J1" s="19"/>
      <c r="L1" s="20"/>
      <c r="M1" s="20"/>
      <c r="N1" s="20"/>
    </row>
    <row r="2" spans="1:14" s="16" customFormat="1" ht="15.75">
      <c r="A2" s="801" t="str">
        <f>ΣΤΟΙΧΕΙΑ!C2</f>
        <v>Πολυκατοικία :</v>
      </c>
      <c r="B2" s="802"/>
      <c r="C2" s="51" t="str">
        <f>ΣΤΟΙΧΕΙΑ!C12</f>
        <v>Διευθύνση 123</v>
      </c>
      <c r="D2" s="235" t="str">
        <f>ΣΤΟΙΧΕΙΑ!C13</f>
        <v>Νεάπολη - ΑΤΤΙΚΗΣ.</v>
      </c>
      <c r="E2" s="561"/>
      <c r="F2" s="336"/>
    </row>
    <row r="3" spans="1:14" s="21" customFormat="1">
      <c r="A3" s="798" t="str">
        <f>ΣΤΟΙΧΕΙΑ!C7</f>
        <v>Επεξεργασία: Φ.Τσιρίδης, 6977-66.66.99</v>
      </c>
      <c r="B3" s="799"/>
      <c r="C3" s="799"/>
      <c r="D3" s="803" t="str">
        <f>ΣΤΟΙΧΕΙΑ!C8</f>
        <v>Διαχειριστής: Φ.Διαχειριστίδης, 697-1234567</v>
      </c>
      <c r="E3" s="803"/>
      <c r="F3" s="804"/>
    </row>
    <row r="4" spans="1:14" s="23" customFormat="1" ht="15.75">
      <c r="A4" s="797"/>
      <c r="B4" s="797"/>
      <c r="C4" s="797"/>
      <c r="D4" s="22"/>
      <c r="E4" s="22"/>
      <c r="F4" s="22"/>
    </row>
    <row r="5" spans="1:14" s="23" customFormat="1" ht="36">
      <c r="A5" s="744" t="s">
        <v>225</v>
      </c>
      <c r="B5" s="744"/>
      <c r="C5" s="744"/>
      <c r="D5" s="744"/>
      <c r="E5" s="744"/>
      <c r="F5" s="744"/>
    </row>
    <row r="6" spans="1:14" s="23" customFormat="1" ht="15.75">
      <c r="A6" s="24"/>
      <c r="B6" s="25"/>
      <c r="C6" s="26"/>
      <c r="D6" s="27"/>
      <c r="E6" s="27"/>
      <c r="F6" s="26"/>
    </row>
    <row r="7" spans="1:14" s="28" customFormat="1" ht="12.75">
      <c r="A7" s="335" t="s">
        <v>24</v>
      </c>
      <c r="B7" s="335" t="s">
        <v>40</v>
      </c>
      <c r="C7" s="335" t="s">
        <v>30</v>
      </c>
      <c r="D7" s="335" t="s">
        <v>237</v>
      </c>
      <c r="E7" s="626" t="s">
        <v>600</v>
      </c>
      <c r="F7" s="335" t="s">
        <v>58</v>
      </c>
    </row>
    <row r="8" spans="1:14" s="28" customFormat="1" ht="12.75">
      <c r="A8" s="300">
        <v>1</v>
      </c>
      <c r="B8" s="300">
        <f>A8+1</f>
        <v>2</v>
      </c>
      <c r="C8" s="564">
        <f t="shared" ref="C8:F8" si="0">B8+1</f>
        <v>3</v>
      </c>
      <c r="D8" s="564">
        <f t="shared" si="0"/>
        <v>4</v>
      </c>
      <c r="E8" s="564">
        <f t="shared" si="0"/>
        <v>5</v>
      </c>
      <c r="F8" s="564">
        <f t="shared" si="0"/>
        <v>6</v>
      </c>
    </row>
    <row r="9" spans="1:14" s="241" customFormat="1" ht="12.75">
      <c r="A9" s="41">
        <f>IF(B9="","",1)</f>
        <v>1</v>
      </c>
      <c r="B9" s="143" t="s">
        <v>12</v>
      </c>
      <c r="C9" s="800" t="s">
        <v>39</v>
      </c>
      <c r="D9" s="239" t="s">
        <v>45</v>
      </c>
      <c r="E9" s="627">
        <v>14</v>
      </c>
      <c r="F9" s="145">
        <f>IF(HLOOKUP(ΣΤΟΙΧΕΙΑ!$C$11,ΣΤΟΙΧΕΙΑ!$A$23:$P$36,2+Δαπάνες!A9,FALSE)=0,"",HLOOKUP(ΣΤΟΙΧΕΙΑ!$C$11,ΣΤΟΙΧΕΙΑ!$A$23:$P$36,2+Δαπάνες!A9,FALSE))</f>
        <v>100</v>
      </c>
    </row>
    <row r="10" spans="1:14" s="241" customFormat="1" ht="12.75">
      <c r="A10" s="41">
        <f>IF(B10="","",A9+1)</f>
        <v>2</v>
      </c>
      <c r="B10" s="143" t="s">
        <v>13</v>
      </c>
      <c r="C10" s="800"/>
      <c r="D10" s="239" t="s">
        <v>46</v>
      </c>
      <c r="E10" s="627">
        <v>14</v>
      </c>
      <c r="F10" s="145">
        <f>IF(HLOOKUP(ΣΤΟΙΧΕΙΑ!$C$11,ΣΤΟΙΧΕΙΑ!$A$23:$P$36,2+Δαπάνες!A10,FALSE)=0,"",HLOOKUP(ΣΤΟΙΧΕΙΑ!$C$11,ΣΤΟΙΧΕΙΑ!$A$23:$P$36,2+Δαπάνες!A10,FALSE))</f>
        <v>70</v>
      </c>
    </row>
    <row r="11" spans="1:14" s="241" customFormat="1" ht="12.75">
      <c r="A11" s="41">
        <f t="shared" ref="A11:A20" si="1">IF(B11="","",A10+1)</f>
        <v>3</v>
      </c>
      <c r="B11" s="143" t="s">
        <v>41</v>
      </c>
      <c r="C11" s="800"/>
      <c r="D11" s="239" t="s">
        <v>47</v>
      </c>
      <c r="E11" s="627">
        <v>14</v>
      </c>
      <c r="F11" s="145">
        <f>IF(HLOOKUP(ΣΤΟΙΧΕΙΑ!$C$11,ΣΤΟΙΧΕΙΑ!$A$23:$P$36,2+Δαπάνες!A11,FALSE)=0,"",HLOOKUP(ΣΤΟΙΧΕΙΑ!$C$11,ΣΤΟΙΧΕΙΑ!$A$23:$P$36,2+Δαπάνες!A11,FALSE))</f>
        <v>10</v>
      </c>
    </row>
    <row r="12" spans="1:14" s="241" customFormat="1" ht="12.75">
      <c r="A12" s="41">
        <f t="shared" si="1"/>
        <v>4</v>
      </c>
      <c r="B12" s="239" t="s">
        <v>14</v>
      </c>
      <c r="C12" s="239" t="s">
        <v>34</v>
      </c>
      <c r="D12" s="239" t="s">
        <v>48</v>
      </c>
      <c r="E12" s="627">
        <v>12</v>
      </c>
      <c r="F12" s="145">
        <f>IF(HLOOKUP(ΣΤΟΙΧΕΙΑ!$C$11,ΣΤΟΙΧΕΙΑ!$A$23:$P$36,2+Δαπάνες!A12,FALSE)=0,"",HLOOKUP(ΣΤΟΙΧΕΙΑ!$C$11,ΣΤΟΙΧΕΙΑ!$A$23:$P$36,2+Δαπάνες!A12,FALSE))</f>
        <v>50</v>
      </c>
    </row>
    <row r="13" spans="1:14" s="241" customFormat="1" ht="12.75">
      <c r="A13" s="41">
        <f t="shared" si="1"/>
        <v>5</v>
      </c>
      <c r="B13" s="144" t="s">
        <v>15</v>
      </c>
      <c r="C13" s="805" t="s">
        <v>35</v>
      </c>
      <c r="D13" s="658" t="s">
        <v>49</v>
      </c>
      <c r="E13" s="658">
        <v>13</v>
      </c>
      <c r="F13" s="145">
        <f>IF(HLOOKUP(ΣΤΟΙΧΕΙΑ!$C$11,ΣΤΟΙΧΕΙΑ!$A$23:$P$36,2+Δαπάνες!A13,FALSE)=0,"",HLOOKUP(ΣΤΟΙΧΕΙΑ!$C$11,ΣΤΟΙΧΕΙΑ!$A$23:$P$36,2+Δαπάνες!A13,FALSE))</f>
        <v>60</v>
      </c>
    </row>
    <row r="14" spans="1:14" s="241" customFormat="1" ht="12.75">
      <c r="A14" s="41">
        <f t="shared" si="1"/>
        <v>6</v>
      </c>
      <c r="B14" s="144" t="s">
        <v>16</v>
      </c>
      <c r="C14" s="805"/>
      <c r="D14" s="658" t="s">
        <v>497</v>
      </c>
      <c r="E14" s="658">
        <v>13</v>
      </c>
      <c r="F14" s="145">
        <f>IF(HLOOKUP(ΣΤΟΙΧΕΙΑ!$C$11,ΣΤΟΙΧΕΙΑ!$A$23:$P$36,2+Δαπάνες!A14,FALSE)=0,"",HLOOKUP(ΣΤΟΙΧΕΙΑ!$C$11,ΣΤΟΙΧΕΙΑ!$A$23:$P$36,2+Δαπάνες!A14,FALSE))</f>
        <v>20</v>
      </c>
    </row>
    <row r="15" spans="1:14" s="241" customFormat="1" ht="12.75">
      <c r="A15" s="41">
        <f t="shared" si="1"/>
        <v>7</v>
      </c>
      <c r="B15" s="143" t="s">
        <v>17</v>
      </c>
      <c r="C15" s="795" t="s">
        <v>38</v>
      </c>
      <c r="D15" s="126" t="s">
        <v>534</v>
      </c>
      <c r="E15" s="632" t="s">
        <v>601</v>
      </c>
      <c r="F15" s="145">
        <f>Θέρμανση!R4</f>
        <v>700</v>
      </c>
    </row>
    <row r="16" spans="1:14" s="241" customFormat="1" ht="12.75">
      <c r="A16" s="41">
        <f t="shared" si="1"/>
        <v>8</v>
      </c>
      <c r="B16" s="143" t="s">
        <v>18</v>
      </c>
      <c r="C16" s="796"/>
      <c r="D16" s="658" t="s">
        <v>50</v>
      </c>
      <c r="E16" s="658">
        <v>16</v>
      </c>
      <c r="F16" s="145">
        <f>IF(HLOOKUP(ΣΤΟΙΧΕΙΑ!$C$11,ΣΤΟΙΧΕΙΑ!$A$23:$P$36,2+Δαπάνες!A16,FALSE)=0,"",HLOOKUP(ΣΤΟΙΧΕΙΑ!$C$11,ΣΤΟΙΧΕΙΑ!$A$23:$P$36,2+Δαπάνες!A16,FALSE))</f>
        <v>70</v>
      </c>
    </row>
    <row r="17" spans="1:6" s="241" customFormat="1" ht="12.75">
      <c r="A17" s="41">
        <f t="shared" si="1"/>
        <v>9</v>
      </c>
      <c r="B17" s="239" t="s">
        <v>19</v>
      </c>
      <c r="C17" s="239" t="s">
        <v>36</v>
      </c>
      <c r="D17" s="658" t="s">
        <v>43</v>
      </c>
      <c r="E17" s="658">
        <v>13</v>
      </c>
      <c r="F17" s="145">
        <f>IF(HLOOKUP(ΣΤΟΙΧΕΙΑ!$C$11,ΣΤΟΙΧΕΙΑ!$A$23:$P$36,2+Δαπάνες!A17,FALSE)=0,"",HLOOKUP(ΣΤΟΙΧΕΙΑ!$C$11,ΣΤΟΙΧΕΙΑ!$A$23:$P$36,2+Δαπάνες!A17,FALSE))</f>
        <v>100</v>
      </c>
    </row>
    <row r="18" spans="1:6" s="241" customFormat="1" ht="12.75">
      <c r="A18" s="41">
        <f t="shared" si="1"/>
        <v>10</v>
      </c>
      <c r="B18" s="144" t="s">
        <v>42</v>
      </c>
      <c r="C18" s="239" t="s">
        <v>37</v>
      </c>
      <c r="D18" s="658" t="s">
        <v>44</v>
      </c>
      <c r="E18" s="658">
        <v>13</v>
      </c>
      <c r="F18" s="145">
        <f>IF(HLOOKUP(ΣΤΟΙΧΕΙΑ!$C$11,ΣΤΟΙΧΕΙΑ!$A$23:$P$36,2+Δαπάνες!A18,FALSE)=0,"",HLOOKUP(ΣΤΟΙΧΕΙΑ!$C$11,ΣΤΟΙΧΕΙΑ!$A$23:$P$36,2+Δαπάνες!A18,FALSE))</f>
        <v>200</v>
      </c>
    </row>
    <row r="19" spans="1:6" s="241" customFormat="1" ht="12.75">
      <c r="A19" s="41">
        <f t="shared" si="1"/>
        <v>11</v>
      </c>
      <c r="B19" s="143" t="s">
        <v>51</v>
      </c>
      <c r="C19" s="795" t="s">
        <v>53</v>
      </c>
      <c r="D19" s="658" t="s">
        <v>54</v>
      </c>
      <c r="E19" s="658">
        <v>13</v>
      </c>
      <c r="F19" s="145">
        <f>IF(HLOOKUP(ΣΤΟΙΧΕΙΑ!$C$11,ΣΤΟΙΧΕΙΑ!$A$23:$P$36,2+Δαπάνες!A19,FALSE)=0,"",HLOOKUP(ΣΤΟΙΧΕΙΑ!$C$11,ΣΤΟΙΧΕΙΑ!$A$23:$P$36,2+Δαπάνες!A19,FALSE))</f>
        <v>80</v>
      </c>
    </row>
    <row r="20" spans="1:6" s="241" customFormat="1" ht="12.75">
      <c r="A20" s="41">
        <f t="shared" si="1"/>
        <v>12</v>
      </c>
      <c r="B20" s="143" t="s">
        <v>52</v>
      </c>
      <c r="C20" s="796"/>
      <c r="D20" s="658" t="s">
        <v>55</v>
      </c>
      <c r="E20" s="632" t="s">
        <v>602</v>
      </c>
      <c r="F20" s="145">
        <f>IF(HLOOKUP(ΣΤΟΙΧΕΙΑ!$C$11,ΣΤΟΙΧΕΙΑ!$A$23:$P$36,2+Δαπάνες!A20,FALSE)=0,"",HLOOKUP(ΣΤΟΙΧΕΙΑ!$C$11,ΣΤΟΙΧΕΙΑ!$A$23:$P$36,2+Δαπάνες!A20,FALSE))</f>
        <v>20</v>
      </c>
    </row>
    <row r="21" spans="1:6" s="29" customFormat="1" ht="15.75">
      <c r="A21" s="630">
        <v>13</v>
      </c>
      <c r="B21" s="791" t="s">
        <v>63</v>
      </c>
      <c r="C21" s="792"/>
      <c r="D21" s="793"/>
      <c r="E21" s="628"/>
      <c r="F21" s="52">
        <f>SUM(F9:F20)</f>
        <v>1480</v>
      </c>
    </row>
    <row r="22" spans="1:6" ht="9.9499999999999993" customHeight="1">
      <c r="A22" s="631">
        <v>14</v>
      </c>
    </row>
    <row r="23" spans="1:6" ht="9.9499999999999993" customHeight="1">
      <c r="A23" s="631">
        <v>16</v>
      </c>
    </row>
  </sheetData>
  <sheetProtection password="E4A3" sheet="1" objects="1" scenarios="1"/>
  <mergeCells count="11">
    <mergeCell ref="B21:D21"/>
    <mergeCell ref="D1:F1"/>
    <mergeCell ref="C15:C16"/>
    <mergeCell ref="C19:C20"/>
    <mergeCell ref="A4:C4"/>
    <mergeCell ref="A3:C3"/>
    <mergeCell ref="C9:C11"/>
    <mergeCell ref="A2:B2"/>
    <mergeCell ref="D3:F3"/>
    <mergeCell ref="C13:C14"/>
    <mergeCell ref="A5:F5"/>
  </mergeCells>
  <dataValidations count="1">
    <dataValidation type="list" allowBlank="1" showInputMessage="1" showErrorMessage="1" promptTitle="Επιλογή αριθμού Στήλης τελικών.." prompt="..Συντελεστών-Χιλιοστών, από την Καρτέλα &quot;Διαμερίσματα&quot;:_x000a_12 αν θέλετε η συγκεκριμένη Δαπάνη, να κατανέμεται με τα Χιλιοστά του Ανελκυστήρα,_x000a_13 με τα Χιλιοστά της Θέρμανσης,_x000a_14 με των Κοινοχρήστων &amp;_x000a_16 με των Έκτακτων Δαπανών._x000a_Προτεινόμενα σε Σχόλια &quot;1-2&quot;." sqref="E9:E14 E16:E19">
      <formula1>$A$20:$A$23</formula1>
    </dataValidation>
  </dataValidations>
  <hyperlinks>
    <hyperlink ref="A5:F5" location="ΠΛΟΗΓΗΣΗ!A1" display="Επιστροφή   στην   ΠΛΟΗΓΗΣΗ"/>
  </hyperlinks>
  <pageMargins left="0.39370078740157483" right="0.39370078740157483" top="0.39370078740157483" bottom="0.39370078740157483" header="0.31496062992125984" footer="0.31496062992125984"/>
  <pageSetup paperSize="9" scale="130" orientation="landscape" r:id="rId1"/>
  <customProperties>
    <customPr name="DVSECTIONID" r:id="rId2"/>
  </customProperties>
  <ignoredErrors>
    <ignoredError sqref="F21" formulaRange="1"/>
  </ignoredErrors>
  <drawing r:id="rId3"/>
</worksheet>
</file>

<file path=xl/worksheets/sheet10.xml><?xml version="1.0" encoding="utf-8"?>
<worksheet xmlns="http://schemas.openxmlformats.org/spreadsheetml/2006/main" xmlns:r="http://schemas.openxmlformats.org/officeDocument/2006/relationships">
  <sheetPr codeName="Φύλλο9">
    <tabColor rgb="FF0070C0"/>
  </sheetPr>
  <dimension ref="A1:N51"/>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2.85546875" style="9" bestFit="1" customWidth="1"/>
    <col min="5" max="5" width="12.42578125" style="9" bestFit="1" customWidth="1"/>
    <col min="6" max="6" width="8.28515625" style="9" bestFit="1" customWidth="1"/>
    <col min="7" max="7" width="13.5703125" style="9" bestFit="1" customWidth="1"/>
    <col min="8"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5</v>
      </c>
      <c r="B4" s="324"/>
      <c r="C4" s="77" t="s">
        <v>61</v>
      </c>
      <c r="D4" s="237" t="str">
        <f ca="1">IF(A5="","",IF(INDIRECT(ADDRESS(B5,6,3,,"Διαμερίσματα"))="","",VLOOKUP(A5,Διαμερίσματα!$A$6:$N$27,6)))</f>
        <v>Ιδιοκτήτης-1</v>
      </c>
      <c r="E4" s="237" t="s">
        <v>59</v>
      </c>
      <c r="F4" s="816" t="str">
        <f ca="1">IF(A5="","",IF(INDIRECT(ADDRESS(B5,7,3,,"Διαμερίσματα"))="","",VLOOKUP(A5,Διαμερίσματα!$A$6:$N$27,7)))</f>
        <v/>
      </c>
      <c r="G4" s="817"/>
    </row>
    <row r="5" spans="1:14" s="38" customFormat="1" ht="15.75">
      <c r="A5" s="75">
        <f>Διαμερίσματα!$A$6</f>
        <v>1</v>
      </c>
      <c r="B5" s="76">
        <f>5+A5</f>
        <v>6</v>
      </c>
      <c r="C5" s="325" t="s">
        <v>62</v>
      </c>
      <c r="D5" s="73" t="str">
        <f ca="1">IF(A5="","",IF(INDIRECT(ADDRESS(B5,9,3,,"Διαμερίσματα"))="","",VLOOKUP(A5,Διαμερίσματα!$A$6:$N$27,9)))</f>
        <v>Ιδιοκτήτης-1</v>
      </c>
      <c r="E5" s="236"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Κ1</v>
      </c>
      <c r="B6" s="827"/>
      <c r="C6" s="77" t="str">
        <f ca="1">IF(A5="","",IF(INDIRECT(ADDRESS(B5,3,3,,"Διαμερίσματα"))="","",VLOOKUP(A5,Διαμερίσματα!$A$6:$N$27,3)))</f>
        <v/>
      </c>
      <c r="D6" s="77" t="s">
        <v>86</v>
      </c>
      <c r="E6" s="237" t="str">
        <f ca="1">IF(A5="","",IF(INDIRECT(ADDRESS(B5,4,3,,"Διαμερίσματα"))="","",VLOOKUP(A5,Διαμερίσματα!$A$6:$N$27,4)))</f>
        <v>Ισ</v>
      </c>
      <c r="F6" s="78">
        <f ca="1">IF(A5="","",IF(INDIRECT(ADDRESS(B5,5,3,,"Διαμερίσματα"))="","",VLOOKUP(A5,Διαμερίσματα!$A$6:$N$27,5)))</f>
        <v>50</v>
      </c>
      <c r="G6" s="326" t="s">
        <v>60</v>
      </c>
    </row>
    <row r="7" spans="1:14" s="28" customFormat="1" ht="12.75">
      <c r="A7" s="298" t="s">
        <v>24</v>
      </c>
      <c r="B7" s="298" t="s">
        <v>40</v>
      </c>
      <c r="C7" s="298" t="s">
        <v>30</v>
      </c>
      <c r="D7" s="298" t="s">
        <v>32</v>
      </c>
      <c r="E7" s="298" t="s">
        <v>58</v>
      </c>
      <c r="F7" s="298" t="s">
        <v>33</v>
      </c>
      <c r="G7" s="298" t="s">
        <v>56</v>
      </c>
    </row>
    <row r="8" spans="1:14" s="28" customFormat="1" ht="12.75">
      <c r="A8" s="298">
        <v>1</v>
      </c>
      <c r="B8" s="298">
        <v>2</v>
      </c>
      <c r="C8" s="298">
        <v>3</v>
      </c>
      <c r="D8" s="298">
        <v>4</v>
      </c>
      <c r="E8" s="298">
        <v>5</v>
      </c>
      <c r="F8" s="298">
        <v>6</v>
      </c>
      <c r="G8" s="298">
        <v>7</v>
      </c>
    </row>
    <row r="9" spans="1:14" s="241" customFormat="1" ht="12.75">
      <c r="A9" s="45">
        <f>IF(B9="","",1)</f>
        <v>1</v>
      </c>
      <c r="B9" s="79" t="str">
        <f>Δαπάνες!$B$9</f>
        <v>Α1</v>
      </c>
      <c r="C9" s="824" t="str">
        <f>Δαπάνες!$C$9</f>
        <v>Γενικά Κοινόχρηστα</v>
      </c>
      <c r="D9" s="238" t="str">
        <f>Δαπάνες!$D$9</f>
        <v>ΔΕΗ Κοινόχρηστων Χώρων</v>
      </c>
      <c r="E9" s="80">
        <f>IF(Δαπάνες!$F$9="","",Δαπάνες!$F$9)</f>
        <v>100</v>
      </c>
      <c r="F9" s="81">
        <f ca="1">IF(E9="","",IF($A$5="","",IF(INDIRECT(ADDRESS($B$5,14,3,,"Διαμερίσματα"))="","",VLOOKUP($A$5,Διαμερίσματα!$A$6:$N$27,Δαπάνες!E9))))</f>
        <v>33.401608739251955</v>
      </c>
      <c r="G9" s="82">
        <f ca="1">IF(E9="","",E9*F9/1000)</f>
        <v>3.3401608739251958</v>
      </c>
    </row>
    <row r="10" spans="1:14" s="241" customFormat="1" ht="12.75">
      <c r="A10" s="45">
        <f>IF(B10="","",A9+1)</f>
        <v>2</v>
      </c>
      <c r="B10" s="79" t="str">
        <f>Δαπάνες!$B$10</f>
        <v>Α2</v>
      </c>
      <c r="C10" s="824"/>
      <c r="D10" s="238" t="str">
        <f>Δαπάνες!$D$10</f>
        <v>Καθαρισμός Κοινόχρηστων Χώρων</v>
      </c>
      <c r="E10" s="80">
        <f>IF(Δαπάνες!$F$10="","",Δαπάνες!$F$10)</f>
        <v>70</v>
      </c>
      <c r="F10" s="81">
        <f ca="1">IF(E10="","",IF($A$5="","",IF(INDIRECT(ADDRESS($B$5,14,3,,"Διαμερίσματα"))="","",VLOOKUP($A$5,Διαμερίσματα!$A$6:$N$27,Δαπάνες!E10))))</f>
        <v>33.401608739251955</v>
      </c>
      <c r="G10" s="82">
        <f ca="1">IF(E10="","",E10*F10/1000)</f>
        <v>2.3381126117476367</v>
      </c>
    </row>
    <row r="11" spans="1:14" s="241" customFormat="1" ht="12.75">
      <c r="A11" s="45">
        <f t="shared" ref="A11:A20" si="0">IF(B11="","",A10+1)</f>
        <v>3</v>
      </c>
      <c r="B11" s="79" t="str">
        <f>Δαπάνες!$B$11</f>
        <v>Α3</v>
      </c>
      <c r="C11" s="824"/>
      <c r="D11" s="238" t="str">
        <f>Δαπάνες!$D$11</f>
        <v>Υλικά Αναλώσιμα (Λάμπες κλπ)</v>
      </c>
      <c r="E11" s="80">
        <f>IF(Δαπάνες!$F$11="","",Δαπάνες!$F$11)</f>
        <v>10</v>
      </c>
      <c r="F11" s="81">
        <f ca="1">IF(E11="","",IF($A$5="","",IF(INDIRECT(ADDRESS($B$5,14,3,,"Διαμερίσματα"))="","",VLOOKUP($A$5,Διαμερίσματα!$A$6:$N$27,Δαπάνες!E11))))</f>
        <v>33.401608739251955</v>
      </c>
      <c r="G11" s="82">
        <f t="shared" ref="G11:G20" ca="1" si="1">IF(E11="","",E11*F11/1000)</f>
        <v>0.33401608739251959</v>
      </c>
    </row>
    <row r="12" spans="1:14" s="241" customFormat="1" ht="12.75">
      <c r="A12" s="45">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46.203247348994005</v>
      </c>
      <c r="G12" s="85">
        <f t="shared" ca="1" si="1"/>
        <v>2.3101623674497</v>
      </c>
    </row>
    <row r="13" spans="1:14" s="241" customFormat="1" ht="12.75">
      <c r="A13" s="45">
        <f t="shared" si="0"/>
        <v>5</v>
      </c>
      <c r="B13" s="86" t="str">
        <f>Δαπάνες!$B$13</f>
        <v>Γ1</v>
      </c>
      <c r="C13" s="825" t="str">
        <f>Δαπάνες!$C$13</f>
        <v>Έξοδα Κήπου</v>
      </c>
      <c r="D13" s="238" t="str">
        <f>Δαπάνες!$D$13</f>
        <v>Συντήρηση Κήπου</v>
      </c>
      <c r="E13" s="80">
        <f>IF(Δαπάνες!$F$13="","",Δαπάνες!$F$13)</f>
        <v>60</v>
      </c>
      <c r="F13" s="81">
        <f ca="1">IF(E13="","",IF($A$5="","",IF(INDIRECT(ADDRESS($B$5,13,3,,"Διαμερίσματα"))="","",VLOOKUP($A$5,Διαμερίσματα!$A$6:$N$27,Δαπάνες!E13))))</f>
        <v>64.648274979197325</v>
      </c>
      <c r="G13" s="82">
        <f t="shared" ca="1" si="1"/>
        <v>3.8788964987518395</v>
      </c>
    </row>
    <row r="14" spans="1:14" s="241" customFormat="1" ht="12.75">
      <c r="A14" s="45">
        <f t="shared" si="0"/>
        <v>6</v>
      </c>
      <c r="B14" s="86" t="str">
        <f>Δαπάνες!$B$14</f>
        <v>Γ2</v>
      </c>
      <c r="C14" s="825"/>
      <c r="D14" s="238" t="str">
        <f>Δαπάνες!$D$14</f>
        <v>ΕΥΔΑΠ (Νερό) Κοινόχρηστων Χώρων</v>
      </c>
      <c r="E14" s="80">
        <f>IF(Δαπάνες!$F$14="","",Δαπάνες!$F$14)</f>
        <v>20</v>
      </c>
      <c r="F14" s="81">
        <f ca="1">IF(E14="","",IF($A$5="","",IF(INDIRECT(ADDRESS($B$5,13,3,,"Διαμερίσματα"))="","",VLOOKUP($A$5,Διαμερίσματα!$A$6:$N$27,Δαπάνες!E14))))</f>
        <v>64.648274979197325</v>
      </c>
      <c r="G14" s="82">
        <f t="shared" ca="1" si="1"/>
        <v>1.2929654995839464</v>
      </c>
    </row>
    <row r="15" spans="1:14" s="241" customFormat="1" ht="12.75">
      <c r="A15" s="45">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0</v>
      </c>
      <c r="G15" s="85">
        <f ca="1">IF(A5="","",IF(INDIRECT(ADDRESS(A4,16,3,,"Θέρμανση"))="","",VLOOKUP(A5,Θέρμανση!$A$5:$R$26,18)))</f>
        <v>0</v>
      </c>
    </row>
    <row r="16" spans="1:14" s="241" customFormat="1" ht="12.75">
      <c r="A16" s="45">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75.050709939148049</v>
      </c>
      <c r="G16" s="85">
        <f t="shared" ca="1" si="1"/>
        <v>5.2535496957403636</v>
      </c>
    </row>
    <row r="17" spans="1:14" s="241" customFormat="1" ht="12.75">
      <c r="A17" s="45">
        <f t="shared" si="0"/>
        <v>9</v>
      </c>
      <c r="B17" s="238" t="str">
        <f>Δαπάνες!$B$17</f>
        <v>Ε1</v>
      </c>
      <c r="C17" s="238" t="str">
        <f>Δαπάνες!$C$17</f>
        <v>Έξοδα Ιδιοκτητών</v>
      </c>
      <c r="D17" s="238" t="str">
        <f>Δαπάνες!$D$17</f>
        <v>Συντήρηση Πολυκατοικίας</v>
      </c>
      <c r="E17" s="80">
        <f>IF(Δαπάνες!$F$17="","",Δαπάνες!$F$17)</f>
        <v>100</v>
      </c>
      <c r="F17" s="81">
        <f ca="1">IF(E17="","",IF($A$5="","",IF(INDIRECT(ADDRESS($B$5,13,3,,"Διαμερίσματα"))="","",VLOOKUP($A$5,Διαμερίσματα!$A$6:$N$27,Δαπάνες!E17))))</f>
        <v>64.648274979197325</v>
      </c>
      <c r="G17" s="82">
        <f t="shared" ca="1" si="1"/>
        <v>6.4648274979197318</v>
      </c>
      <c r="H17" s="90"/>
    </row>
    <row r="18" spans="1:14" s="241" customFormat="1" ht="12.75">
      <c r="A18" s="45">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64.648274979197325</v>
      </c>
      <c r="G18" s="85">
        <f t="shared" ca="1" si="1"/>
        <v>12.929654995839464</v>
      </c>
    </row>
    <row r="19" spans="1:14" s="241" customFormat="1" ht="12.75">
      <c r="A19" s="45">
        <f t="shared" si="0"/>
        <v>11</v>
      </c>
      <c r="B19" s="79" t="str">
        <f>Δαπάνες!$B$19</f>
        <v>Η1</v>
      </c>
      <c r="C19" s="822" t="str">
        <f>Δαπάνες!$C$19</f>
        <v>Διαχείριση</v>
      </c>
      <c r="D19" s="238" t="str">
        <f>Δαπάνες!$D$19</f>
        <v>Αμοιβή Διαχειριστή</v>
      </c>
      <c r="E19" s="80">
        <f>IF(Δαπάνες!$F$19="","",Δαπάνες!$F$19)</f>
        <v>80</v>
      </c>
      <c r="F19" s="81">
        <f ca="1">IF(E19="","",IF($A$5="","",IF(INDIRECT(ADDRESS($B$5,13,3,,"Διαμερίσματα"))="","",VLOOKUP($A$5,Διαμερίσματα!$A$6:$N$27,Δαπάνες!E19))))</f>
        <v>64.648274979197325</v>
      </c>
      <c r="G19" s="82">
        <f t="shared" ca="1" si="1"/>
        <v>5.1718619983357854</v>
      </c>
    </row>
    <row r="20" spans="1:14" s="241" customFormat="1" ht="12.75">
      <c r="A20" s="45">
        <f t="shared" si="0"/>
        <v>12</v>
      </c>
      <c r="B20" s="79" t="str">
        <f>Δαπάνες!$B$20</f>
        <v>Η2</v>
      </c>
      <c r="C20" s="823"/>
      <c r="D20" s="238" t="str">
        <f>Δαπάνες!$D$20</f>
        <v>Έκδοση Κοινοχρήστων</v>
      </c>
      <c r="E20" s="80">
        <f>IF(Δαπάνες!$F$20="","",Δαπάνες!$F$20)</f>
        <v>20</v>
      </c>
      <c r="F20" s="81">
        <f>IF(E20="","",IF(Διαμερίσματα!C6="",1000/Διαμερίσματα!$D$28,Διαμερίσματα!$B$30*10/Διαμερίσματα!$D$28))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44.314208126686182</v>
      </c>
    </row>
    <row r="22" spans="1:14" s="39" customFormat="1" ht="18.95" customHeight="1">
      <c r="A22" s="830" t="str">
        <f>IFERROR(VLOOKUP(F1,Σχόλια!$A$4:$C$16,2,FALSE),0)</f>
        <v>Έγινε συντήρηση του καυστήρα.</v>
      </c>
      <c r="B22" s="830"/>
      <c r="C22" s="830"/>
      <c r="D22" s="830"/>
      <c r="E22" s="830"/>
      <c r="F22" s="830"/>
      <c r="G22" s="830"/>
    </row>
    <row r="23" spans="1:14" s="39" customFormat="1" ht="18.95" customHeight="1">
      <c r="A23" s="832" t="str">
        <f>IFERROR(VLOOKUP(F1,Σχόλια!$A$4:$C$16,3,FALSE),0)</f>
        <v>Η συντήρηση του Ανελκυστήρα, από 55€*12μήνες, έγινε 55€*8μήνες.</v>
      </c>
      <c r="B23" s="832"/>
      <c r="C23" s="832"/>
      <c r="D23" s="832"/>
      <c r="E23" s="832"/>
      <c r="F23" s="832"/>
      <c r="G23" s="83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9.1612042276075591</v>
      </c>
      <c r="E28" s="811" t="str">
        <f>ΣΤΟΙΧΕΙΑ!$C$8</f>
        <v>Διαχειριστής: Φ.Διαχειριστίδης, 697-1234567</v>
      </c>
      <c r="F28" s="811"/>
      <c r="G28" s="812"/>
    </row>
    <row r="29" spans="1:14" s="38" customFormat="1" ht="15.75">
      <c r="A29" s="74">
        <f>4+A30</f>
        <v>6</v>
      </c>
      <c r="B29" s="324"/>
      <c r="C29" s="77" t="s">
        <v>61</v>
      </c>
      <c r="D29" s="237" t="str">
        <f ca="1">IF(A30="","",IF(INDIRECT(ADDRESS(B30,6,3,,"Διαμερίσματα"))="","",VLOOKUP(A30,Διαμερίσματα!$A$6:$N$27,6)))</f>
        <v>Ιδιοκτήτης-2</v>
      </c>
      <c r="E29" s="237" t="s">
        <v>59</v>
      </c>
      <c r="F29" s="816" t="str">
        <f ca="1">IF(A30="","",IF(INDIRECT(ADDRESS(B30,7,3,,"Διαμερίσματα"))="","",VLOOKUP(A30,Διαμερίσματα!$A$6:$N$27,7)))</f>
        <v/>
      </c>
      <c r="G29" s="817"/>
    </row>
    <row r="30" spans="1:14" s="38" customFormat="1" ht="15.75">
      <c r="A30" s="75">
        <f>A5+1</f>
        <v>2</v>
      </c>
      <c r="B30" s="76">
        <f>5+A30</f>
        <v>7</v>
      </c>
      <c r="C30" s="325" t="s">
        <v>62</v>
      </c>
      <c r="D30" s="73" t="str">
        <f ca="1">IF(A30="","",IF(INDIRECT(ADDRESS(B30,9,3,,"Διαμερίσματα"))="","",VLOOKUP(A30,Διαμερίσματα!$A$6:$N$27,9)))</f>
        <v>Ιδιοκτήτης-2</v>
      </c>
      <c r="E30" s="236"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Κ2</v>
      </c>
      <c r="B31" s="827"/>
      <c r="C31" s="77" t="str">
        <f ca="1">IF(A30="","",IF(INDIRECT(ADDRESS(B30,3,3,,"Διαμερίσματα"))="","",VLOOKUP(A30,Διαμερίσματα!$A$6:$N$27,3)))</f>
        <v/>
      </c>
      <c r="D31" s="77" t="s">
        <v>86</v>
      </c>
      <c r="E31" s="237" t="str">
        <f ca="1">IF(A30="","",IF(INDIRECT(ADDRESS(B30,4,3,,"Διαμερίσματα"))="","",VLOOKUP(A30,Διαμερίσματα!$A$6:$N$27,4)))</f>
        <v>Ισ</v>
      </c>
      <c r="F31" s="78">
        <f ca="1">IF(A30="","",IF(INDIRECT(ADDRESS(B30,5,3,,"Διαμερίσματα"))="","",VLOOKUP(A30,Διαμερίσματα!$A$6:$N$27,5)))</f>
        <v>60</v>
      </c>
      <c r="G31" s="326" t="s">
        <v>60</v>
      </c>
    </row>
    <row r="32" spans="1:14" s="28" customFormat="1" ht="12.75">
      <c r="A32" s="298" t="s">
        <v>24</v>
      </c>
      <c r="B32" s="298" t="s">
        <v>40</v>
      </c>
      <c r="C32" s="298" t="s">
        <v>30</v>
      </c>
      <c r="D32" s="298" t="s">
        <v>32</v>
      </c>
      <c r="E32" s="298" t="s">
        <v>58</v>
      </c>
      <c r="F32" s="298" t="s">
        <v>33</v>
      </c>
      <c r="G32" s="298" t="s">
        <v>56</v>
      </c>
    </row>
    <row r="33" spans="1:7" s="28" customFormat="1" ht="12.75">
      <c r="A33" s="298">
        <v>1</v>
      </c>
      <c r="B33" s="298">
        <v>2</v>
      </c>
      <c r="C33" s="298">
        <v>3</v>
      </c>
      <c r="D33" s="298">
        <v>4</v>
      </c>
      <c r="E33" s="298">
        <v>5</v>
      </c>
      <c r="F33" s="298">
        <v>6</v>
      </c>
      <c r="G33" s="298">
        <v>7</v>
      </c>
    </row>
    <row r="34" spans="1:7" s="241" customFormat="1" ht="12.75">
      <c r="A34" s="45">
        <f>IF(B34="","",1)</f>
        <v>1</v>
      </c>
      <c r="B34" s="79" t="str">
        <f>Δαπάνες!$B$9</f>
        <v>Α1</v>
      </c>
      <c r="C34" s="813" t="str">
        <f>Δαπάνες!$C$9</f>
        <v>Γενικά Κοινόχρηστα</v>
      </c>
      <c r="D34" s="238" t="str">
        <f>Δαπάνες!$D$9</f>
        <v>ΔΕΗ Κοινόχρηστων Χώρων</v>
      </c>
      <c r="E34" s="80">
        <f>IF(Δαπάνες!$F$9="","",Δαπάνες!$F$9)</f>
        <v>100</v>
      </c>
      <c r="F34" s="81">
        <f ca="1">IF(E34="","",IF($A$30="","",IF(INDIRECT(ADDRESS($B$30,14,3,,"Διαμερίσματα"))="","",VLOOKUP($A$30,Διαμερίσματα!$A$6:$N$27,Δαπάνες!E9))))</f>
        <v>64.648274979197325</v>
      </c>
      <c r="G34" s="82">
        <f ca="1">IF(E34="","",E34*F34/1000)</f>
        <v>6.4648274979197318</v>
      </c>
    </row>
    <row r="35" spans="1:7" s="241" customFormat="1" ht="12.75">
      <c r="A35" s="45">
        <f>IF(B35="","",A34+1)</f>
        <v>2</v>
      </c>
      <c r="B35" s="79" t="str">
        <f>Δαπάνες!$B$10</f>
        <v>Α2</v>
      </c>
      <c r="C35" s="814"/>
      <c r="D35" s="238" t="str">
        <f>Δαπάνες!$D$10</f>
        <v>Καθαρισμός Κοινόχρηστων Χώρων</v>
      </c>
      <c r="E35" s="80">
        <f>IF(Δαπάνες!$F$10="","",Δαπάνες!$F$10)</f>
        <v>70</v>
      </c>
      <c r="F35" s="81">
        <f ca="1">IF(E35="","",IF($A$30="","",IF(INDIRECT(ADDRESS($B$30,14,3,,"Διαμερίσματα"))="","",VLOOKUP($A$30,Διαμερίσματα!$A$6:$N$27,Δαπάνες!E10))))</f>
        <v>64.648274979197325</v>
      </c>
      <c r="G35" s="82">
        <f ca="1">IF(E35="","",E35*F35/1000)</f>
        <v>4.5253792485438122</v>
      </c>
    </row>
    <row r="36" spans="1:7" s="241" customFormat="1" ht="12.75">
      <c r="A36" s="45">
        <f t="shared" ref="A36:A45" si="2">IF(B36="","",A35+1)</f>
        <v>3</v>
      </c>
      <c r="B36" s="79" t="str">
        <f>Δαπάνες!$B$11</f>
        <v>Α3</v>
      </c>
      <c r="C36" s="815"/>
      <c r="D36" s="238" t="str">
        <f>Δαπάνες!$D$11</f>
        <v>Υλικά Αναλώσιμα (Λάμπες κλπ)</v>
      </c>
      <c r="E36" s="80">
        <f>IF(Δαπάνες!$F$11="","",Δαπάνες!$F$11)</f>
        <v>10</v>
      </c>
      <c r="F36" s="81">
        <f ca="1">IF(E36="","",IF($A$30="","",IF(INDIRECT(ADDRESS($B$30,14,3,,"Διαμερίσματα"))="","",VLOOKUP($A$30,Διαμερίσματα!$A$6:$N$27,Δαπάνες!E11))))</f>
        <v>64.648274979197325</v>
      </c>
      <c r="G36" s="82">
        <f t="shared" ref="G36:G39" ca="1" si="3">IF(E36="","",E36*F36/1000)</f>
        <v>0.64648274979197318</v>
      </c>
    </row>
    <row r="37" spans="1:7" s="241" customFormat="1" ht="12.75">
      <c r="A37" s="45">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33.401608739251955</v>
      </c>
      <c r="G37" s="85">
        <f t="shared" ca="1" si="3"/>
        <v>1.6700804369625979</v>
      </c>
    </row>
    <row r="38" spans="1:7" s="241" customFormat="1" ht="12.75">
      <c r="A38" s="45">
        <f t="shared" si="2"/>
        <v>5</v>
      </c>
      <c r="B38" s="86" t="str">
        <f>Δαπάνες!$B$13</f>
        <v>Γ1</v>
      </c>
      <c r="C38" s="822" t="str">
        <f>Δαπάνες!$C$13</f>
        <v>Έξοδα Κήπου</v>
      </c>
      <c r="D38" s="238" t="str">
        <f>Δαπάνες!$D$13</f>
        <v>Συντήρηση Κήπου</v>
      </c>
      <c r="E38" s="80">
        <f>IF(Δαπάνες!$F$13="","",Δαπάνες!$F$13)</f>
        <v>60</v>
      </c>
      <c r="F38" s="81">
        <f ca="1">IF(E38="","",IF($A$30="","",IF(INDIRECT(ADDRESS($B$30,13,3,,"Διαμερίσματα"))="","",VLOOKUP($A$30,Διαμερίσματα!$A$6:$N$27,Δαπάνες!E13))))</f>
        <v>46.203247348994005</v>
      </c>
      <c r="G38" s="82">
        <f t="shared" ca="1" si="3"/>
        <v>2.7721948409396404</v>
      </c>
    </row>
    <row r="39" spans="1:7" s="241" customFormat="1" ht="12.75">
      <c r="A39" s="45">
        <f t="shared" si="2"/>
        <v>6</v>
      </c>
      <c r="B39" s="86" t="str">
        <f>Δαπάνες!$B$14</f>
        <v>Γ2</v>
      </c>
      <c r="C39" s="823"/>
      <c r="D39" s="238" t="str">
        <f>Δαπάνες!$D$14</f>
        <v>ΕΥΔΑΠ (Νερό) Κοινόχρηστων Χώρων</v>
      </c>
      <c r="E39" s="80">
        <f>IF(Δαπάνες!$F$14="","",Δαπάνες!$F$14)</f>
        <v>20</v>
      </c>
      <c r="F39" s="81">
        <f ca="1">IF(E39="","",IF($A$30="","",IF(INDIRECT(ADDRESS($B$30,13,3,,"Διαμερίσματα"))="","",VLOOKUP($A$30,Διαμερίσματα!$A$6:$N$27,Δαπάνες!E14))))</f>
        <v>46.203247348994005</v>
      </c>
      <c r="G39" s="82">
        <f t="shared" ca="1" si="3"/>
        <v>0.92406494697988006</v>
      </c>
    </row>
    <row r="40" spans="1:7" s="241" customFormat="1" ht="12.75">
      <c r="A40" s="45">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0</v>
      </c>
      <c r="G40" s="85">
        <f ca="1">IF(A30="","",IF(INDIRECT(ADDRESS(A29,16,3,,"Θέρμανση"))="","",VLOOKUP(A30,Θέρμανση!$A$5:$R$26,18)))</f>
        <v>9.1612042276075591</v>
      </c>
    </row>
    <row r="41" spans="1:7" s="241" customFormat="1" ht="12.75">
      <c r="A41" s="45">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63.84114444325823</v>
      </c>
      <c r="G41" s="85">
        <f t="shared" ref="G41:G45" ca="1" si="4">IF(E41="","",E41*F41/1000)</f>
        <v>4.4688801110280769</v>
      </c>
    </row>
    <row r="42" spans="1:7" s="241" customFormat="1" ht="12.75">
      <c r="A42" s="45">
        <f t="shared" si="2"/>
        <v>9</v>
      </c>
      <c r="B42" s="238" t="str">
        <f>Δαπάνες!$B$17</f>
        <v>Ε1</v>
      </c>
      <c r="C42" s="238" t="str">
        <f>Δαπάνες!$C$17</f>
        <v>Έξοδα Ιδιοκτητών</v>
      </c>
      <c r="D42" s="238" t="str">
        <f>Δαπάνες!$D$17</f>
        <v>Συντήρηση Πολυκατοικίας</v>
      </c>
      <c r="E42" s="80">
        <f>IF(Δαπάνες!$F$17="","",Δαπάνες!$F$17)</f>
        <v>100</v>
      </c>
      <c r="F42" s="81">
        <f ca="1">IF(E42="","",IF($A$30="","",IF(INDIRECT(ADDRESS($B$30,13,3,,"Διαμερίσματα"))="","",VLOOKUP($A$30,Διαμερίσματα!$A$6:$N$27,Δαπάνες!E17))))</f>
        <v>46.203247348994005</v>
      </c>
      <c r="G42" s="82">
        <f t="shared" ca="1" si="4"/>
        <v>4.6203247348994001</v>
      </c>
    </row>
    <row r="43" spans="1:7" s="241" customFormat="1" ht="12.75">
      <c r="A43" s="45">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46.203247348994005</v>
      </c>
      <c r="G43" s="85">
        <f t="shared" ca="1" si="4"/>
        <v>9.2406494697988002</v>
      </c>
    </row>
    <row r="44" spans="1:7" s="241" customFormat="1" ht="12.75">
      <c r="A44" s="45">
        <f t="shared" si="2"/>
        <v>11</v>
      </c>
      <c r="B44" s="79" t="str">
        <f>Δαπάνες!$B$19</f>
        <v>Η1</v>
      </c>
      <c r="C44" s="822" t="str">
        <f>Δαπάνες!$C$19</f>
        <v>Διαχείριση</v>
      </c>
      <c r="D44" s="238" t="str">
        <f>Δαπάνες!$D$19</f>
        <v>Αμοιβή Διαχειριστή</v>
      </c>
      <c r="E44" s="80">
        <f>IF(Δαπάνες!$F$19="","",Δαπάνες!$F$19)</f>
        <v>80</v>
      </c>
      <c r="F44" s="81">
        <f ca="1">IF(E44="","",IF($A$30="","",IF(INDIRECT(ADDRESS($B$30,13,3,,"Διαμερίσματα"))="","",VLOOKUP($A$30,Διαμερίσματα!$A$6:$N$27,Δαπάνες!E19))))</f>
        <v>46.203247348994005</v>
      </c>
      <c r="G44" s="82">
        <f t="shared" ca="1" si="4"/>
        <v>3.6962597879195203</v>
      </c>
    </row>
    <row r="45" spans="1:7" s="241" customFormat="1" ht="12.75">
      <c r="A45" s="45">
        <f t="shared" si="2"/>
        <v>12</v>
      </c>
      <c r="B45" s="79" t="str">
        <f>Δαπάνες!$B$20</f>
        <v>Η2</v>
      </c>
      <c r="C45" s="823"/>
      <c r="D45" s="238" t="str">
        <f>Δαπάνες!$D$20</f>
        <v>Έκδοση Κοινοχρήστων</v>
      </c>
      <c r="E45" s="80">
        <f>IF(Δαπάνες!$F$20="","",Δαπάνες!$F$20)</f>
        <v>20</v>
      </c>
      <c r="F45" s="81">
        <f>IF(E45="","",IF(Διαμερίσματα!C7="",1000/Διαμερίσματα!$D$28,Διαμερίσματα!$B$30*10/Διαμερίσματα!$D$28))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49.190348052390995</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0" spans="3:4">
      <c r="C50" s="40"/>
    </row>
    <row r="51" spans="3:4">
      <c r="D51" s="91"/>
    </row>
  </sheetData>
  <sheetProtection password="E4A3" sheet="1" objects="1" scenarios="1" selectLockedCells="1"/>
  <mergeCells count="34">
    <mergeCell ref="A47:G47"/>
    <mergeCell ref="A48:G48"/>
    <mergeCell ref="A23:G23"/>
    <mergeCell ref="A22:G22"/>
    <mergeCell ref="D26:E26"/>
    <mergeCell ref="F26:G26"/>
    <mergeCell ref="A27:B27"/>
    <mergeCell ref="E27:G27"/>
    <mergeCell ref="A28:C28"/>
    <mergeCell ref="E28:G28"/>
    <mergeCell ref="C38:C39"/>
    <mergeCell ref="C40:C41"/>
    <mergeCell ref="C44:C45"/>
    <mergeCell ref="A46:D46"/>
    <mergeCell ref="F30:G30"/>
    <mergeCell ref="A31:B31"/>
    <mergeCell ref="C34:C36"/>
    <mergeCell ref="F4:G4"/>
    <mergeCell ref="F5:G5"/>
    <mergeCell ref="C15:C16"/>
    <mergeCell ref="C19:C20"/>
    <mergeCell ref="A21:D21"/>
    <mergeCell ref="C9:C11"/>
    <mergeCell ref="C13:C14"/>
    <mergeCell ref="F29:G29"/>
    <mergeCell ref="A6:B6"/>
    <mergeCell ref="A24:G24"/>
    <mergeCell ref="E25:G25"/>
    <mergeCell ref="F1:G1"/>
    <mergeCell ref="D1:E1"/>
    <mergeCell ref="A3:C3"/>
    <mergeCell ref="E3:G3"/>
    <mergeCell ref="E2:G2"/>
    <mergeCell ref="A2:B2"/>
  </mergeCells>
  <hyperlinks>
    <hyperlink ref="A48:G48" r:id="rId1" display="http://lavrio.web.officelive.com/kinohrista.aspx"/>
    <hyperlink ref="A23:G23" r:id="rId2" display="http://lavrio.web.officelive.com/kinohrista.aspx"/>
    <hyperlink ref="E25:G25" location="ΠΛΟΗΓΗΣΗ!A1" display="Επιστροφή   στην   ΠΛΟΗΓΗΣΗ"/>
  </hyperlinks>
  <printOptions horizontalCentered="1"/>
  <pageMargins left="0.39370078740157483" right="0" top="0.19685039370078741" bottom="0.39370078740157483" header="0.31496062992125984" footer="0.31496062992125984"/>
  <pageSetup paperSize="121" orientation="portrait" r:id="rId3"/>
  <customProperties>
    <customPr name="DVSECTIONID" r:id="rId4"/>
  </customProperties>
  <ignoredErrors>
    <ignoredError sqref="E21" formulaRange="1"/>
  </ignoredErrors>
  <drawing r:id="rId5"/>
  <legacyDrawing r:id="rId6"/>
</worksheet>
</file>

<file path=xl/worksheets/sheet11.xml><?xml version="1.0" encoding="utf-8"?>
<worksheet xmlns="http://schemas.openxmlformats.org/spreadsheetml/2006/main" xmlns:r="http://schemas.openxmlformats.org/officeDocument/2006/relationships">
  <sheetPr codeName="Φύλλο10">
    <tabColor rgb="FF0070C0"/>
  </sheetPr>
  <dimension ref="A1:N53"/>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7.1158321767908621</v>
      </c>
      <c r="E3" s="811" t="str">
        <f>ΣΤΟΙΧΕΙΑ!$C$8</f>
        <v>Διαχειριστής: Φ.Διαχειριστίδης, 697-1234567</v>
      </c>
      <c r="F3" s="811"/>
      <c r="G3" s="812"/>
    </row>
    <row r="4" spans="1:14" s="38" customFormat="1" ht="15.75">
      <c r="A4" s="74">
        <f>4+A5</f>
        <v>7</v>
      </c>
      <c r="B4" s="324"/>
      <c r="C4" s="77" t="s">
        <v>61</v>
      </c>
      <c r="D4" s="237" t="str">
        <f ca="1">IF(A5="","",IF(INDIRECT(ADDRESS(B5,6,3,,"Διαμερίσματα"))="","",VLOOKUP(A5,Διαμερίσματα!$A$6:$N$27,6)))</f>
        <v>Ιδιοκτήτης-3</v>
      </c>
      <c r="E4" s="237" t="s">
        <v>59</v>
      </c>
      <c r="F4" s="816" t="str">
        <f ca="1">IF(A5="","",IF(INDIRECT(ADDRESS(B5,7,3,,"Διαμερίσματα"))="","",VLOOKUP(A5,Διαμερίσματα!$A$6:$N$27,7)))</f>
        <v/>
      </c>
      <c r="G4" s="817"/>
    </row>
    <row r="5" spans="1:14" s="38" customFormat="1" ht="15.75">
      <c r="A5" s="75">
        <f>Διαμερίσματα!$A$8</f>
        <v>3</v>
      </c>
      <c r="B5" s="76">
        <f>5+A5</f>
        <v>8</v>
      </c>
      <c r="C5" s="325" t="s">
        <v>62</v>
      </c>
      <c r="D5" s="73" t="str">
        <f ca="1">IF(A5="","",IF(INDIRECT(ADDRESS(B5,9,3,,"Διαμερίσματα"))="","",VLOOKUP(A5,Διαμερίσματα!$A$6:$N$27,9)))</f>
        <v>Ιδιοκτήτης-3</v>
      </c>
      <c r="E5" s="462"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Κ3</v>
      </c>
      <c r="B6" s="827"/>
      <c r="C6" s="77" t="str">
        <f ca="1">IF(A5="","",IF(INDIRECT(ADDRESS(B5,3,3,,"Διαμερίσματα"))="","",VLOOKUP(A5,Διαμερίσματα!$A$6:$N$27,3)))</f>
        <v/>
      </c>
      <c r="D6" s="77" t="s">
        <v>86</v>
      </c>
      <c r="E6" s="461" t="str">
        <f ca="1">IF(A5="","",IF(INDIRECT(ADDRESS(B5,4,3,,"Διαμερίσματα"))="","",VLOOKUP(A5,Διαμερίσματα!$A$6:$N$27,4)))</f>
        <v>Ισ</v>
      </c>
      <c r="F6" s="78">
        <f ca="1">IF(A5="","",IF(INDIRECT(ADDRESS(B5,5,3,,"Διαμερίσματα"))="","",VLOOKUP(A5,Διαμερίσματα!$A$6:$N$27,5)))</f>
        <v>50</v>
      </c>
      <c r="G6" s="326" t="s">
        <v>60</v>
      </c>
    </row>
    <row r="7" spans="1:14" s="28" customFormat="1" ht="12.75">
      <c r="A7" s="298" t="s">
        <v>24</v>
      </c>
      <c r="B7" s="298" t="s">
        <v>40</v>
      </c>
      <c r="C7" s="298" t="s">
        <v>30</v>
      </c>
      <c r="D7" s="298" t="s">
        <v>32</v>
      </c>
      <c r="E7" s="298" t="s">
        <v>58</v>
      </c>
      <c r="F7" s="298" t="s">
        <v>33</v>
      </c>
      <c r="G7" s="298" t="s">
        <v>56</v>
      </c>
    </row>
    <row r="8" spans="1:14" s="28" customFormat="1" ht="12.75">
      <c r="A8" s="298">
        <v>1</v>
      </c>
      <c r="B8" s="298">
        <v>2</v>
      </c>
      <c r="C8" s="298">
        <v>3</v>
      </c>
      <c r="D8" s="298">
        <v>4</v>
      </c>
      <c r="E8" s="298">
        <v>5</v>
      </c>
      <c r="F8" s="298">
        <v>6</v>
      </c>
      <c r="G8" s="298">
        <v>7</v>
      </c>
    </row>
    <row r="9" spans="1:14" s="241" customFormat="1" ht="12.75">
      <c r="A9" s="45">
        <f>IF(B9="","",1)</f>
        <v>1</v>
      </c>
      <c r="B9" s="79" t="str">
        <f>Δαπάνες!$B$9</f>
        <v>Α1</v>
      </c>
      <c r="C9" s="813" t="str">
        <f>Δαπάνες!$C$9</f>
        <v>Γενικά Κοινόχρηστα</v>
      </c>
      <c r="D9" s="238" t="str">
        <f>Δαπάνες!$D$9</f>
        <v>ΔΕΗ Κοινόχρηστων Χώρων</v>
      </c>
      <c r="E9" s="80">
        <f>IF(Δαπάνες!$F$9="","",Δαπάνες!$F$9)</f>
        <v>100</v>
      </c>
      <c r="F9" s="81">
        <f ca="1">IF(E9="","",IF($A$5="","",IF(INDIRECT(ADDRESS($B$5,14,3,,"Διαμερίσματα"))="","",VLOOKUP($A$5,Διαμερίσματα!$A$6:$N$27,Δαπάνες!E9))))</f>
        <v>46.203247348994005</v>
      </c>
      <c r="G9" s="82">
        <f ca="1">IF(E9="","",E9*F9/1000)</f>
        <v>4.6203247348994001</v>
      </c>
    </row>
    <row r="10" spans="1:14" s="241" customFormat="1" ht="12.75">
      <c r="A10" s="45">
        <f>IF(B10="","",A9+1)</f>
        <v>2</v>
      </c>
      <c r="B10" s="79" t="str">
        <f>Δαπάνες!$B$10</f>
        <v>Α2</v>
      </c>
      <c r="C10" s="814"/>
      <c r="D10" s="238" t="str">
        <f>Δαπάνες!$D$10</f>
        <v>Καθαρισμός Κοινόχρηστων Χώρων</v>
      </c>
      <c r="E10" s="80">
        <f>IF(Δαπάνες!$F$10="","",Δαπάνες!$F$10)</f>
        <v>70</v>
      </c>
      <c r="F10" s="81">
        <f ca="1">IF(E10="","",IF($A$5="","",IF(INDIRECT(ADDRESS($B$5,14,3,,"Διαμερίσματα"))="","",VLOOKUP($A$5,Διαμερίσματα!$A$6:$N$27,Δαπάνες!E10))))</f>
        <v>46.203247348994005</v>
      </c>
      <c r="G10" s="82">
        <f ca="1">IF(E10="","",E10*F10/1000)</f>
        <v>3.2342273144295803</v>
      </c>
    </row>
    <row r="11" spans="1:14" s="241" customFormat="1" ht="12.75">
      <c r="A11" s="45">
        <f t="shared" ref="A11:A20" si="0">IF(B11="","",A10+1)</f>
        <v>3</v>
      </c>
      <c r="B11" s="79" t="str">
        <f>Δαπάνες!$B$11</f>
        <v>Α3</v>
      </c>
      <c r="C11" s="815"/>
      <c r="D11" s="238" t="str">
        <f>Δαπάνες!$D$11</f>
        <v>Υλικά Αναλώσιμα (Λάμπες κλπ)</v>
      </c>
      <c r="E11" s="80">
        <f>IF(Δαπάνες!$F$11="","",Δαπάνες!$F$11)</f>
        <v>10</v>
      </c>
      <c r="F11" s="81">
        <f ca="1">IF(E11="","",IF($A$5="","",IF(INDIRECT(ADDRESS($B$5,14,3,,"Διαμερίσματα"))="","",VLOOKUP($A$5,Διαμερίσματα!$A$6:$N$27,Δαπάνες!E11))))</f>
        <v>46.203247348994005</v>
      </c>
      <c r="G11" s="82">
        <f t="shared" ref="G11:G20" ca="1" si="1">IF(E11="","",E11*F11/1000)</f>
        <v>0.46203247348994003</v>
      </c>
    </row>
    <row r="12" spans="1:14" s="241" customFormat="1" ht="12.75">
      <c r="A12" s="45">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64.648274979197325</v>
      </c>
      <c r="G12" s="85">
        <f t="shared" ca="1" si="1"/>
        <v>3.2324137489598659</v>
      </c>
    </row>
    <row r="13" spans="1:14" s="241" customFormat="1" ht="12.75">
      <c r="A13" s="45">
        <f t="shared" si="0"/>
        <v>5</v>
      </c>
      <c r="B13" s="86" t="str">
        <f>Δαπάνες!$B$13</f>
        <v>Γ1</v>
      </c>
      <c r="C13" s="822" t="str">
        <f>Δαπάνες!$C$13</f>
        <v>Έξοδα Κήπου</v>
      </c>
      <c r="D13" s="238" t="str">
        <f>Δαπάνες!$D$13</f>
        <v>Συντήρηση Κήπου</v>
      </c>
      <c r="E13" s="80">
        <f>IF(Δαπάνες!$F$13="","",Δαπάνες!$F$13)</f>
        <v>60</v>
      </c>
      <c r="F13" s="81">
        <f ca="1">IF(E13="","",IF($A$5="","",IF(INDIRECT(ADDRESS($B$5,13,3,,"Διαμερίσματα"))="","",VLOOKUP($A$5,Διαμερίσματα!$A$6:$N$27,Δαπάνες!E13))))</f>
        <v>33.401608739251955</v>
      </c>
      <c r="G13" s="82">
        <f t="shared" ca="1" si="1"/>
        <v>2.0040965243551172</v>
      </c>
    </row>
    <row r="14" spans="1:14" s="241" customFormat="1" ht="12.75">
      <c r="A14" s="45">
        <f t="shared" si="0"/>
        <v>6</v>
      </c>
      <c r="B14" s="86" t="str">
        <f>Δαπάνες!$B$14</f>
        <v>Γ2</v>
      </c>
      <c r="C14" s="823"/>
      <c r="D14" s="238" t="str">
        <f>Δαπάνες!$D$14</f>
        <v>ΕΥΔΑΠ (Νερό) Κοινόχρηστων Χώρων</v>
      </c>
      <c r="E14" s="80">
        <f>IF(Δαπάνες!$F$14="","",Δαπάνες!$F$14)</f>
        <v>20</v>
      </c>
      <c r="F14" s="81">
        <f ca="1">IF(E14="","",IF($A$5="","",IF(INDIRECT(ADDRESS($B$5,13,3,,"Διαμερίσματα"))="","",VLOOKUP($A$5,Διαμερίσματα!$A$6:$N$27,Δαπάνες!E14))))</f>
        <v>33.401608739251955</v>
      </c>
      <c r="G14" s="82">
        <f t="shared" ca="1" si="1"/>
        <v>0.66803217478503918</v>
      </c>
    </row>
    <row r="15" spans="1:14" s="241" customFormat="1" ht="12.75">
      <c r="A15" s="45">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99</v>
      </c>
      <c r="G15" s="85">
        <f ca="1">IF(A5="","",IF(INDIRECT(ADDRESS(A4,16,3,,"Θέρμανση"))="","",VLOOKUP(A5,Θέρμανση!$A$5:$R$26,18)))</f>
        <v>193.17297509721948</v>
      </c>
    </row>
    <row r="16" spans="1:14" s="241" customFormat="1" ht="12.75">
      <c r="A16" s="45">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56.474858545959208</v>
      </c>
      <c r="G16" s="85">
        <f t="shared" ca="1" si="1"/>
        <v>3.9532400982171443</v>
      </c>
    </row>
    <row r="17" spans="1:14" s="241" customFormat="1" ht="12.75">
      <c r="A17" s="45">
        <f t="shared" si="0"/>
        <v>9</v>
      </c>
      <c r="B17" s="238" t="str">
        <f>Δαπάνες!$B$17</f>
        <v>Ε1</v>
      </c>
      <c r="C17" s="238" t="str">
        <f>Δαπάνες!$C$17</f>
        <v>Έξοδα Ιδιοκτητών</v>
      </c>
      <c r="D17" s="238" t="str">
        <f>Δαπάνες!$D$17</f>
        <v>Συντήρηση Πολυκατοικίας</v>
      </c>
      <c r="E17" s="80">
        <f>IF(Δαπάνες!$F$17="","",Δαπάνες!$F$17)</f>
        <v>100</v>
      </c>
      <c r="F17" s="81">
        <f ca="1">IF(E17="","",IF($A$5="","",IF(INDIRECT(ADDRESS($B$5,13,3,,"Διαμερίσματα"))="","",VLOOKUP($A$5,Διαμερίσματα!$A$6:$N$27,Δαπάνες!E17))))</f>
        <v>33.401608739251955</v>
      </c>
      <c r="G17" s="82">
        <f t="shared" ca="1" si="1"/>
        <v>3.3401608739251958</v>
      </c>
    </row>
    <row r="18" spans="1:14" s="241" customFormat="1" ht="12.75">
      <c r="A18" s="45">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33.401608739251955</v>
      </c>
      <c r="G18" s="85">
        <f t="shared" ca="1" si="1"/>
        <v>6.6803217478503916</v>
      </c>
    </row>
    <row r="19" spans="1:14" s="241" customFormat="1" ht="12.75">
      <c r="A19" s="45">
        <f t="shared" si="0"/>
        <v>11</v>
      </c>
      <c r="B19" s="79" t="str">
        <f>Δαπάνες!$B$19</f>
        <v>Η1</v>
      </c>
      <c r="C19" s="822" t="str">
        <f>Δαπάνες!$C$19</f>
        <v>Διαχείριση</v>
      </c>
      <c r="D19" s="238" t="str">
        <f>Δαπάνες!$D$19</f>
        <v>Αμοιβή Διαχειριστή</v>
      </c>
      <c r="E19" s="80">
        <f>IF(Δαπάνες!$F$19="","",Δαπάνες!$F$19)</f>
        <v>80</v>
      </c>
      <c r="F19" s="81">
        <f ca="1">IF(E19="","",IF($A$5="","",IF(INDIRECT(ADDRESS($B$5,13,3,,"Διαμερίσματα"))="","",VLOOKUP($A$5,Διαμερίσματα!$A$6:$N$27,Δαπάνες!E19))))</f>
        <v>33.401608739251955</v>
      </c>
      <c r="G19" s="82">
        <f t="shared" ca="1" si="1"/>
        <v>2.6721286991401567</v>
      </c>
    </row>
    <row r="20" spans="1:14" s="241" customFormat="1" ht="12.75">
      <c r="A20" s="45">
        <f t="shared" si="0"/>
        <v>12</v>
      </c>
      <c r="B20" s="79" t="str">
        <f>Δαπάνες!$B$20</f>
        <v>Η2</v>
      </c>
      <c r="C20" s="823"/>
      <c r="D20" s="238" t="str">
        <f>Δαπάνες!$D$20</f>
        <v>Έκδοση Κοινοχρήστων</v>
      </c>
      <c r="E20" s="80">
        <f>IF(Δαπάνες!$F$20="","",Δαπάνες!$F$20)</f>
        <v>20</v>
      </c>
      <c r="F20" s="81">
        <f>IF(E20="","",IF(Διαμερίσματα!C8="",1000/Διαμερίσματα!$D$28,Διαμερίσματα!$B$30*10/Διαμερίσματα!$D$28))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225.0399534872713</v>
      </c>
    </row>
    <row r="22" spans="1:14" s="39" customFormat="1" ht="18.95" customHeight="1">
      <c r="A22" s="830" t="str">
        <f>'1-2'!$A$22:$G$22</f>
        <v>Έγινε συντήρηση του καυστήρα.</v>
      </c>
      <c r="B22" s="831"/>
      <c r="C22" s="831"/>
      <c r="D22" s="831"/>
      <c r="E22" s="831"/>
      <c r="F22" s="831"/>
      <c r="G22" s="831"/>
    </row>
    <row r="23" spans="1:14" s="39" customFormat="1" ht="18.95" customHeight="1">
      <c r="A23" s="832" t="str">
        <f>'1-2'!$A$23:$G$23</f>
        <v>Η συντήρηση του Ανελκυστήρα, από 55€*12μήνες, έγινε 55€*8μήνες.</v>
      </c>
      <c r="B23" s="832"/>
      <c r="C23" s="832"/>
      <c r="D23" s="832"/>
      <c r="E23" s="832"/>
      <c r="F23" s="832"/>
      <c r="G23" s="832"/>
    </row>
    <row r="24" spans="1:14" s="39" customFormat="1" ht="24.95" customHeight="1">
      <c r="A24" s="828"/>
      <c r="B24" s="828"/>
      <c r="C24" s="828"/>
      <c r="D24" s="828"/>
      <c r="E24" s="828"/>
      <c r="F24" s="828"/>
      <c r="G24" s="828"/>
      <c r="H24" s="92"/>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8</v>
      </c>
      <c r="B29" s="324"/>
      <c r="C29" s="77" t="s">
        <v>61</v>
      </c>
      <c r="D29" s="461" t="str">
        <f ca="1">IF(A30="","",IF(INDIRECT(ADDRESS(B30,6,3,,"Διαμερίσματα"))="","",VLOOKUP(A30,Διαμερίσματα!$A$6:$N$27,6)))</f>
        <v>Ιδιοκτήτης-4</v>
      </c>
      <c r="E29" s="461" t="s">
        <v>59</v>
      </c>
      <c r="F29" s="816" t="str">
        <f ca="1">IF(A30="","",IF(INDIRECT(ADDRESS(B30,7,3,,"Διαμερίσματα"))="","",VLOOKUP(A30,Διαμερίσματα!$A$6:$N$27,7)))</f>
        <v/>
      </c>
      <c r="G29" s="817"/>
    </row>
    <row r="30" spans="1:14" s="38" customFormat="1" ht="15.75">
      <c r="A30" s="75">
        <f>A5+1</f>
        <v>4</v>
      </c>
      <c r="B30" s="76">
        <f>5+A30</f>
        <v>9</v>
      </c>
      <c r="C30" s="325" t="s">
        <v>62</v>
      </c>
      <c r="D30" s="73" t="str">
        <f ca="1">IF(A30="","",IF(INDIRECT(ADDRESS(B30,9,3,,"Διαμερίσματα"))="","",VLOOKUP(A30,Διαμερίσματα!$A$6:$N$27,9)))</f>
        <v>Ιδιοκτήτης-4</v>
      </c>
      <c r="E30" s="462"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Α1</v>
      </c>
      <c r="B31" s="827"/>
      <c r="C31" s="77" t="str">
        <f ca="1">IF(A30="","",IF(INDIRECT(ADDRESS(B30,3,3,,"Διαμερίσματα"))="","",VLOOKUP(A30,Διαμερίσματα!$A$6:$N$27,3)))</f>
        <v/>
      </c>
      <c r="D31" s="77" t="s">
        <v>86</v>
      </c>
      <c r="E31" s="461" t="str">
        <f ca="1">IF(A30="","",IF(INDIRECT(ADDRESS(B30,4,3,,"Διαμερίσματα"))="","",VLOOKUP(A30,Διαμερίσματα!$A$6:$N$27,4)))</f>
        <v>1ος</v>
      </c>
      <c r="F31" s="78">
        <f ca="1">IF(A30="","",IF(INDIRECT(ADDRESS(B30,5,3,,"Διαμερίσματα"))="","",VLOOKUP(A30,Διαμερίσματα!$A$6:$N$27,5)))</f>
        <v>60</v>
      </c>
      <c r="G31" s="326" t="s">
        <v>60</v>
      </c>
    </row>
    <row r="32" spans="1:14" s="28" customFormat="1" ht="12.75">
      <c r="A32" s="298" t="s">
        <v>24</v>
      </c>
      <c r="B32" s="298" t="s">
        <v>40</v>
      </c>
      <c r="C32" s="298" t="s">
        <v>30</v>
      </c>
      <c r="D32" s="298" t="s">
        <v>32</v>
      </c>
      <c r="E32" s="298" t="s">
        <v>58</v>
      </c>
      <c r="F32" s="298" t="s">
        <v>33</v>
      </c>
      <c r="G32" s="298" t="s">
        <v>56</v>
      </c>
    </row>
    <row r="33" spans="1:7" s="28" customFormat="1" ht="12.75">
      <c r="A33" s="298">
        <v>1</v>
      </c>
      <c r="B33" s="298">
        <v>2</v>
      </c>
      <c r="C33" s="298">
        <v>3</v>
      </c>
      <c r="D33" s="298">
        <v>4</v>
      </c>
      <c r="E33" s="298">
        <v>5</v>
      </c>
      <c r="F33" s="298">
        <v>6</v>
      </c>
      <c r="G33" s="298">
        <v>7</v>
      </c>
    </row>
    <row r="34" spans="1:7" s="241" customFormat="1" ht="12.75">
      <c r="A34" s="45">
        <f>IF(B34="","",1)</f>
        <v>1</v>
      </c>
      <c r="B34" s="79" t="str">
        <f>Δαπάνες!$B$9</f>
        <v>Α1</v>
      </c>
      <c r="C34" s="813" t="str">
        <f>Δαπάνες!$C$9</f>
        <v>Γενικά Κοινόχρηστα</v>
      </c>
      <c r="D34" s="238" t="str">
        <f>Δαπάνες!$D$9</f>
        <v>ΔΕΗ Κοινόχρηστων Χώρων</v>
      </c>
      <c r="E34" s="80">
        <f>IF(Δαπάνες!$F$9="","",Δαπάνες!$F$9)</f>
        <v>100</v>
      </c>
      <c r="F34" s="81">
        <f ca="1">IF(E34="","",IF($A$30="","",IF(INDIRECT(ADDRESS($B$30,14,3,,"Διαμερίσματα"))="","",VLOOKUP($A$30,Διαμερίσματα!$A$6:$N$27,Δαπάνες!E9))))</f>
        <v>33.390940707077171</v>
      </c>
      <c r="G34" s="82">
        <f ca="1">IF(E34="","",E34*F34/1000)</f>
        <v>3.3390940707077172</v>
      </c>
    </row>
    <row r="35" spans="1:7" s="241" customFormat="1" ht="12.75">
      <c r="A35" s="45">
        <f>IF(B35="","",A34+1)</f>
        <v>2</v>
      </c>
      <c r="B35" s="79" t="str">
        <f>Δαπάνες!$B$10</f>
        <v>Α2</v>
      </c>
      <c r="C35" s="814"/>
      <c r="D35" s="238" t="str">
        <f>Δαπάνες!$D$10</f>
        <v>Καθαρισμός Κοινόχρηστων Χώρων</v>
      </c>
      <c r="E35" s="80">
        <f>IF(Δαπάνες!$F$10="","",Δαπάνες!$F$10)</f>
        <v>70</v>
      </c>
      <c r="F35" s="81">
        <f ca="1">IF(E35="","",IF($A$30="","",IF(INDIRECT(ADDRESS($B$30,14,3,,"Διαμερίσματα"))="","",VLOOKUP($A$30,Διαμερίσματα!$A$6:$N$27,Δαπάνες!E10))))</f>
        <v>33.390940707077171</v>
      </c>
      <c r="G35" s="82">
        <f ca="1">IF(E35="","",E35*F35/1000)</f>
        <v>2.3373658494954022</v>
      </c>
    </row>
    <row r="36" spans="1:7" s="241" customFormat="1" ht="12.75">
      <c r="A36" s="45">
        <f t="shared" ref="A36:A45" si="2">IF(B36="","",A35+1)</f>
        <v>3</v>
      </c>
      <c r="B36" s="79" t="str">
        <f>Δαπάνες!$B$11</f>
        <v>Α3</v>
      </c>
      <c r="C36" s="815"/>
      <c r="D36" s="238" t="str">
        <f>Δαπάνες!$D$11</f>
        <v>Υλικά Αναλώσιμα (Λάμπες κλπ)</v>
      </c>
      <c r="E36" s="80">
        <f>IF(Δαπάνες!$F$11="","",Δαπάνες!$F$11)</f>
        <v>10</v>
      </c>
      <c r="F36" s="81">
        <f ca="1">IF(E36="","",IF($A$30="","",IF(INDIRECT(ADDRESS($B$30,14,3,,"Διαμερίσματα"))="","",VLOOKUP($A$30,Διαμερίσματα!$A$6:$N$27,Δαπάνες!E11))))</f>
        <v>33.390940707077171</v>
      </c>
      <c r="G36" s="82">
        <f t="shared" ref="G36:G39" ca="1" si="3">IF(E36="","",E36*F36/1000)</f>
        <v>0.33390940707077171</v>
      </c>
    </row>
    <row r="37" spans="1:7" s="241" customFormat="1" ht="12.75">
      <c r="A37" s="45">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33.390940707077171</v>
      </c>
      <c r="G37" s="85">
        <f t="shared" ca="1" si="3"/>
        <v>1.6695470353538586</v>
      </c>
    </row>
    <row r="38" spans="1:7" s="241" customFormat="1" ht="12.75">
      <c r="A38" s="45">
        <f t="shared" si="2"/>
        <v>5</v>
      </c>
      <c r="B38" s="86" t="str">
        <f>Δαπάνες!$B$13</f>
        <v>Γ1</v>
      </c>
      <c r="C38" s="822" t="str">
        <f>Δαπάνες!$C$13</f>
        <v>Έξοδα Κήπου</v>
      </c>
      <c r="D38" s="238" t="str">
        <f>Δαπάνες!$D$13</f>
        <v>Συντήρηση Κήπου</v>
      </c>
      <c r="E38" s="80">
        <f>IF(Δαπάνες!$F$13="","",Δαπάνες!$F$13)</f>
        <v>60</v>
      </c>
      <c r="F38" s="81">
        <f ca="1">IF(E38="","",IF($A$30="","",IF(INDIRECT(ADDRESS($B$30,13,3,,"Διαμερίσματα"))="","",VLOOKUP($A$30,Διαμερίσματα!$A$6:$N$27,Δαπάνες!E13))))</f>
        <v>33.390940707077171</v>
      </c>
      <c r="G38" s="82">
        <f t="shared" ca="1" si="3"/>
        <v>2.0034564424246302</v>
      </c>
    </row>
    <row r="39" spans="1:7" s="241" customFormat="1" ht="12.75">
      <c r="A39" s="45">
        <f t="shared" si="2"/>
        <v>6</v>
      </c>
      <c r="B39" s="86" t="str">
        <f>Δαπάνες!$B$14</f>
        <v>Γ2</v>
      </c>
      <c r="C39" s="823"/>
      <c r="D39" s="238" t="str">
        <f>Δαπάνες!$D$14</f>
        <v>ΕΥΔΑΠ (Νερό) Κοινόχρηστων Χώρων</v>
      </c>
      <c r="E39" s="80">
        <f>IF(Δαπάνες!$F$14="","",Δαπάνες!$F$14)</f>
        <v>20</v>
      </c>
      <c r="F39" s="81">
        <f ca="1">IF(E39="","",IF($A$30="","",IF(INDIRECT(ADDRESS($B$30,13,3,,"Διαμερίσματα"))="","",VLOOKUP($A$30,Διαμερίσματα!$A$6:$N$27,Δαπάνες!E14))))</f>
        <v>33.390940707077171</v>
      </c>
      <c r="G39" s="82">
        <f t="shared" ca="1" si="3"/>
        <v>0.66781881414154343</v>
      </c>
    </row>
    <row r="40" spans="1:7" s="241" customFormat="1" ht="12.75">
      <c r="A40" s="45">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56</v>
      </c>
      <c r="G40" s="85">
        <f ca="1">IF(A30="","",IF(INDIRECT(ADDRESS(A29,16,3,,"Θέρμανση"))="","",VLOOKUP(A30,Θέρμανση!$A$5:$R$26,18)))</f>
        <v>148.41655119520013</v>
      </c>
    </row>
    <row r="41" spans="1:7" s="241" customFormat="1" ht="12.75">
      <c r="A41" s="45">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79.641293904131501</v>
      </c>
      <c r="G41" s="85">
        <f t="shared" ref="G41:G45" ca="1" si="4">IF(E41="","",E41*F41/1000)</f>
        <v>5.5748905732892053</v>
      </c>
    </row>
    <row r="42" spans="1:7" s="241" customFormat="1" ht="12.75">
      <c r="A42" s="45">
        <f t="shared" si="2"/>
        <v>9</v>
      </c>
      <c r="B42" s="238" t="str">
        <f>Δαπάνες!$B$17</f>
        <v>Ε1</v>
      </c>
      <c r="C42" s="238" t="str">
        <f>Δαπάνες!$C$17</f>
        <v>Έξοδα Ιδιοκτητών</v>
      </c>
      <c r="D42" s="238" t="str">
        <f>Δαπάνες!$D$17</f>
        <v>Συντήρηση Πολυκατοικίας</v>
      </c>
      <c r="E42" s="80">
        <f>IF(Δαπάνες!$F$17="","",Δαπάνες!$F$17)</f>
        <v>100</v>
      </c>
      <c r="F42" s="81">
        <f ca="1">IF(E42="","",IF($A$30="","",IF(INDIRECT(ADDRESS($B$30,13,3,,"Διαμερίσματα"))="","",VLOOKUP($A$30,Διαμερίσματα!$A$6:$N$27,Δαπάνες!E17))))</f>
        <v>33.390940707077171</v>
      </c>
      <c r="G42" s="82">
        <f t="shared" ca="1" si="4"/>
        <v>3.3390940707077172</v>
      </c>
    </row>
    <row r="43" spans="1:7" s="241" customFormat="1" ht="12.75">
      <c r="A43" s="45">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33.390940707077171</v>
      </c>
      <c r="G43" s="85">
        <f t="shared" ca="1" si="4"/>
        <v>6.6781881414154345</v>
      </c>
    </row>
    <row r="44" spans="1:7" s="241" customFormat="1" ht="12.75">
      <c r="A44" s="45">
        <f t="shared" si="2"/>
        <v>11</v>
      </c>
      <c r="B44" s="79" t="str">
        <f>Δαπάνες!$B$19</f>
        <v>Η1</v>
      </c>
      <c r="C44" s="822" t="str">
        <f>Δαπάνες!$C$19</f>
        <v>Διαχείριση</v>
      </c>
      <c r="D44" s="238" t="str">
        <f>Δαπάνες!$D$19</f>
        <v>Αμοιβή Διαχειριστή</v>
      </c>
      <c r="E44" s="80">
        <f>IF(Δαπάνες!$F$19="","",Δαπάνες!$F$19)</f>
        <v>80</v>
      </c>
      <c r="F44" s="81">
        <f ca="1">IF(E44="","",IF($A$30="","",IF(INDIRECT(ADDRESS($B$30,13,3,,"Διαμερίσματα"))="","",VLOOKUP($A$30,Διαμερίσματα!$A$6:$N$27,Δαπάνες!E19))))</f>
        <v>33.390940707077171</v>
      </c>
      <c r="G44" s="82">
        <f t="shared" ca="1" si="4"/>
        <v>2.6712752565661737</v>
      </c>
    </row>
    <row r="45" spans="1:7" s="241" customFormat="1" ht="12.75">
      <c r="A45" s="45">
        <f t="shared" si="2"/>
        <v>12</v>
      </c>
      <c r="B45" s="79" t="str">
        <f>Δαπάνες!$B$20</f>
        <v>Η2</v>
      </c>
      <c r="C45" s="823"/>
      <c r="D45" s="238" t="str">
        <f>Δαπάνες!$D$20</f>
        <v>Έκδοση Κοινοχρήστων</v>
      </c>
      <c r="E45" s="80">
        <f>IF(Δαπάνες!$F$20="","",Δαπάνες!$F$20)</f>
        <v>20</v>
      </c>
      <c r="F45" s="81">
        <f>IF(E45="","",IF(Διαμερίσματα!C9="",1000/Διαμερίσματα!$D$28,Διαμερίσματα!$B$30*10/Διαμερίσματα!$D$28))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178.03119085637255</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3" spans="4:4">
      <c r="D53" s="91"/>
    </row>
  </sheetData>
  <sheetProtection password="E4A3" sheet="1" objects="1" scenarios="1" selectLockedCells="1"/>
  <mergeCells count="34">
    <mergeCell ref="A47:G47"/>
    <mergeCell ref="A48:G48"/>
    <mergeCell ref="D1:E1"/>
    <mergeCell ref="F1:G1"/>
    <mergeCell ref="A2:B2"/>
    <mergeCell ref="E2:G2"/>
    <mergeCell ref="A3:C3"/>
    <mergeCell ref="E3:G3"/>
    <mergeCell ref="A27:B27"/>
    <mergeCell ref="E27:G27"/>
    <mergeCell ref="F4:G4"/>
    <mergeCell ref="F5:G5"/>
    <mergeCell ref="A6:B6"/>
    <mergeCell ref="C9:C11"/>
    <mergeCell ref="C13:C14"/>
    <mergeCell ref="C15:C16"/>
    <mergeCell ref="C19:C20"/>
    <mergeCell ref="A21:D21"/>
    <mergeCell ref="D26:E26"/>
    <mergeCell ref="F26:G26"/>
    <mergeCell ref="A22:G22"/>
    <mergeCell ref="A23:G23"/>
    <mergeCell ref="A24:G24"/>
    <mergeCell ref="E25:G25"/>
    <mergeCell ref="A28:C28"/>
    <mergeCell ref="E28:G28"/>
    <mergeCell ref="F29:G29"/>
    <mergeCell ref="F30:G30"/>
    <mergeCell ref="A31:B31"/>
    <mergeCell ref="C34:C36"/>
    <mergeCell ref="C38:C39"/>
    <mergeCell ref="C40:C41"/>
    <mergeCell ref="C44:C45"/>
    <mergeCell ref="A46:D46"/>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121" orientation="portrait" r:id="rId3"/>
  <customProperties>
    <customPr name="DVSECTIONID" r:id="rId4"/>
  </customProperties>
  <drawing r:id="rId5"/>
</worksheet>
</file>

<file path=xl/worksheets/sheet12.xml><?xml version="1.0" encoding="utf-8"?>
<worksheet xmlns="http://schemas.openxmlformats.org/spreadsheetml/2006/main" xmlns:r="http://schemas.openxmlformats.org/officeDocument/2006/relationships">
  <sheetPr codeName="Φύλλο11">
    <tabColor rgb="FF0070C0"/>
  </sheetPr>
  <dimension ref="A1:N50"/>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9</v>
      </c>
      <c r="B4" s="324"/>
      <c r="C4" s="77" t="s">
        <v>61</v>
      </c>
      <c r="D4" s="461" t="str">
        <f ca="1">IF(A5="","",IF(INDIRECT(ADDRESS(B5,6,3,,"Διαμερίσματα"))="","",VLOOKUP(A5,Διαμερίσματα!$A$6:$N$27,6)))</f>
        <v>Ιδιοκτήτης-5</v>
      </c>
      <c r="E4" s="461" t="s">
        <v>59</v>
      </c>
      <c r="F4" s="816" t="str">
        <f ca="1">IF(A5="","",IF(INDIRECT(ADDRESS(B5,7,3,,"Διαμερίσματα"))="","",VLOOKUP(A5,Διαμερίσματα!$A$6:$N$27,7)))</f>
        <v/>
      </c>
      <c r="G4" s="817"/>
    </row>
    <row r="5" spans="1:14" s="38" customFormat="1" ht="15.75">
      <c r="A5" s="75">
        <f>Διαμερίσματα!$A$10</f>
        <v>5</v>
      </c>
      <c r="B5" s="76">
        <f>5+A5</f>
        <v>10</v>
      </c>
      <c r="C5" s="325" t="s">
        <v>62</v>
      </c>
      <c r="D5" s="73" t="str">
        <f ca="1">IF(A5="","",IF(INDIRECT(ADDRESS(B5,9,3,,"Διαμερίσματα"))="","",VLOOKUP(A5,Διαμερίσματα!$A$6:$N$27,9)))</f>
        <v>Ιδιοκτήτης-5</v>
      </c>
      <c r="E5" s="462"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Α2</v>
      </c>
      <c r="B6" s="827"/>
      <c r="C6" s="77" t="str">
        <f ca="1">IF(A5="","",IF(INDIRECT(ADDRESS(B5,3,3,,"Διαμερίσματα"))="","",VLOOKUP(A5,Διαμερίσματα!$A$6:$N$27,3)))</f>
        <v/>
      </c>
      <c r="D6" s="77" t="s">
        <v>86</v>
      </c>
      <c r="E6" s="461" t="str">
        <f ca="1">IF(A5="","",IF(INDIRECT(ADDRESS(B5,4,3,,"Διαμερίσματα"))="","",VLOOKUP(A5,Διαμερίσματα!$A$6:$N$27,4)))</f>
        <v>1ος</v>
      </c>
      <c r="F6" s="78">
        <f ca="1">IF(A5="","",IF(INDIRECT(ADDRESS(B5,5,3,,"Διαμερίσματα"))="","",VLOOKUP(A5,Διαμερίσματα!$A$6:$N$27,5)))</f>
        <v>50</v>
      </c>
      <c r="G6" s="326" t="s">
        <v>60</v>
      </c>
    </row>
    <row r="7" spans="1:14" s="28" customFormat="1" ht="12.75">
      <c r="A7" s="298" t="s">
        <v>24</v>
      </c>
      <c r="B7" s="298" t="s">
        <v>40</v>
      </c>
      <c r="C7" s="298" t="s">
        <v>30</v>
      </c>
      <c r="D7" s="298" t="s">
        <v>32</v>
      </c>
      <c r="E7" s="298" t="s">
        <v>58</v>
      </c>
      <c r="F7" s="298" t="s">
        <v>33</v>
      </c>
      <c r="G7" s="298" t="s">
        <v>56</v>
      </c>
    </row>
    <row r="8" spans="1:14" s="28" customFormat="1" ht="12.75">
      <c r="A8" s="298">
        <v>1</v>
      </c>
      <c r="B8" s="298">
        <v>2</v>
      </c>
      <c r="C8" s="298">
        <v>3</v>
      </c>
      <c r="D8" s="298">
        <v>4</v>
      </c>
      <c r="E8" s="298">
        <v>5</v>
      </c>
      <c r="F8" s="298">
        <v>6</v>
      </c>
      <c r="G8" s="298">
        <v>7</v>
      </c>
    </row>
    <row r="9" spans="1:14" s="241" customFormat="1" ht="12.75">
      <c r="A9" s="45">
        <f>IF(B9="","",1)</f>
        <v>1</v>
      </c>
      <c r="B9" s="79" t="str">
        <f>Δαπάνες!$B$9</f>
        <v>Α1</v>
      </c>
      <c r="C9" s="813" t="str">
        <f>Δαπάνες!$C$9</f>
        <v>Γενικά Κοινόχρηστα</v>
      </c>
      <c r="D9" s="238" t="str">
        <f>Δαπάνες!$D$9</f>
        <v>ΔΕΗ Κοινόχρηστων Χώρων</v>
      </c>
      <c r="E9" s="80">
        <f>IF(Δαπάνες!$F$9="","",Δαπάνες!$F$9)</f>
        <v>100</v>
      </c>
      <c r="F9" s="81">
        <f ca="1">IF(E9="","",IF($A$5="","",IF(INDIRECT(ADDRESS($B$5,14,3,,"Διαμερίσματα"))="","",VLOOKUP($A$5,Διαμερίσματα!$A$6:$N$27,Δαπάνες!E9))))</f>
        <v>33.401608739251955</v>
      </c>
      <c r="G9" s="82">
        <f ca="1">IF(E9="","",E9*F9/1000)</f>
        <v>3.3401608739251958</v>
      </c>
    </row>
    <row r="10" spans="1:14" s="241" customFormat="1" ht="12.75">
      <c r="A10" s="45">
        <f>IF(B10="","",A9+1)</f>
        <v>2</v>
      </c>
      <c r="B10" s="79" t="str">
        <f>Δαπάνες!$B$10</f>
        <v>Α2</v>
      </c>
      <c r="C10" s="814"/>
      <c r="D10" s="238" t="str">
        <f>Δαπάνες!$D$10</f>
        <v>Καθαρισμός Κοινόχρηστων Χώρων</v>
      </c>
      <c r="E10" s="80">
        <f>IF(Δαπάνες!$F$10="","",Δαπάνες!$F$10)</f>
        <v>70</v>
      </c>
      <c r="F10" s="81">
        <f ca="1">IF(E10="","",IF($A$5="","",IF(INDIRECT(ADDRESS($B$5,14,3,,"Διαμερίσματα"))="","",VLOOKUP($A$5,Διαμερίσματα!$A$6:$N$27,Δαπάνες!E10))))</f>
        <v>33.401608739251955</v>
      </c>
      <c r="G10" s="82">
        <f ca="1">IF(E10="","",E10*F10/1000)</f>
        <v>2.3381126117476367</v>
      </c>
    </row>
    <row r="11" spans="1:14" s="241" customFormat="1" ht="12.75">
      <c r="A11" s="45">
        <f t="shared" ref="A11:A20" si="0">IF(B11="","",A10+1)</f>
        <v>3</v>
      </c>
      <c r="B11" s="79" t="str">
        <f>Δαπάνες!$B$11</f>
        <v>Α3</v>
      </c>
      <c r="C11" s="815"/>
      <c r="D11" s="238" t="str">
        <f>Δαπάνες!$D$11</f>
        <v>Υλικά Αναλώσιμα (Λάμπες κλπ)</v>
      </c>
      <c r="E11" s="80">
        <f>IF(Δαπάνες!$F$11="","",Δαπάνες!$F$11)</f>
        <v>10</v>
      </c>
      <c r="F11" s="81">
        <f ca="1">IF(E11="","",IF($A$5="","",IF(INDIRECT(ADDRESS($B$5,14,3,,"Διαμερίσματα"))="","",VLOOKUP($A$5,Διαμερίσματα!$A$6:$N$27,Δαπάνες!E11))))</f>
        <v>33.401608739251955</v>
      </c>
      <c r="G11" s="82">
        <f t="shared" ref="G11:G20" ca="1" si="1">IF(E11="","",E11*F11/1000)</f>
        <v>0.33401608739251959</v>
      </c>
    </row>
    <row r="12" spans="1:14" s="241" customFormat="1" ht="12.75">
      <c r="A12" s="45">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33.401608739251955</v>
      </c>
      <c r="G12" s="85">
        <f t="shared" ca="1" si="1"/>
        <v>1.6700804369625979</v>
      </c>
    </row>
    <row r="13" spans="1:14" s="241" customFormat="1" ht="12.75">
      <c r="A13" s="45">
        <f t="shared" si="0"/>
        <v>5</v>
      </c>
      <c r="B13" s="86" t="str">
        <f>Δαπάνες!$B$13</f>
        <v>Γ1</v>
      </c>
      <c r="C13" s="822" t="str">
        <f>Δαπάνες!$C$13</f>
        <v>Έξοδα Κήπου</v>
      </c>
      <c r="D13" s="238" t="str">
        <f>Δαπάνες!$D$13</f>
        <v>Συντήρηση Κήπου</v>
      </c>
      <c r="E13" s="80">
        <f>IF(Δαπάνες!$F$13="","",Δαπάνες!$F$13)</f>
        <v>60</v>
      </c>
      <c r="F13" s="81">
        <f ca="1">IF(E13="","",IF($A$5="","",IF(INDIRECT(ADDRESS($B$5,13,3,,"Διαμερίσματα"))="","",VLOOKUP($A$5,Διαμερίσματα!$A$6:$N$27,Δαπάνες!E13))))</f>
        <v>33.401608739251955</v>
      </c>
      <c r="G13" s="82">
        <f t="shared" ca="1" si="1"/>
        <v>2.0040965243551172</v>
      </c>
    </row>
    <row r="14" spans="1:14" s="241" customFormat="1" ht="12.75">
      <c r="A14" s="45">
        <f t="shared" si="0"/>
        <v>6</v>
      </c>
      <c r="B14" s="86" t="str">
        <f>Δαπάνες!$B$14</f>
        <v>Γ2</v>
      </c>
      <c r="C14" s="823"/>
      <c r="D14" s="238" t="str">
        <f>Δαπάνες!$D$14</f>
        <v>ΕΥΔΑΠ (Νερό) Κοινόχρηστων Χώρων</v>
      </c>
      <c r="E14" s="80">
        <f>IF(Δαπάνες!$F$14="","",Δαπάνες!$F$14)</f>
        <v>20</v>
      </c>
      <c r="F14" s="81">
        <f ca="1">IF(E14="","",IF($A$5="","",IF(INDIRECT(ADDRESS($B$5,13,3,,"Διαμερίσματα"))="","",VLOOKUP($A$5,Διαμερίσματα!$A$6:$N$27,Δαπάνες!E14))))</f>
        <v>33.401608739251955</v>
      </c>
      <c r="G14" s="82">
        <f t="shared" ca="1" si="1"/>
        <v>0.66803217478503918</v>
      </c>
    </row>
    <row r="15" spans="1:14" s="241" customFormat="1" ht="12.75">
      <c r="A15" s="45">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67</v>
      </c>
      <c r="G15" s="85">
        <f ca="1">IF(A5="","",IF(INDIRECT(ADDRESS(A4,16,3,,"Θέρμανση"))="","",VLOOKUP(A5,Θέρμανση!$A$5:$R$26,18)))</f>
        <v>136.1527170625443</v>
      </c>
    </row>
    <row r="16" spans="1:14" s="241" customFormat="1" ht="12.75">
      <c r="A16" s="45">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61.065442510942653</v>
      </c>
      <c r="G16" s="85">
        <f t="shared" ca="1" si="1"/>
        <v>4.2745809757659856</v>
      </c>
    </row>
    <row r="17" spans="1:14" s="241" customFormat="1" ht="12.75">
      <c r="A17" s="45">
        <f t="shared" si="0"/>
        <v>9</v>
      </c>
      <c r="B17" s="238" t="str">
        <f>Δαπάνες!$B$17</f>
        <v>Ε1</v>
      </c>
      <c r="C17" s="238" t="str">
        <f>Δαπάνες!$C$17</f>
        <v>Έξοδα Ιδιοκτητών</v>
      </c>
      <c r="D17" s="238" t="str">
        <f>Δαπάνες!$D$17</f>
        <v>Συντήρηση Πολυκατοικίας</v>
      </c>
      <c r="E17" s="80">
        <f>IF(Δαπάνες!$F$17="","",Δαπάνες!$F$17)</f>
        <v>100</v>
      </c>
      <c r="F17" s="81">
        <f ca="1">IF(E17="","",IF($A$5="","",IF(INDIRECT(ADDRESS($B$5,13,3,,"Διαμερίσματα"))="","",VLOOKUP($A$5,Διαμερίσματα!$A$6:$N$27,Δαπάνες!E17))))</f>
        <v>33.401608739251955</v>
      </c>
      <c r="G17" s="82">
        <f t="shared" ca="1" si="1"/>
        <v>3.3401608739251958</v>
      </c>
    </row>
    <row r="18" spans="1:14" s="241" customFormat="1" ht="12.75">
      <c r="A18" s="45">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33.401608739251955</v>
      </c>
      <c r="G18" s="85">
        <f t="shared" ca="1" si="1"/>
        <v>6.6803217478503916</v>
      </c>
    </row>
    <row r="19" spans="1:14" s="241" customFormat="1" ht="12.75">
      <c r="A19" s="45">
        <f t="shared" si="0"/>
        <v>11</v>
      </c>
      <c r="B19" s="79" t="str">
        <f>Δαπάνες!$B$19</f>
        <v>Η1</v>
      </c>
      <c r="C19" s="822" t="str">
        <f>Δαπάνες!$C$19</f>
        <v>Διαχείριση</v>
      </c>
      <c r="D19" s="238" t="str">
        <f>Δαπάνες!$D$19</f>
        <v>Αμοιβή Διαχειριστή</v>
      </c>
      <c r="E19" s="80">
        <f>IF(Δαπάνες!$F$19="","",Δαπάνες!$F$19)</f>
        <v>80</v>
      </c>
      <c r="F19" s="81">
        <f ca="1">IF(E19="","",IF($A$5="","",IF(INDIRECT(ADDRESS($B$5,13,3,,"Διαμερίσματα"))="","",VLOOKUP($A$5,Διαμερίσματα!$A$6:$N$27,Δαπάνες!E19))))</f>
        <v>33.401608739251955</v>
      </c>
      <c r="G19" s="82">
        <f t="shared" ca="1" si="1"/>
        <v>2.6721286991401567</v>
      </c>
    </row>
    <row r="20" spans="1:14" s="241" customFormat="1" ht="12.75">
      <c r="A20" s="45">
        <f t="shared" si="0"/>
        <v>12</v>
      </c>
      <c r="B20" s="79" t="str">
        <f>Δαπάνες!$B$20</f>
        <v>Η2</v>
      </c>
      <c r="C20" s="823"/>
      <c r="D20" s="238" t="str">
        <f>Δαπάνες!$D$20</f>
        <v>Έκδοση Κοινοχρήστων</v>
      </c>
      <c r="E20" s="80">
        <f>IF(Δαπάνες!$F$20="","",Δαπάνες!$F$20)</f>
        <v>20</v>
      </c>
      <c r="F20" s="81">
        <f>IF(E20="","",IF(Διαμερίσματα!C10="",1000/Διαμερίσματα!$D$28,Διαμερίσματα!$B$30*10/Διαμερίσματα!$D$28))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164.47440806839413</v>
      </c>
    </row>
    <row r="22" spans="1:14" s="39" customFormat="1" ht="18.95" customHeight="1">
      <c r="A22" s="830" t="str">
        <f>'1-2'!$A$22:$G$22</f>
        <v>Έγινε συντήρηση του καυστήρα.</v>
      </c>
      <c r="B22" s="831"/>
      <c r="C22" s="831"/>
      <c r="D22" s="831"/>
      <c r="E22" s="831"/>
      <c r="F22" s="831"/>
      <c r="G22" s="831"/>
      <c r="I22" s="92"/>
    </row>
    <row r="23" spans="1:14" s="39" customFormat="1" ht="18.95" customHeight="1">
      <c r="A23" s="832" t="str">
        <f>'1-2'!$A$23:$G$23</f>
        <v>Η συντήρηση του Ανελκυστήρα, από 55€*12μήνες, έγινε 55€*8μήνες.</v>
      </c>
      <c r="B23" s="832"/>
      <c r="C23" s="832"/>
      <c r="D23" s="832"/>
      <c r="E23" s="832"/>
      <c r="F23" s="832"/>
      <c r="G23" s="83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10</v>
      </c>
      <c r="B29" s="324"/>
      <c r="C29" s="77" t="s">
        <v>61</v>
      </c>
      <c r="D29" s="461" t="str">
        <f ca="1">IF(A30="","",IF(INDIRECT(ADDRESS(B30,6,3,,"Διαμερίσματα"))="","",VLOOKUP(A30,Διαμερίσματα!$A$6:$N$27,6)))</f>
        <v>Ιδιοκτήτης-6</v>
      </c>
      <c r="E29" s="461" t="s">
        <v>59</v>
      </c>
      <c r="F29" s="816" t="str">
        <f ca="1">IF(A30="","",IF(INDIRECT(ADDRESS(B30,7,3,,"Διαμερίσματα"))="","",VLOOKUP(A30,Διαμερίσματα!$A$6:$N$27,7)))</f>
        <v/>
      </c>
      <c r="G29" s="817"/>
    </row>
    <row r="30" spans="1:14" s="38" customFormat="1" ht="15.75">
      <c r="A30" s="75">
        <f>A5+1</f>
        <v>6</v>
      </c>
      <c r="B30" s="76">
        <f>5+A30</f>
        <v>11</v>
      </c>
      <c r="C30" s="325" t="s">
        <v>62</v>
      </c>
      <c r="D30" s="73" t="str">
        <f ca="1">IF(A30="","",IF(INDIRECT(ADDRESS(B30,9,3,,"Διαμερίσματα"))="","",VLOOKUP(A30,Διαμερίσματα!$A$6:$N$27,9)))</f>
        <v>Ιδιοκτήτης-6</v>
      </c>
      <c r="E30" s="462"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Α3</v>
      </c>
      <c r="B31" s="827"/>
      <c r="C31" s="77" t="str">
        <f ca="1">IF(A30="","",IF(INDIRECT(ADDRESS(B30,3,3,,"Διαμερίσματα"))="","",VLOOKUP(A30,Διαμερίσματα!$A$6:$N$27,3)))</f>
        <v/>
      </c>
      <c r="D31" s="77" t="s">
        <v>86</v>
      </c>
      <c r="E31" s="461" t="str">
        <f ca="1">IF(A30="","",IF(INDIRECT(ADDRESS(B30,4,3,,"Διαμερίσματα"))="","",VLOOKUP(A30,Διαμερίσματα!$A$6:$N$27,4)))</f>
        <v>1ος</v>
      </c>
      <c r="F31" s="78">
        <f ca="1">IF(A30="","",IF(INDIRECT(ADDRESS(B30,5,3,,"Διαμερίσματα"))="","",VLOOKUP(A30,Διαμερίσματα!$A$6:$N$27,5)))</f>
        <v>60</v>
      </c>
      <c r="G31" s="326" t="s">
        <v>60</v>
      </c>
    </row>
    <row r="32" spans="1:14" s="28" customFormat="1" ht="12.75">
      <c r="A32" s="298" t="s">
        <v>24</v>
      </c>
      <c r="B32" s="298" t="s">
        <v>40</v>
      </c>
      <c r="C32" s="298" t="s">
        <v>30</v>
      </c>
      <c r="D32" s="298" t="s">
        <v>32</v>
      </c>
      <c r="E32" s="298" t="s">
        <v>58</v>
      </c>
      <c r="F32" s="298" t="s">
        <v>33</v>
      </c>
      <c r="G32" s="298" t="s">
        <v>56</v>
      </c>
    </row>
    <row r="33" spans="1:7" s="28" customFormat="1" ht="12.75">
      <c r="A33" s="298">
        <v>1</v>
      </c>
      <c r="B33" s="298">
        <v>2</v>
      </c>
      <c r="C33" s="298">
        <v>3</v>
      </c>
      <c r="D33" s="298">
        <v>4</v>
      </c>
      <c r="E33" s="298">
        <v>5</v>
      </c>
      <c r="F33" s="298">
        <v>6</v>
      </c>
      <c r="G33" s="298">
        <v>7</v>
      </c>
    </row>
    <row r="34" spans="1:7" s="241" customFormat="1" ht="12.75">
      <c r="A34" s="45">
        <f>IF(B34="","",1)</f>
        <v>1</v>
      </c>
      <c r="B34" s="79" t="str">
        <f>Δαπάνες!$B$9</f>
        <v>Α1</v>
      </c>
      <c r="C34" s="813" t="str">
        <f>Δαπάνες!$C$9</f>
        <v>Γενικά Κοινόχρηστα</v>
      </c>
      <c r="D34" s="238" t="str">
        <f>Δαπάνες!$D$9</f>
        <v>ΔΕΗ Κοινόχρηστων Χώρων</v>
      </c>
      <c r="E34" s="80">
        <f>IF(Δαπάνες!$F$9="","",Δαπάνες!$F$9)</f>
        <v>100</v>
      </c>
      <c r="F34" s="81">
        <f ca="1">IF(E34="","",IF($A$30="","",IF(INDIRECT(ADDRESS($B$30,14,3,,"Διαμερίσματα"))="","",VLOOKUP($A$30,Διαμερίσματα!$A$6:$N$27,Δαπάνες!E9))))</f>
        <v>33.401608739251955</v>
      </c>
      <c r="G34" s="82">
        <f ca="1">IF(E34="","",E34*F34/1000)</f>
        <v>3.3401608739251958</v>
      </c>
    </row>
    <row r="35" spans="1:7" s="241" customFormat="1" ht="12.75">
      <c r="A35" s="45">
        <f>IF(B35="","",A34+1)</f>
        <v>2</v>
      </c>
      <c r="B35" s="79" t="str">
        <f>Δαπάνες!$B$10</f>
        <v>Α2</v>
      </c>
      <c r="C35" s="814"/>
      <c r="D35" s="238" t="str">
        <f>Δαπάνες!$D$10</f>
        <v>Καθαρισμός Κοινόχρηστων Χώρων</v>
      </c>
      <c r="E35" s="80">
        <f>IF(Δαπάνες!$F$10="","",Δαπάνες!$F$10)</f>
        <v>70</v>
      </c>
      <c r="F35" s="81">
        <f ca="1">IF(E35="","",IF($A$30="","",IF(INDIRECT(ADDRESS($B$30,14,3,,"Διαμερίσματα"))="","",VLOOKUP($A$30,Διαμερίσματα!$A$6:$N$27,Δαπάνες!E10))))</f>
        <v>33.401608739251955</v>
      </c>
      <c r="G35" s="82">
        <f ca="1">IF(E35="","",E35*F35/1000)</f>
        <v>2.3381126117476367</v>
      </c>
    </row>
    <row r="36" spans="1:7" s="241" customFormat="1" ht="12.75">
      <c r="A36" s="45">
        <f t="shared" ref="A36:A45" si="2">IF(B36="","",A35+1)</f>
        <v>3</v>
      </c>
      <c r="B36" s="79" t="str">
        <f>Δαπάνες!$B$11</f>
        <v>Α3</v>
      </c>
      <c r="C36" s="815"/>
      <c r="D36" s="238" t="str">
        <f>Δαπάνες!$D$11</f>
        <v>Υλικά Αναλώσιμα (Λάμπες κλπ)</v>
      </c>
      <c r="E36" s="80">
        <f>IF(Δαπάνες!$F$11="","",Δαπάνες!$F$11)</f>
        <v>10</v>
      </c>
      <c r="F36" s="81">
        <f ca="1">IF(E36="","",IF($A$30="","",IF(INDIRECT(ADDRESS($B$30,14,3,,"Διαμερίσματα"))="","",VLOOKUP($A$30,Διαμερίσματα!$A$6:$N$27,Δαπάνες!E11))))</f>
        <v>33.401608739251955</v>
      </c>
      <c r="G36" s="82">
        <f t="shared" ref="G36:G39" ca="1" si="3">IF(E36="","",E36*F36/1000)</f>
        <v>0.33401608739251959</v>
      </c>
    </row>
    <row r="37" spans="1:7" s="241" customFormat="1" ht="12.75">
      <c r="A37" s="45">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33.401608739251955</v>
      </c>
      <c r="G37" s="85">
        <f t="shared" ca="1" si="3"/>
        <v>1.6700804369625979</v>
      </c>
    </row>
    <row r="38" spans="1:7" s="241" customFormat="1" ht="12.75">
      <c r="A38" s="45">
        <f t="shared" si="2"/>
        <v>5</v>
      </c>
      <c r="B38" s="86" t="str">
        <f>Δαπάνες!$B$13</f>
        <v>Γ1</v>
      </c>
      <c r="C38" s="822" t="str">
        <f>Δαπάνες!$C$13</f>
        <v>Έξοδα Κήπου</v>
      </c>
      <c r="D38" s="238" t="str">
        <f>Δαπάνες!$D$13</f>
        <v>Συντήρηση Κήπου</v>
      </c>
      <c r="E38" s="80">
        <f>IF(Δαπάνες!$F$13="","",Δαπάνες!$F$13)</f>
        <v>60</v>
      </c>
      <c r="F38" s="81">
        <f ca="1">IF(E38="","",IF($A$30="","",IF(INDIRECT(ADDRESS($B$30,13,3,,"Διαμερίσματα"))="","",VLOOKUP($A$30,Διαμερίσματα!$A$6:$N$27,Δαπάνες!E13))))</f>
        <v>33.401608739251955</v>
      </c>
      <c r="G38" s="82">
        <f t="shared" ca="1" si="3"/>
        <v>2.0040965243551172</v>
      </c>
    </row>
    <row r="39" spans="1:7" s="241" customFormat="1" ht="12.75">
      <c r="A39" s="45">
        <f t="shared" si="2"/>
        <v>6</v>
      </c>
      <c r="B39" s="86" t="str">
        <f>Δαπάνες!$B$14</f>
        <v>Γ2</v>
      </c>
      <c r="C39" s="823"/>
      <c r="D39" s="238" t="str">
        <f>Δαπάνες!$D$14</f>
        <v>ΕΥΔΑΠ (Νερό) Κοινόχρηστων Χώρων</v>
      </c>
      <c r="E39" s="80">
        <f>IF(Δαπάνες!$F$14="","",Δαπάνες!$F$14)</f>
        <v>20</v>
      </c>
      <c r="F39" s="81">
        <f ca="1">IF(E39="","",IF($A$30="","",IF(INDIRECT(ADDRESS($B$30,13,3,,"Διαμερίσματα"))="","",VLOOKUP($A$30,Διαμερίσματα!$A$6:$N$27,Δαπάνες!E14))))</f>
        <v>33.401608739251955</v>
      </c>
      <c r="G39" s="82">
        <f t="shared" ca="1" si="3"/>
        <v>0.66803217478503918</v>
      </c>
    </row>
    <row r="40" spans="1:7" s="241" customFormat="1" ht="12.75">
      <c r="A40" s="45">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0</v>
      </c>
      <c r="G40" s="85">
        <f ca="1">IF(A30="","",IF(INDIRECT(ADDRESS(A29,16,3,,"Θέρμανση"))="","",VLOOKUP(A30,Θέρμανση!$A$5:$R$26,18)))</f>
        <v>0</v>
      </c>
    </row>
    <row r="41" spans="1:7" s="241" customFormat="1" ht="12.75">
      <c r="A41" s="45">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80.38859827052417</v>
      </c>
      <c r="G41" s="85">
        <f t="shared" ref="G41:G45" ca="1" si="4">IF(E41="","",E41*F41/1000)</f>
        <v>5.6272018789366918</v>
      </c>
    </row>
    <row r="42" spans="1:7" s="241" customFormat="1" ht="12.75">
      <c r="A42" s="45">
        <f t="shared" si="2"/>
        <v>9</v>
      </c>
      <c r="B42" s="238" t="str">
        <f>Δαπάνες!$B$17</f>
        <v>Ε1</v>
      </c>
      <c r="C42" s="238" t="str">
        <f>Δαπάνες!$C$17</f>
        <v>Έξοδα Ιδιοκτητών</v>
      </c>
      <c r="D42" s="238" t="str">
        <f>Δαπάνες!$D$17</f>
        <v>Συντήρηση Πολυκατοικίας</v>
      </c>
      <c r="E42" s="80">
        <f>IF(Δαπάνες!$F$17="","",Δαπάνες!$F$17)</f>
        <v>100</v>
      </c>
      <c r="F42" s="81">
        <f ca="1">IF(E42="","",IF($A$30="","",IF(INDIRECT(ADDRESS($B$30,13,3,,"Διαμερίσματα"))="","",VLOOKUP($A$30,Διαμερίσματα!$A$6:$N$27,Δαπάνες!E17))))</f>
        <v>33.401608739251955</v>
      </c>
      <c r="G42" s="82">
        <f t="shared" ca="1" si="4"/>
        <v>3.3401608739251958</v>
      </c>
    </row>
    <row r="43" spans="1:7" s="241" customFormat="1" ht="12.75">
      <c r="A43" s="45">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33.401608739251955</v>
      </c>
      <c r="G43" s="85">
        <f t="shared" ca="1" si="4"/>
        <v>6.6803217478503916</v>
      </c>
    </row>
    <row r="44" spans="1:7" s="241" customFormat="1" ht="12.75">
      <c r="A44" s="45">
        <f t="shared" si="2"/>
        <v>11</v>
      </c>
      <c r="B44" s="79" t="str">
        <f>Δαπάνες!$B$19</f>
        <v>Η1</v>
      </c>
      <c r="C44" s="822" t="str">
        <f>Δαπάνες!$C$19</f>
        <v>Διαχείριση</v>
      </c>
      <c r="D44" s="238" t="str">
        <f>Δαπάνες!$D$19</f>
        <v>Αμοιβή Διαχειριστή</v>
      </c>
      <c r="E44" s="80">
        <f>IF(Δαπάνες!$F$19="","",Δαπάνες!$F$19)</f>
        <v>80</v>
      </c>
      <c r="F44" s="81">
        <f ca="1">IF(E44="","",IF($A$30="","",IF(INDIRECT(ADDRESS($B$30,13,3,,"Διαμερίσματα"))="","",VLOOKUP($A$30,Διαμερίσματα!$A$6:$N$27,Δαπάνες!E19))))</f>
        <v>33.401608739251955</v>
      </c>
      <c r="G44" s="82">
        <f t="shared" ca="1" si="4"/>
        <v>2.6721286991401567</v>
      </c>
    </row>
    <row r="45" spans="1:7" s="241" customFormat="1" ht="12.75">
      <c r="A45" s="45">
        <f t="shared" si="2"/>
        <v>12</v>
      </c>
      <c r="B45" s="79" t="str">
        <f>Δαπάνες!$B$20</f>
        <v>Η2</v>
      </c>
      <c r="C45" s="823"/>
      <c r="D45" s="238" t="str">
        <f>Δαπάνες!$D$20</f>
        <v>Έκδοση Κοινοχρήστων</v>
      </c>
      <c r="E45" s="80">
        <f>IF(Δαπάνες!$F$20="","",Δαπάνες!$F$20)</f>
        <v>20</v>
      </c>
      <c r="F45" s="81">
        <f>IF(E45="","",IF(Διαμερίσματα!C11="",1000/Διαμερίσματα!$D$28,Διαμερίσματα!$B$30*10/Διαμερίσματα!$D$28))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29.674311909020545</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0" spans="4:4">
      <c r="D50" s="91"/>
    </row>
  </sheetData>
  <sheetProtection password="E4A3" sheet="1" objects="1" scenarios="1" selectLockedCells="1"/>
  <mergeCells count="34">
    <mergeCell ref="A47:G47"/>
    <mergeCell ref="A48:G48"/>
    <mergeCell ref="D1:E1"/>
    <mergeCell ref="F1:G1"/>
    <mergeCell ref="A2:B2"/>
    <mergeCell ref="E2:G2"/>
    <mergeCell ref="A3:C3"/>
    <mergeCell ref="E3:G3"/>
    <mergeCell ref="A27:B27"/>
    <mergeCell ref="E27:G27"/>
    <mergeCell ref="F4:G4"/>
    <mergeCell ref="F5:G5"/>
    <mergeCell ref="A6:B6"/>
    <mergeCell ref="C9:C11"/>
    <mergeCell ref="C13:C14"/>
    <mergeCell ref="C15:C16"/>
    <mergeCell ref="C19:C20"/>
    <mergeCell ref="A21:D21"/>
    <mergeCell ref="D26:E26"/>
    <mergeCell ref="F26:G26"/>
    <mergeCell ref="A22:G22"/>
    <mergeCell ref="A23:G23"/>
    <mergeCell ref="A24:G24"/>
    <mergeCell ref="E25:G25"/>
    <mergeCell ref="A28:C28"/>
    <mergeCell ref="E28:G28"/>
    <mergeCell ref="F29:G29"/>
    <mergeCell ref="F30:G30"/>
    <mergeCell ref="A31:B31"/>
    <mergeCell ref="C34:C36"/>
    <mergeCell ref="C38:C39"/>
    <mergeCell ref="C40:C41"/>
    <mergeCell ref="C44:C45"/>
    <mergeCell ref="A46:D46"/>
  </mergeCells>
  <hyperlinks>
    <hyperlink ref="A48:G48" r:id="rId1" display="http://lavrio.web.officelive.com/kinohrista.aspx"/>
    <hyperlink ref="A23:G23"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customProperties>
    <customPr name="DVSECTIONID" r:id="rId4"/>
  </customProperties>
  <drawing r:id="rId5"/>
</worksheet>
</file>

<file path=xl/worksheets/sheet13.xml><?xml version="1.0" encoding="utf-8"?>
<worksheet xmlns="http://schemas.openxmlformats.org/spreadsheetml/2006/main" xmlns:r="http://schemas.openxmlformats.org/officeDocument/2006/relationships">
  <sheetPr codeName="Φύλλο12">
    <tabColor rgb="FF0070C0"/>
  </sheetPr>
  <dimension ref="A1:N52"/>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11</v>
      </c>
      <c r="B4" s="324"/>
      <c r="C4" s="77" t="s">
        <v>61</v>
      </c>
      <c r="D4" s="461" t="str">
        <f ca="1">IF(A5="","",IF(INDIRECT(ADDRESS(B5,6,3,,"Διαμερίσματα"))="","",VLOOKUP(A5,Διαμερίσματα!$A$6:$N$27,6)))</f>
        <v>Ιδιοκτήτης-7</v>
      </c>
      <c r="E4" s="461" t="s">
        <v>59</v>
      </c>
      <c r="F4" s="816" t="str">
        <f ca="1">IF(A5="","",IF(INDIRECT(ADDRESS(B5,7,3,,"Διαμερίσματα"))="","",VLOOKUP(A5,Διαμερίσματα!$A$6:$N$27,7)))</f>
        <v/>
      </c>
      <c r="G4" s="817"/>
    </row>
    <row r="5" spans="1:14" s="38" customFormat="1" ht="15.75">
      <c r="A5" s="75">
        <f>Διαμερίσματα!$A$12</f>
        <v>7</v>
      </c>
      <c r="B5" s="76">
        <f>5+A5</f>
        <v>12</v>
      </c>
      <c r="C5" s="325" t="s">
        <v>62</v>
      </c>
      <c r="D5" s="73" t="str">
        <f ca="1">IF(A5="","",IF(INDIRECT(ADDRESS(B5,9,3,,"Διαμερίσματα"))="","",VLOOKUP(A5,Διαμερίσματα!$A$6:$N$27,9)))</f>
        <v>Ιδιοκτήτης-7</v>
      </c>
      <c r="E5" s="462"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Α4</v>
      </c>
      <c r="B6" s="827"/>
      <c r="C6" s="77" t="str">
        <f ca="1">IF(A5="","",IF(INDIRECT(ADDRESS(B5,3,3,,"Διαμερίσματα"))="","",VLOOKUP(A5,Διαμερίσματα!$A$6:$N$27,3)))</f>
        <v/>
      </c>
      <c r="D6" s="77" t="s">
        <v>86</v>
      </c>
      <c r="E6" s="461" t="str">
        <f ca="1">IF(A5="","",IF(INDIRECT(ADDRESS(B5,4,3,,"Διαμερίσματα"))="","",VLOOKUP(A5,Διαμερίσματα!$A$6:$N$27,4)))</f>
        <v>1ος</v>
      </c>
      <c r="F6" s="78">
        <f ca="1">IF(A5="","",IF(INDIRECT(ADDRESS(B5,5,3,,"Διαμερίσματα"))="","",VLOOKUP(A5,Διαμερίσματα!$A$6:$N$27,5)))</f>
        <v>50</v>
      </c>
      <c r="G6" s="326" t="s">
        <v>60</v>
      </c>
    </row>
    <row r="7" spans="1:14" s="28" customFormat="1" ht="12.75">
      <c r="A7" s="298" t="s">
        <v>24</v>
      </c>
      <c r="B7" s="298" t="s">
        <v>40</v>
      </c>
      <c r="C7" s="298" t="s">
        <v>30</v>
      </c>
      <c r="D7" s="298" t="s">
        <v>32</v>
      </c>
      <c r="E7" s="298" t="s">
        <v>58</v>
      </c>
      <c r="F7" s="298" t="s">
        <v>33</v>
      </c>
      <c r="G7" s="298" t="s">
        <v>56</v>
      </c>
    </row>
    <row r="8" spans="1:14" s="28" customFormat="1" ht="12.75">
      <c r="A8" s="298">
        <v>1</v>
      </c>
      <c r="B8" s="298">
        <v>2</v>
      </c>
      <c r="C8" s="298">
        <v>3</v>
      </c>
      <c r="D8" s="298">
        <v>4</v>
      </c>
      <c r="E8" s="298">
        <v>5</v>
      </c>
      <c r="F8" s="298">
        <v>6</v>
      </c>
      <c r="G8" s="298">
        <v>7</v>
      </c>
    </row>
    <row r="9" spans="1:14" s="241" customFormat="1" ht="12.75">
      <c r="A9" s="45">
        <f>IF(B9="","",1)</f>
        <v>1</v>
      </c>
      <c r="B9" s="79" t="str">
        <f>Δαπάνες!$B$9</f>
        <v>Α1</v>
      </c>
      <c r="C9" s="813" t="str">
        <f>Δαπάνες!$C$9</f>
        <v>Γενικά Κοινόχρηστα</v>
      </c>
      <c r="D9" s="238" t="str">
        <f>Δαπάνες!$D$9</f>
        <v>ΔΕΗ Κοινόχρηστων Χώρων</v>
      </c>
      <c r="E9" s="80">
        <f>IF(Δαπάνες!$F$9="","",Δαπάνες!$F$9)</f>
        <v>100</v>
      </c>
      <c r="F9" s="81">
        <f ca="1">IF(E9="","",IF($A$5="","",IF(INDIRECT(ADDRESS($B$5,14,3,,"Διαμερίσματα"))="","",VLOOKUP($A$5,Διαμερίσματα!$A$6:$N$27,Δαπάνες!E9))))</f>
        <v>107.75779299750367</v>
      </c>
      <c r="G9" s="82">
        <f ca="1">IF(E9="","",E9*F9/1000)</f>
        <v>10.775779299750367</v>
      </c>
    </row>
    <row r="10" spans="1:14" s="241" customFormat="1" ht="12.75">
      <c r="A10" s="45">
        <f>IF(B10="","",A9+1)</f>
        <v>2</v>
      </c>
      <c r="B10" s="79" t="str">
        <f>Δαπάνες!$B$10</f>
        <v>Α2</v>
      </c>
      <c r="C10" s="814"/>
      <c r="D10" s="238" t="str">
        <f>Δαπάνες!$D$10</f>
        <v>Καθαρισμός Κοινόχρηστων Χώρων</v>
      </c>
      <c r="E10" s="80">
        <f>IF(Δαπάνες!$F$10="","",Δαπάνες!$F$10)</f>
        <v>70</v>
      </c>
      <c r="F10" s="81">
        <f ca="1">IF(E10="","",IF($A$5="","",IF(INDIRECT(ADDRESS($B$5,14,3,,"Διαμερίσματα"))="","",VLOOKUP($A$5,Διαμερίσματα!$A$6:$N$27,Δαπάνες!E10))))</f>
        <v>107.75779299750367</v>
      </c>
      <c r="G10" s="82">
        <f ca="1">IF(E10="","",E10*F10/1000)</f>
        <v>7.5430455098252569</v>
      </c>
    </row>
    <row r="11" spans="1:14" s="241" customFormat="1" ht="12.75">
      <c r="A11" s="45">
        <f t="shared" ref="A11:A20" si="0">IF(B11="","",A10+1)</f>
        <v>3</v>
      </c>
      <c r="B11" s="79" t="str">
        <f>Δαπάνες!$B$11</f>
        <v>Α3</v>
      </c>
      <c r="C11" s="815"/>
      <c r="D11" s="238" t="str">
        <f>Δαπάνες!$D$11</f>
        <v>Υλικά Αναλώσιμα (Λάμπες κλπ)</v>
      </c>
      <c r="E11" s="80">
        <f>IF(Δαπάνες!$F$11="","",Δαπάνες!$F$11)</f>
        <v>10</v>
      </c>
      <c r="F11" s="81">
        <f ca="1">IF(E11="","",IF($A$5="","",IF(INDIRECT(ADDRESS($B$5,14,3,,"Διαμερίσματα"))="","",VLOOKUP($A$5,Διαμερίσματα!$A$6:$N$27,Δαπάνες!E11))))</f>
        <v>107.75779299750367</v>
      </c>
      <c r="G11" s="82">
        <f t="shared" ref="G11:G20" ca="1" si="1">IF(E11="","",E11*F11/1000)</f>
        <v>1.0775779299750368</v>
      </c>
    </row>
    <row r="12" spans="1:14" s="241" customFormat="1" ht="12.75">
      <c r="A12" s="45">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107.75779299750367</v>
      </c>
      <c r="G12" s="85">
        <f t="shared" ca="1" si="1"/>
        <v>5.3878896498751834</v>
      </c>
    </row>
    <row r="13" spans="1:14" s="241" customFormat="1" ht="12.75">
      <c r="A13" s="45">
        <f t="shared" si="0"/>
        <v>5</v>
      </c>
      <c r="B13" s="86" t="str">
        <f>Δαπάνες!$B$13</f>
        <v>Γ1</v>
      </c>
      <c r="C13" s="822" t="str">
        <f>Δαπάνες!$C$13</f>
        <v>Έξοδα Κήπου</v>
      </c>
      <c r="D13" s="238" t="str">
        <f>Δαπάνες!$D$13</f>
        <v>Συντήρηση Κήπου</v>
      </c>
      <c r="E13" s="80">
        <f>IF(Δαπάνες!$F$13="","",Δαπάνες!$F$13)</f>
        <v>60</v>
      </c>
      <c r="F13" s="81">
        <f ca="1">IF(E13="","",IF($A$5="","",IF(INDIRECT(ADDRESS($B$5,13,3,,"Διαμερίσματα"))="","",VLOOKUP($A$5,Διαμερίσματα!$A$6:$N$27,Δαπάνες!E13))))</f>
        <v>107.75779299750367</v>
      </c>
      <c r="G13" s="82">
        <f t="shared" ca="1" si="1"/>
        <v>6.4654675798502206</v>
      </c>
    </row>
    <row r="14" spans="1:14" s="241" customFormat="1" ht="12.75">
      <c r="A14" s="45">
        <f t="shared" si="0"/>
        <v>6</v>
      </c>
      <c r="B14" s="86" t="str">
        <f>Δαπάνες!$B$14</f>
        <v>Γ2</v>
      </c>
      <c r="C14" s="823"/>
      <c r="D14" s="238" t="str">
        <f>Δαπάνες!$D$14</f>
        <v>ΕΥΔΑΠ (Νερό) Κοινόχρηστων Χώρων</v>
      </c>
      <c r="E14" s="80">
        <f>IF(Δαπάνες!$F$14="","",Δαπάνες!$F$14)</f>
        <v>20</v>
      </c>
      <c r="F14" s="81">
        <f ca="1">IF(E14="","",IF($A$5="","",IF(INDIRECT(ADDRESS($B$5,13,3,,"Διαμερίσματα"))="","",VLOOKUP($A$5,Διαμερίσματα!$A$6:$N$27,Δαπάνες!E14))))</f>
        <v>107.75779299750367</v>
      </c>
      <c r="G14" s="82">
        <f t="shared" ca="1" si="1"/>
        <v>2.1551558599500735</v>
      </c>
    </row>
    <row r="15" spans="1:14" s="241" customFormat="1" ht="12.75">
      <c r="A15" s="45">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0</v>
      </c>
      <c r="G15" s="85">
        <f ca="1">IF(A5="","",IF(INDIRECT(ADDRESS(A4,16,3,,"Θέρμανση"))="","",VLOOKUP(A5,Θέρμανση!$A$5:$R$26,18)))</f>
        <v>0</v>
      </c>
    </row>
    <row r="16" spans="1:14" s="241" customFormat="1" ht="12.75">
      <c r="A16" s="45">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39.393615885555668</v>
      </c>
      <c r="G16" s="85">
        <f t="shared" ca="1" si="1"/>
        <v>2.757553111988897</v>
      </c>
    </row>
    <row r="17" spans="1:14" s="241" customFormat="1" ht="12.75">
      <c r="A17" s="45">
        <f t="shared" si="0"/>
        <v>9</v>
      </c>
      <c r="B17" s="238" t="str">
        <f>Δαπάνες!$B$17</f>
        <v>Ε1</v>
      </c>
      <c r="C17" s="238" t="str">
        <f>Δαπάνες!$C$17</f>
        <v>Έξοδα Ιδιοκτητών</v>
      </c>
      <c r="D17" s="238" t="str">
        <f>Δαπάνες!$D$17</f>
        <v>Συντήρηση Πολυκατοικίας</v>
      </c>
      <c r="E17" s="80">
        <f>IF(Δαπάνες!$F$17="","",Δαπάνες!$F$17)</f>
        <v>100</v>
      </c>
      <c r="F17" s="81">
        <f ca="1">IF(E17="","",IF($A$5="","",IF(INDIRECT(ADDRESS($B$5,13,3,,"Διαμερίσματα"))="","",VLOOKUP($A$5,Διαμερίσματα!$A$6:$N$27,Δαπάνες!E17))))</f>
        <v>107.75779299750367</v>
      </c>
      <c r="G17" s="82">
        <f t="shared" ca="1" si="1"/>
        <v>10.775779299750367</v>
      </c>
    </row>
    <row r="18" spans="1:14" s="241" customFormat="1" ht="12.75">
      <c r="A18" s="45">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107.75779299750367</v>
      </c>
      <c r="G18" s="85">
        <f t="shared" ca="1" si="1"/>
        <v>21.551558599500733</v>
      </c>
    </row>
    <row r="19" spans="1:14" s="241" customFormat="1" ht="12.75">
      <c r="A19" s="45">
        <f t="shared" si="0"/>
        <v>11</v>
      </c>
      <c r="B19" s="79" t="str">
        <f>Δαπάνες!$B$19</f>
        <v>Η1</v>
      </c>
      <c r="C19" s="822" t="str">
        <f>Δαπάνες!$C$19</f>
        <v>Διαχείριση</v>
      </c>
      <c r="D19" s="238" t="str">
        <f>Δαπάνες!$D$19</f>
        <v>Αμοιβή Διαχειριστή</v>
      </c>
      <c r="E19" s="80">
        <f>IF(Δαπάνες!$F$19="","",Δαπάνες!$F$19)</f>
        <v>80</v>
      </c>
      <c r="F19" s="81">
        <f ca="1">IF(E19="","",IF($A$5="","",IF(INDIRECT(ADDRESS($B$5,13,3,,"Διαμερίσματα"))="","",VLOOKUP($A$5,Διαμερίσματα!$A$6:$N$27,Δαπάνες!E19))))</f>
        <v>107.75779299750367</v>
      </c>
      <c r="G19" s="82">
        <f t="shared" ca="1" si="1"/>
        <v>8.6206234398002941</v>
      </c>
    </row>
    <row r="20" spans="1:14" s="241" customFormat="1" ht="12.75">
      <c r="A20" s="45">
        <f t="shared" si="0"/>
        <v>12</v>
      </c>
      <c r="B20" s="79" t="str">
        <f>Δαπάνες!$B$20</f>
        <v>Η2</v>
      </c>
      <c r="C20" s="823"/>
      <c r="D20" s="238" t="str">
        <f>Δαπάνες!$D$20</f>
        <v>Έκδοση Κοινοχρήστων</v>
      </c>
      <c r="E20" s="80">
        <f>IF(Δαπάνες!$F$20="","",Δαπάνες!$F$20)</f>
        <v>20</v>
      </c>
      <c r="F20" s="81">
        <f>IF(E20="","",IF(Διαμερίσματα!C12="",1000/Διαμερίσματα!$D$28,Διαμερίσματα!$B$30*10/Διαμερίσματα!$D$28))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78.110430280266428</v>
      </c>
    </row>
    <row r="22" spans="1:14" s="39" customFormat="1" ht="18.95" customHeight="1">
      <c r="A22" s="830" t="str">
        <f>'1-2'!$A$22:$G$22</f>
        <v>Έγινε συντήρηση του καυστήρα.</v>
      </c>
      <c r="B22" s="831"/>
      <c r="C22" s="831"/>
      <c r="D22" s="831"/>
      <c r="E22" s="831"/>
      <c r="F22" s="831"/>
      <c r="G22" s="831"/>
      <c r="I22" s="92"/>
    </row>
    <row r="23" spans="1:14" s="39" customFormat="1" ht="18.95" customHeight="1">
      <c r="A23" s="832" t="str">
        <f>'1-2'!$A$23:$G$23</f>
        <v>Η συντήρηση του Ανελκυστήρα, από 55€*12μήνες, έγινε 55€*8μήνες.</v>
      </c>
      <c r="B23" s="832"/>
      <c r="C23" s="832"/>
      <c r="D23" s="832"/>
      <c r="E23" s="832"/>
      <c r="F23" s="832"/>
      <c r="G23" s="83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12</v>
      </c>
      <c r="B29" s="324"/>
      <c r="C29" s="77" t="s">
        <v>61</v>
      </c>
      <c r="D29" s="461" t="str">
        <f ca="1">IF(A30="","",IF(INDIRECT(ADDRESS(B30,6,3,,"Διαμερίσματα"))="","",VLOOKUP(A30,Διαμερίσματα!$A$6:$N$27,6)))</f>
        <v>Ιδιοκτήτης-8</v>
      </c>
      <c r="E29" s="461" t="s">
        <v>59</v>
      </c>
      <c r="F29" s="816" t="str">
        <f ca="1">IF(A30="","",IF(INDIRECT(ADDRESS(B30,7,3,,"Διαμερίσματα"))="","",VLOOKUP(A30,Διαμερίσματα!$A$6:$N$27,7)))</f>
        <v/>
      </c>
      <c r="G29" s="817"/>
    </row>
    <row r="30" spans="1:14" s="38" customFormat="1" ht="15.75">
      <c r="A30" s="75">
        <f>A5+1</f>
        <v>8</v>
      </c>
      <c r="B30" s="76">
        <f>5+A30</f>
        <v>13</v>
      </c>
      <c r="C30" s="325" t="s">
        <v>62</v>
      </c>
      <c r="D30" s="73" t="str">
        <f ca="1">IF(A30="","",IF(INDIRECT(ADDRESS(B30,9,3,,"Διαμερίσματα"))="","",VLOOKUP(A30,Διαμερίσματα!$A$6:$N$27,9)))</f>
        <v>Ιδιοκτήτης-8</v>
      </c>
      <c r="E30" s="462"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Β1</v>
      </c>
      <c r="B31" s="827"/>
      <c r="C31" s="77" t="str">
        <f ca="1">IF(A30="","",IF(INDIRECT(ADDRESS(B30,3,3,,"Διαμερίσματα"))="","",VLOOKUP(A30,Διαμερίσματα!$A$6:$N$27,3)))</f>
        <v/>
      </c>
      <c r="D31" s="77" t="s">
        <v>86</v>
      </c>
      <c r="E31" s="461" t="str">
        <f ca="1">IF(A30="","",IF(INDIRECT(ADDRESS(B30,4,3,,"Διαμερίσματα"))="","",VLOOKUP(A30,Διαμερίσματα!$A$6:$N$27,4)))</f>
        <v>2ος</v>
      </c>
      <c r="F31" s="78">
        <f ca="1">IF(A30="","",IF(INDIRECT(ADDRESS(B30,5,3,,"Διαμερίσματα"))="","",VLOOKUP(A30,Διαμερίσματα!$A$6:$N$27,5)))</f>
        <v>60</v>
      </c>
      <c r="G31" s="326" t="s">
        <v>60</v>
      </c>
    </row>
    <row r="32" spans="1:14" s="28" customFormat="1" ht="12.75">
      <c r="A32" s="298" t="s">
        <v>24</v>
      </c>
      <c r="B32" s="298" t="s">
        <v>40</v>
      </c>
      <c r="C32" s="298" t="s">
        <v>30</v>
      </c>
      <c r="D32" s="298" t="s">
        <v>32</v>
      </c>
      <c r="E32" s="298" t="s">
        <v>58</v>
      </c>
      <c r="F32" s="298" t="s">
        <v>33</v>
      </c>
      <c r="G32" s="298" t="s">
        <v>56</v>
      </c>
    </row>
    <row r="33" spans="1:7" s="28" customFormat="1" ht="12.75">
      <c r="A33" s="298">
        <v>1</v>
      </c>
      <c r="B33" s="298">
        <v>2</v>
      </c>
      <c r="C33" s="298">
        <v>3</v>
      </c>
      <c r="D33" s="298">
        <v>4</v>
      </c>
      <c r="E33" s="298">
        <v>5</v>
      </c>
      <c r="F33" s="298">
        <v>6</v>
      </c>
      <c r="G33" s="298">
        <v>7</v>
      </c>
    </row>
    <row r="34" spans="1:7" s="241" customFormat="1" ht="12.75">
      <c r="A34" s="45">
        <f>IF(B34="","",1)</f>
        <v>1</v>
      </c>
      <c r="B34" s="79" t="str">
        <f>Δαπάνες!$B$9</f>
        <v>Α1</v>
      </c>
      <c r="C34" s="813" t="str">
        <f>Δαπάνες!$C$9</f>
        <v>Γενικά Κοινόχρηστα</v>
      </c>
      <c r="D34" s="238" t="str">
        <f>Δαπάνες!$D$9</f>
        <v>ΔΕΗ Κοινόχρηστων Χώρων</v>
      </c>
      <c r="E34" s="80">
        <f>IF(Δαπάνες!$F$9="","",Δαπάνες!$F$9)</f>
        <v>100</v>
      </c>
      <c r="F34" s="81">
        <f ca="1">IF(E34="","",IF($A$30="","",IF(INDIRECT(ADDRESS($B$30,14,3,,"Διαμερίσματα"))="","",VLOOKUP($A$30,Διαμερίσματα!$A$6:$N$27,Δαπάνες!E9))))</f>
        <v>33.401608739251955</v>
      </c>
      <c r="G34" s="82">
        <f ca="1">IF(E34="","",E34*F34/1000)</f>
        <v>3.3401608739251958</v>
      </c>
    </row>
    <row r="35" spans="1:7" s="241" customFormat="1" ht="12.75">
      <c r="A35" s="45">
        <f>IF(B35="","",A34+1)</f>
        <v>2</v>
      </c>
      <c r="B35" s="79" t="str">
        <f>Δαπάνες!$B$10</f>
        <v>Α2</v>
      </c>
      <c r="C35" s="814"/>
      <c r="D35" s="238" t="str">
        <f>Δαπάνες!$D$10</f>
        <v>Καθαρισμός Κοινόχρηστων Χώρων</v>
      </c>
      <c r="E35" s="80">
        <f>IF(Δαπάνες!$F$10="","",Δαπάνες!$F$10)</f>
        <v>70</v>
      </c>
      <c r="F35" s="81">
        <f ca="1">IF(E35="","",IF($A$30="","",IF(INDIRECT(ADDRESS($B$30,14,3,,"Διαμερίσματα"))="","",VLOOKUP($A$30,Διαμερίσματα!$A$6:$N$27,Δαπάνες!E10))))</f>
        <v>33.401608739251955</v>
      </c>
      <c r="G35" s="82">
        <f ca="1">IF(E35="","",E35*F35/1000)</f>
        <v>2.3381126117476367</v>
      </c>
    </row>
    <row r="36" spans="1:7" s="241" customFormat="1" ht="12.75">
      <c r="A36" s="45">
        <f t="shared" ref="A36:A45" si="2">IF(B36="","",A35+1)</f>
        <v>3</v>
      </c>
      <c r="B36" s="79" t="str">
        <f>Δαπάνες!$B$11</f>
        <v>Α3</v>
      </c>
      <c r="C36" s="815"/>
      <c r="D36" s="238" t="str">
        <f>Δαπάνες!$D$11</f>
        <v>Υλικά Αναλώσιμα (Λάμπες κλπ)</v>
      </c>
      <c r="E36" s="80">
        <f>IF(Δαπάνες!$F$11="","",Δαπάνες!$F$11)</f>
        <v>10</v>
      </c>
      <c r="F36" s="81">
        <f ca="1">IF(E36="","",IF($A$30="","",IF(INDIRECT(ADDRESS($B$30,14,3,,"Διαμερίσματα"))="","",VLOOKUP($A$30,Διαμερίσματα!$A$6:$N$27,Δαπάνες!E11))))</f>
        <v>33.401608739251955</v>
      </c>
      <c r="G36" s="82">
        <f t="shared" ref="G36:G39" ca="1" si="3">IF(E36="","",E36*F36/1000)</f>
        <v>0.33401608739251959</v>
      </c>
    </row>
    <row r="37" spans="1:7" s="241" customFormat="1" ht="12.75">
      <c r="A37" s="45">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33.401608739251955</v>
      </c>
      <c r="G37" s="85">
        <f t="shared" ca="1" si="3"/>
        <v>1.6700804369625979</v>
      </c>
    </row>
    <row r="38" spans="1:7" s="241" customFormat="1" ht="12.75">
      <c r="A38" s="45">
        <f t="shared" si="2"/>
        <v>5</v>
      </c>
      <c r="B38" s="86" t="str">
        <f>Δαπάνες!$B$13</f>
        <v>Γ1</v>
      </c>
      <c r="C38" s="822" t="str">
        <f>Δαπάνες!$C$13</f>
        <v>Έξοδα Κήπου</v>
      </c>
      <c r="D38" s="238" t="str">
        <f>Δαπάνες!$D$13</f>
        <v>Συντήρηση Κήπου</v>
      </c>
      <c r="E38" s="80">
        <f>IF(Δαπάνες!$F$13="","",Δαπάνες!$F$13)</f>
        <v>60</v>
      </c>
      <c r="F38" s="81">
        <f ca="1">IF(E38="","",IF($A$30="","",IF(INDIRECT(ADDRESS($B$30,13,3,,"Διαμερίσματα"))="","",VLOOKUP($A$30,Διαμερίσματα!$A$6:$N$27,Δαπάνες!E13))))</f>
        <v>33.401608739251955</v>
      </c>
      <c r="G38" s="82">
        <f t="shared" ca="1" si="3"/>
        <v>2.0040965243551172</v>
      </c>
    </row>
    <row r="39" spans="1:7" s="241" customFormat="1" ht="12.75">
      <c r="A39" s="45">
        <f t="shared" si="2"/>
        <v>6</v>
      </c>
      <c r="B39" s="86" t="str">
        <f>Δαπάνες!$B$14</f>
        <v>Γ2</v>
      </c>
      <c r="C39" s="823"/>
      <c r="D39" s="238" t="str">
        <f>Δαπάνες!$D$14</f>
        <v>ΕΥΔΑΠ (Νερό) Κοινόχρηστων Χώρων</v>
      </c>
      <c r="E39" s="80">
        <f>IF(Δαπάνες!$F$14="","",Δαπάνες!$F$14)</f>
        <v>20</v>
      </c>
      <c r="F39" s="81">
        <f ca="1">IF(E39="","",IF($A$30="","",IF(INDIRECT(ADDRESS($B$30,13,3,,"Διαμερίσματα"))="","",VLOOKUP($A$30,Διαμερίσματα!$A$6:$N$27,Δαπάνες!E14))))</f>
        <v>33.401608739251955</v>
      </c>
      <c r="G39" s="82">
        <f t="shared" ca="1" si="3"/>
        <v>0.66803217478503918</v>
      </c>
    </row>
    <row r="40" spans="1:7" s="241" customFormat="1" ht="12.75">
      <c r="A40" s="45">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21</v>
      </c>
      <c r="G40" s="85">
        <f ca="1">IF(A30="","",IF(INDIRECT(ADDRESS(A29,16,3,,"Θέρμανση"))="","",VLOOKUP(A30,Θέρμανση!$A$5:$R$26,18)))</f>
        <v>48.49401387912873</v>
      </c>
    </row>
    <row r="41" spans="1:7" s="241" customFormat="1" ht="12.75">
      <c r="A41" s="45">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69.392548307889385</v>
      </c>
      <c r="G41" s="85">
        <f t="shared" ref="G41:G45" ca="1" si="4">IF(E41="","",E41*F41/1000)</f>
        <v>4.8574783815522569</v>
      </c>
    </row>
    <row r="42" spans="1:7" s="241" customFormat="1" ht="12.75">
      <c r="A42" s="45">
        <f t="shared" si="2"/>
        <v>9</v>
      </c>
      <c r="B42" s="238" t="str">
        <f>Δαπάνες!$B$17</f>
        <v>Ε1</v>
      </c>
      <c r="C42" s="238" t="str">
        <f>Δαπάνες!$C$17</f>
        <v>Έξοδα Ιδιοκτητών</v>
      </c>
      <c r="D42" s="238" t="str">
        <f>Δαπάνες!$D$17</f>
        <v>Συντήρηση Πολυκατοικίας</v>
      </c>
      <c r="E42" s="80">
        <f>IF(Δαπάνες!$F$17="","",Δαπάνες!$F$17)</f>
        <v>100</v>
      </c>
      <c r="F42" s="81">
        <f ca="1">IF(E42="","",IF($A$30="","",IF(INDIRECT(ADDRESS($B$30,13,3,,"Διαμερίσματα"))="","",VLOOKUP($A$30,Διαμερίσματα!$A$6:$N$27,Δαπάνες!E17))))</f>
        <v>33.401608739251955</v>
      </c>
      <c r="G42" s="82">
        <f t="shared" ca="1" si="4"/>
        <v>3.3401608739251958</v>
      </c>
    </row>
    <row r="43" spans="1:7" s="241" customFormat="1" ht="12.75">
      <c r="A43" s="45">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33.401608739251955</v>
      </c>
      <c r="G43" s="85">
        <f t="shared" ca="1" si="4"/>
        <v>6.6803217478503916</v>
      </c>
    </row>
    <row r="44" spans="1:7" s="241" customFormat="1" ht="12.75">
      <c r="A44" s="45">
        <f t="shared" si="2"/>
        <v>11</v>
      </c>
      <c r="B44" s="79" t="str">
        <f>Δαπάνες!$B$19</f>
        <v>Η1</v>
      </c>
      <c r="C44" s="822" t="str">
        <f>Δαπάνες!$C$19</f>
        <v>Διαχείριση</v>
      </c>
      <c r="D44" s="238" t="str">
        <f>Δαπάνες!$D$19</f>
        <v>Αμοιβή Διαχειριστή</v>
      </c>
      <c r="E44" s="80">
        <f>IF(Δαπάνες!$F$19="","",Δαπάνες!$F$19)</f>
        <v>80</v>
      </c>
      <c r="F44" s="81">
        <f ca="1">IF(E44="","",IF($A$30="","",IF(INDIRECT(ADDRESS($B$30,13,3,,"Διαμερίσματα"))="","",VLOOKUP($A$30,Διαμερίσματα!$A$6:$N$27,Δαπάνες!E19))))</f>
        <v>33.401608739251955</v>
      </c>
      <c r="G44" s="82">
        <f t="shared" ca="1" si="4"/>
        <v>2.6721286991401567</v>
      </c>
    </row>
    <row r="45" spans="1:7" s="241" customFormat="1" ht="12.75">
      <c r="A45" s="45">
        <f t="shared" si="2"/>
        <v>12</v>
      </c>
      <c r="B45" s="79" t="str">
        <f>Δαπάνες!$B$20</f>
        <v>Η2</v>
      </c>
      <c r="C45" s="823"/>
      <c r="D45" s="238" t="str">
        <f>Δαπάνες!$D$20</f>
        <v>Έκδοση Κοινοχρήστων</v>
      </c>
      <c r="E45" s="80">
        <f>IF(Δαπάνες!$F$20="","",Δαπάνες!$F$20)</f>
        <v>20</v>
      </c>
      <c r="F45" s="81">
        <f>IF(E45="","",IF(Διαμερίσματα!C13="",1000/Διαμερίσματα!$D$28,Διαμερίσματα!$B$30*10/Διαμερίσματα!$D$28))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77.398602290764842</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2" spans="4:4">
      <c r="D52" s="91"/>
    </row>
  </sheetData>
  <sheetProtection password="E4A3" sheet="1" objects="1" scenarios="1" selectLockedCells="1"/>
  <mergeCells count="34">
    <mergeCell ref="A47:G47"/>
    <mergeCell ref="A48:G48"/>
    <mergeCell ref="D1:E1"/>
    <mergeCell ref="F1:G1"/>
    <mergeCell ref="A2:B2"/>
    <mergeCell ref="E2:G2"/>
    <mergeCell ref="A3:C3"/>
    <mergeCell ref="E3:G3"/>
    <mergeCell ref="A27:B27"/>
    <mergeCell ref="E27:G27"/>
    <mergeCell ref="F4:G4"/>
    <mergeCell ref="F5:G5"/>
    <mergeCell ref="A6:B6"/>
    <mergeCell ref="C9:C11"/>
    <mergeCell ref="C13:C14"/>
    <mergeCell ref="C15:C16"/>
    <mergeCell ref="C19:C20"/>
    <mergeCell ref="A21:D21"/>
    <mergeCell ref="D26:E26"/>
    <mergeCell ref="F26:G26"/>
    <mergeCell ref="A22:G22"/>
    <mergeCell ref="A23:G23"/>
    <mergeCell ref="A24:G24"/>
    <mergeCell ref="E25:G25"/>
    <mergeCell ref="A28:C28"/>
    <mergeCell ref="E28:G28"/>
    <mergeCell ref="F29:G29"/>
    <mergeCell ref="F30:G30"/>
    <mergeCell ref="A31:B31"/>
    <mergeCell ref="C34:C36"/>
    <mergeCell ref="C38:C39"/>
    <mergeCell ref="C40:C41"/>
    <mergeCell ref="C44:C45"/>
    <mergeCell ref="A46:D46"/>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customProperties>
    <customPr name="DVSECTIONID" r:id="rId4"/>
  </customProperties>
  <drawing r:id="rId5"/>
</worksheet>
</file>

<file path=xl/worksheets/sheet14.xml><?xml version="1.0" encoding="utf-8"?>
<worksheet xmlns="http://schemas.openxmlformats.org/spreadsheetml/2006/main" xmlns:r="http://schemas.openxmlformats.org/officeDocument/2006/relationships">
  <sheetPr codeName="Φύλλο13">
    <tabColor rgb="FF0070C0"/>
  </sheetPr>
  <dimension ref="A1:N51"/>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13</v>
      </c>
      <c r="B4" s="324"/>
      <c r="C4" s="77" t="s">
        <v>61</v>
      </c>
      <c r="D4" s="461" t="str">
        <f ca="1">IF(A5="","",IF(INDIRECT(ADDRESS(B5,6,3,,"Διαμερίσματα"))="","",VLOOKUP(A5,Διαμερίσματα!$A$6:$N$27,6)))</f>
        <v>Ιδιοκτήτης-9</v>
      </c>
      <c r="E4" s="461" t="s">
        <v>59</v>
      </c>
      <c r="F4" s="816" t="str">
        <f ca="1">IF(A5="","",IF(INDIRECT(ADDRESS(B5,7,3,,"Διαμερίσματα"))="","",VLOOKUP(A5,Διαμερίσματα!$A$6:$N$27,7)))</f>
        <v/>
      </c>
      <c r="G4" s="817"/>
    </row>
    <row r="5" spans="1:14" s="38" customFormat="1" ht="15.75">
      <c r="A5" s="75">
        <f>Διαμερίσματα!$A$14</f>
        <v>9</v>
      </c>
      <c r="B5" s="76">
        <f>5+A5</f>
        <v>14</v>
      </c>
      <c r="C5" s="325" t="s">
        <v>62</v>
      </c>
      <c r="D5" s="73" t="str">
        <f ca="1">IF(A5="","",IF(INDIRECT(ADDRESS(B5,9,3,,"Διαμερίσματα"))="","",VLOOKUP(A5,Διαμερίσματα!$A$6:$N$27,9)))</f>
        <v>Ιδιοκτήτης-9</v>
      </c>
      <c r="E5" s="462"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Β2</v>
      </c>
      <c r="B6" s="827"/>
      <c r="C6" s="77" t="str">
        <f ca="1">IF(A5="","",IF(INDIRECT(ADDRESS(B5,3,3,,"Διαμερίσματα"))="","",VLOOKUP(A5,Διαμερίσματα!$A$6:$N$27,3)))</f>
        <v/>
      </c>
      <c r="D6" s="77" t="s">
        <v>86</v>
      </c>
      <c r="E6" s="461" t="str">
        <f ca="1">IF(A5="","",IF(INDIRECT(ADDRESS(B5,4,3,,"Διαμερίσματα"))="","",VLOOKUP(A5,Διαμερίσματα!$A$6:$N$27,4)))</f>
        <v>2ος</v>
      </c>
      <c r="F6" s="78">
        <f ca="1">IF(A5="","",IF(INDIRECT(ADDRESS(B5,5,3,,"Διαμερίσματα"))="","",VLOOKUP(A5,Διαμερίσματα!$A$6:$N$27,5)))</f>
        <v>50</v>
      </c>
      <c r="G6" s="326" t="s">
        <v>60</v>
      </c>
    </row>
    <row r="7" spans="1:14" s="28" customFormat="1" ht="12.75">
      <c r="A7" s="298" t="s">
        <v>24</v>
      </c>
      <c r="B7" s="298" t="s">
        <v>40</v>
      </c>
      <c r="C7" s="298" t="s">
        <v>30</v>
      </c>
      <c r="D7" s="298" t="s">
        <v>32</v>
      </c>
      <c r="E7" s="298" t="s">
        <v>58</v>
      </c>
      <c r="F7" s="298" t="s">
        <v>33</v>
      </c>
      <c r="G7" s="298" t="s">
        <v>56</v>
      </c>
    </row>
    <row r="8" spans="1:14" s="28" customFormat="1" ht="12.75">
      <c r="A8" s="298">
        <v>1</v>
      </c>
      <c r="B8" s="298">
        <v>2</v>
      </c>
      <c r="C8" s="298">
        <v>3</v>
      </c>
      <c r="D8" s="298">
        <v>4</v>
      </c>
      <c r="E8" s="298">
        <v>5</v>
      </c>
      <c r="F8" s="298">
        <v>6</v>
      </c>
      <c r="G8" s="298">
        <v>7</v>
      </c>
    </row>
    <row r="9" spans="1:14" s="241" customFormat="1" ht="12.75">
      <c r="A9" s="45">
        <f>IF(B9="","",1)</f>
        <v>1</v>
      </c>
      <c r="B9" s="79" t="str">
        <f>Δαπάνες!$B$9</f>
        <v>Α1</v>
      </c>
      <c r="C9" s="813" t="str">
        <f>Δαπάνες!$C$9</f>
        <v>Γενικά Κοινόχρηστα</v>
      </c>
      <c r="D9" s="238" t="str">
        <f>Δαπάνες!$D$9</f>
        <v>ΔΕΗ Κοινόχρηστων Χώρων</v>
      </c>
      <c r="E9" s="80">
        <f>IF(Δαπάνες!$F$9="","",Δαπάνες!$F$9)</f>
        <v>100</v>
      </c>
      <c r="F9" s="81">
        <f ca="1">IF(E9="","",IF($A$5="","",IF(INDIRECT(ADDRESS($B$5,14,3,,"Διαμερίσματα"))="","",VLOOKUP($A$5,Διαμερίσματα!$A$6:$N$27,Δαπάνες!E9))))</f>
        <v>140.08193048710237</v>
      </c>
      <c r="G9" s="82">
        <f ca="1">IF(E9="","",E9*F9/1000)</f>
        <v>14.008193048710236</v>
      </c>
    </row>
    <row r="10" spans="1:14" s="241" customFormat="1" ht="12.75">
      <c r="A10" s="45">
        <f>IF(B10="","",A9+1)</f>
        <v>2</v>
      </c>
      <c r="B10" s="79" t="str">
        <f>Δαπάνες!$B$10</f>
        <v>Α2</v>
      </c>
      <c r="C10" s="814"/>
      <c r="D10" s="238" t="str">
        <f>Δαπάνες!$D$10</f>
        <v>Καθαρισμός Κοινόχρηστων Χώρων</v>
      </c>
      <c r="E10" s="80">
        <f>IF(Δαπάνες!$F$10="","",Δαπάνες!$F$10)</f>
        <v>70</v>
      </c>
      <c r="F10" s="81">
        <f ca="1">IF(E10="","",IF($A$5="","",IF(INDIRECT(ADDRESS($B$5,14,3,,"Διαμερίσματα"))="","",VLOOKUP($A$5,Διαμερίσματα!$A$6:$N$27,Δαπάνες!E10))))</f>
        <v>140.08193048710237</v>
      </c>
      <c r="G10" s="82">
        <f ca="1">IF(E10="","",E10*F10/1000)</f>
        <v>9.8057351340971657</v>
      </c>
    </row>
    <row r="11" spans="1:14" s="241" customFormat="1" ht="12.75">
      <c r="A11" s="45">
        <f t="shared" ref="A11:A20" si="0">IF(B11="","",A10+1)</f>
        <v>3</v>
      </c>
      <c r="B11" s="79" t="str">
        <f>Δαπάνες!$B$11</f>
        <v>Α3</v>
      </c>
      <c r="C11" s="815"/>
      <c r="D11" s="238" t="str">
        <f>Δαπάνες!$D$11</f>
        <v>Υλικά Αναλώσιμα (Λάμπες κλπ)</v>
      </c>
      <c r="E11" s="80">
        <f>IF(Δαπάνες!$F$11="","",Δαπάνες!$F$11)</f>
        <v>10</v>
      </c>
      <c r="F11" s="81">
        <f ca="1">IF(E11="","",IF($A$5="","",IF(INDIRECT(ADDRESS($B$5,14,3,,"Διαμερίσματα"))="","",VLOOKUP($A$5,Διαμερίσματα!$A$6:$N$27,Δαπάνες!E11))))</f>
        <v>140.08193048710237</v>
      </c>
      <c r="G11" s="82">
        <f t="shared" ref="G11:G20" ca="1" si="1">IF(E11="","",E11*F11/1000)</f>
        <v>1.4008193048710236</v>
      </c>
    </row>
    <row r="12" spans="1:14" s="241" customFormat="1" ht="12.75">
      <c r="A12" s="45">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140.08193048710237</v>
      </c>
      <c r="G12" s="85">
        <f t="shared" ca="1" si="1"/>
        <v>7.0040965243551181</v>
      </c>
    </row>
    <row r="13" spans="1:14" s="241" customFormat="1" ht="12.75">
      <c r="A13" s="45">
        <f t="shared" si="0"/>
        <v>5</v>
      </c>
      <c r="B13" s="86" t="str">
        <f>Δαπάνες!$B$13</f>
        <v>Γ1</v>
      </c>
      <c r="C13" s="822" t="str">
        <f>Δαπάνες!$C$13</f>
        <v>Έξοδα Κήπου</v>
      </c>
      <c r="D13" s="238" t="str">
        <f>Δαπάνες!$D$13</f>
        <v>Συντήρηση Κήπου</v>
      </c>
      <c r="E13" s="80">
        <f>IF(Δαπάνες!$F$13="","",Δαπάνες!$F$13)</f>
        <v>60</v>
      </c>
      <c r="F13" s="81">
        <f ca="1">IF(E13="","",IF($A$5="","",IF(INDIRECT(ADDRESS($B$5,13,3,,"Διαμερίσματα"))="","",VLOOKUP($A$5,Διαμερίσματα!$A$6:$N$27,Δαπάνες!E13))))</f>
        <v>140.08193048710237</v>
      </c>
      <c r="G13" s="82">
        <f t="shared" ca="1" si="1"/>
        <v>8.404915829226141</v>
      </c>
    </row>
    <row r="14" spans="1:14" s="241" customFormat="1" ht="12.75">
      <c r="A14" s="45">
        <f t="shared" si="0"/>
        <v>6</v>
      </c>
      <c r="B14" s="86" t="str">
        <f>Δαπάνες!$B$14</f>
        <v>Γ2</v>
      </c>
      <c r="C14" s="823"/>
      <c r="D14" s="238" t="str">
        <f>Δαπάνες!$D$14</f>
        <v>ΕΥΔΑΠ (Νερό) Κοινόχρηστων Χώρων</v>
      </c>
      <c r="E14" s="80">
        <f>IF(Δαπάνες!$F$14="","",Δαπάνες!$F$14)</f>
        <v>20</v>
      </c>
      <c r="F14" s="81">
        <f ca="1">IF(E14="","",IF($A$5="","",IF(INDIRECT(ADDRESS($B$5,13,3,,"Διαμερίσματα"))="","",VLOOKUP($A$5,Διαμερίσματα!$A$6:$N$27,Δαπάνες!E14))))</f>
        <v>140.08193048710237</v>
      </c>
      <c r="G14" s="82">
        <f t="shared" ca="1" si="1"/>
        <v>2.8016386097420471</v>
      </c>
    </row>
    <row r="15" spans="1:14" s="241" customFormat="1" ht="12.75">
      <c r="A15" s="45">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12</v>
      </c>
      <c r="G15" s="85">
        <f ca="1">IF(A5="","",IF(INDIRECT(ADDRESS(A4,16,3,,"Θέρμανση"))="","",VLOOKUP(A5,Θέρμανση!$A$5:$R$26,18)))</f>
        <v>30.311423180712552</v>
      </c>
    </row>
    <row r="16" spans="1:14" s="241" customFormat="1" ht="12.75">
      <c r="A16" s="45">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75.904772072168228</v>
      </c>
      <c r="G16" s="85">
        <f t="shared" ca="1" si="1"/>
        <v>5.3133340450517759</v>
      </c>
    </row>
    <row r="17" spans="1:14" s="241" customFormat="1" ht="12.75">
      <c r="A17" s="45">
        <f t="shared" si="0"/>
        <v>9</v>
      </c>
      <c r="B17" s="238" t="str">
        <f>Δαπάνες!$B$17</f>
        <v>Ε1</v>
      </c>
      <c r="C17" s="238" t="str">
        <f>Δαπάνες!$C$17</f>
        <v>Έξοδα Ιδιοκτητών</v>
      </c>
      <c r="D17" s="238" t="str">
        <f>Δαπάνες!$D$17</f>
        <v>Συντήρηση Πολυκατοικίας</v>
      </c>
      <c r="E17" s="80">
        <f>IF(Δαπάνες!$F$17="","",Δαπάνες!$F$17)</f>
        <v>100</v>
      </c>
      <c r="F17" s="81">
        <f ca="1">IF(E17="","",IF($A$5="","",IF(INDIRECT(ADDRESS($B$5,13,3,,"Διαμερίσματα"))="","",VLOOKUP($A$5,Διαμερίσματα!$A$6:$N$27,Δαπάνες!E17))))</f>
        <v>140.08193048710237</v>
      </c>
      <c r="G17" s="82">
        <f t="shared" ca="1" si="1"/>
        <v>14.008193048710236</v>
      </c>
    </row>
    <row r="18" spans="1:14" s="241" customFormat="1" ht="12.75">
      <c r="A18" s="45">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140.08193048710237</v>
      </c>
      <c r="G18" s="85">
        <f t="shared" ca="1" si="1"/>
        <v>28.016386097420472</v>
      </c>
    </row>
    <row r="19" spans="1:14" s="241" customFormat="1" ht="12.75">
      <c r="A19" s="45">
        <f t="shared" si="0"/>
        <v>11</v>
      </c>
      <c r="B19" s="79" t="str">
        <f>Δαπάνες!$B$19</f>
        <v>Η1</v>
      </c>
      <c r="C19" s="822" t="str">
        <f>Δαπάνες!$C$19</f>
        <v>Διαχείριση</v>
      </c>
      <c r="D19" s="238" t="str">
        <f>Δαπάνες!$D$19</f>
        <v>Αμοιβή Διαχειριστή</v>
      </c>
      <c r="E19" s="80">
        <f>IF(Δαπάνες!$F$19="","",Δαπάνες!$F$19)</f>
        <v>80</v>
      </c>
      <c r="F19" s="81">
        <f ca="1">IF(E19="","",IF($A$5="","",IF(INDIRECT(ADDRESS($B$5,13,3,,"Διαμερίσματα"))="","",VLOOKUP($A$5,Διαμερίσματα!$A$6:$N$27,Δαπάνες!E19))))</f>
        <v>140.08193048710237</v>
      </c>
      <c r="G19" s="82">
        <f t="shared" ca="1" si="1"/>
        <v>11.206554438968189</v>
      </c>
    </row>
    <row r="20" spans="1:14" s="241" customFormat="1" ht="12.75">
      <c r="A20" s="45">
        <f t="shared" si="0"/>
        <v>12</v>
      </c>
      <c r="B20" s="79" t="str">
        <f>Δαπάνες!$B$20</f>
        <v>Η2</v>
      </c>
      <c r="C20" s="823"/>
      <c r="D20" s="238" t="str">
        <f>Δαπάνες!$D$20</f>
        <v>Έκδοση Κοινοχρήστων</v>
      </c>
      <c r="E20" s="80">
        <f>IF(Δαπάνες!$F$20="","",Δαπάνες!$F$20)</f>
        <v>20</v>
      </c>
      <c r="F20" s="81">
        <f>IF(E20="","",IF(Διαμερίσματα!C14="",1000/Διαμερίσματα!$D$28,Διαμερίσματα!$B$30*10/Διαμερίσματα!$D$28))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133.28128926186497</v>
      </c>
    </row>
    <row r="22" spans="1:14" s="39" customFormat="1" ht="18.95" customHeight="1">
      <c r="A22" s="830" t="str">
        <f>'1-2'!$A$22:$G$22</f>
        <v>Έγινε συντήρηση του καυστήρα.</v>
      </c>
      <c r="B22" s="831"/>
      <c r="C22" s="831"/>
      <c r="D22" s="831"/>
      <c r="E22" s="831"/>
      <c r="F22" s="831"/>
      <c r="G22" s="831"/>
    </row>
    <row r="23" spans="1:14" s="39" customFormat="1" ht="18.95" customHeight="1">
      <c r="A23" s="832" t="str">
        <f>'1-2'!$A$23:$G$23</f>
        <v>Η συντήρηση του Ανελκυστήρα, από 55€*12μήνες, έγινε 55€*8μήνες.</v>
      </c>
      <c r="B23" s="832"/>
      <c r="C23" s="832"/>
      <c r="D23" s="832"/>
      <c r="E23" s="832"/>
      <c r="F23" s="832"/>
      <c r="G23" s="832"/>
      <c r="I23" s="9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14</v>
      </c>
      <c r="B29" s="324"/>
      <c r="C29" s="77" t="s">
        <v>61</v>
      </c>
      <c r="D29" s="461" t="str">
        <f ca="1">IF(A30="","",IF(INDIRECT(ADDRESS(B30,6,3,,"Διαμερίσματα"))="","",VLOOKUP(A30,Διαμερίσματα!$A$6:$N$27,6)))</f>
        <v>Ιδιοκτήτης-10</v>
      </c>
      <c r="E29" s="461" t="s">
        <v>59</v>
      </c>
      <c r="F29" s="816" t="str">
        <f ca="1">IF(A30="","",IF(INDIRECT(ADDRESS(B30,7,3,,"Διαμερίσματα"))="","",VLOOKUP(A30,Διαμερίσματα!$A$6:$N$27,7)))</f>
        <v/>
      </c>
      <c r="G29" s="817"/>
    </row>
    <row r="30" spans="1:14" s="38" customFormat="1" ht="15.75">
      <c r="A30" s="75">
        <f>A5+1</f>
        <v>10</v>
      </c>
      <c r="B30" s="76">
        <f>5+A30</f>
        <v>15</v>
      </c>
      <c r="C30" s="325" t="s">
        <v>62</v>
      </c>
      <c r="D30" s="73" t="str">
        <f ca="1">IF(A30="","",IF(INDIRECT(ADDRESS(B30,9,3,,"Διαμερίσματα"))="","",VLOOKUP(A30,Διαμερίσματα!$A$6:$N$27,9)))</f>
        <v>Ιδιοκτήτης-10</v>
      </c>
      <c r="E30" s="462"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Β3</v>
      </c>
      <c r="B31" s="827"/>
      <c r="C31" s="77" t="str">
        <f ca="1">IF(A30="","",IF(INDIRECT(ADDRESS(B30,3,3,,"Διαμερίσματα"))="","",VLOOKUP(A30,Διαμερίσματα!$A$6:$N$27,3)))</f>
        <v/>
      </c>
      <c r="D31" s="77" t="s">
        <v>86</v>
      </c>
      <c r="E31" s="461" t="str">
        <f ca="1">IF(A30="","",IF(INDIRECT(ADDRESS(B30,4,3,,"Διαμερίσματα"))="","",VLOOKUP(A30,Διαμερίσματα!$A$6:$N$27,4)))</f>
        <v>2ος</v>
      </c>
      <c r="F31" s="78">
        <f ca="1">IF(A30="","",IF(INDIRECT(ADDRESS(B30,5,3,,"Διαμερίσματα"))="","",VLOOKUP(A30,Διαμερίσματα!$A$6:$N$27,5)))</f>
        <v>60</v>
      </c>
      <c r="G31" s="326" t="s">
        <v>60</v>
      </c>
    </row>
    <row r="32" spans="1:14" s="28" customFormat="1" ht="12.75">
      <c r="A32" s="298" t="s">
        <v>24</v>
      </c>
      <c r="B32" s="298" t="s">
        <v>40</v>
      </c>
      <c r="C32" s="298" t="s">
        <v>30</v>
      </c>
      <c r="D32" s="298" t="s">
        <v>32</v>
      </c>
      <c r="E32" s="298" t="s">
        <v>58</v>
      </c>
      <c r="F32" s="298" t="s">
        <v>33</v>
      </c>
      <c r="G32" s="298" t="s">
        <v>56</v>
      </c>
    </row>
    <row r="33" spans="1:7" s="28" customFormat="1" ht="12.75">
      <c r="A33" s="298">
        <v>1</v>
      </c>
      <c r="B33" s="298">
        <v>2</v>
      </c>
      <c r="C33" s="298">
        <v>3</v>
      </c>
      <c r="D33" s="298">
        <v>4</v>
      </c>
      <c r="E33" s="298">
        <v>5</v>
      </c>
      <c r="F33" s="298">
        <v>6</v>
      </c>
      <c r="G33" s="298">
        <v>7</v>
      </c>
    </row>
    <row r="34" spans="1:7" s="241" customFormat="1" ht="12.75">
      <c r="A34" s="45">
        <f>IF(B34="","",1)</f>
        <v>1</v>
      </c>
      <c r="B34" s="79" t="str">
        <f>Δαπάνες!$B$9</f>
        <v>Α1</v>
      </c>
      <c r="C34" s="813" t="str">
        <f>Δαπάνες!$C$9</f>
        <v>Γενικά Κοινόχρηστα</v>
      </c>
      <c r="D34" s="238" t="str">
        <f>Δαπάνες!$D$9</f>
        <v>ΔΕΗ Κοινόχρηστων Χώρων</v>
      </c>
      <c r="E34" s="80">
        <f>IF(Δαπάνες!$F$9="","",Δαπάνες!$F$9)</f>
        <v>100</v>
      </c>
      <c r="F34" s="81">
        <f ca="1">IF(E34="","",IF($A$30="","",IF(INDIRECT(ADDRESS($B$30,14,3,,"Διαμερίσματα"))="","",VLOOKUP($A$30,Διαμερίσματα!$A$6:$N$27,Δαπάνες!E9))))</f>
        <v>140.08193048710237</v>
      </c>
      <c r="G34" s="82">
        <f ca="1">IF(E34="","",E34*F34/1000)</f>
        <v>14.008193048710236</v>
      </c>
    </row>
    <row r="35" spans="1:7" s="241" customFormat="1" ht="12.75">
      <c r="A35" s="45">
        <f>IF(B35="","",A34+1)</f>
        <v>2</v>
      </c>
      <c r="B35" s="79" t="str">
        <f>Δαπάνες!$B$10</f>
        <v>Α2</v>
      </c>
      <c r="C35" s="814"/>
      <c r="D35" s="238" t="str">
        <f>Δαπάνες!$D$10</f>
        <v>Καθαρισμός Κοινόχρηστων Χώρων</v>
      </c>
      <c r="E35" s="80">
        <f>IF(Δαπάνες!$F$10="","",Δαπάνες!$F$10)</f>
        <v>70</v>
      </c>
      <c r="F35" s="81">
        <f ca="1">IF(E35="","",IF($A$30="","",IF(INDIRECT(ADDRESS($B$30,14,3,,"Διαμερίσματα"))="","",VLOOKUP($A$30,Διαμερίσματα!$A$6:$N$27,Δαπάνες!E10))))</f>
        <v>140.08193048710237</v>
      </c>
      <c r="G35" s="82">
        <f ca="1">IF(E35="","",E35*F35/1000)</f>
        <v>9.8057351340971657</v>
      </c>
    </row>
    <row r="36" spans="1:7" s="241" customFormat="1" ht="12.75">
      <c r="A36" s="45">
        <f t="shared" ref="A36:A45" si="2">IF(B36="","",A35+1)</f>
        <v>3</v>
      </c>
      <c r="B36" s="79" t="str">
        <f>Δαπάνες!$B$11</f>
        <v>Α3</v>
      </c>
      <c r="C36" s="815"/>
      <c r="D36" s="238" t="str">
        <f>Δαπάνες!$D$11</f>
        <v>Υλικά Αναλώσιμα (Λάμπες κλπ)</v>
      </c>
      <c r="E36" s="80">
        <f>IF(Δαπάνες!$F$11="","",Δαπάνες!$F$11)</f>
        <v>10</v>
      </c>
      <c r="F36" s="81">
        <f ca="1">IF(E36="","",IF($A$30="","",IF(INDIRECT(ADDRESS($B$30,14,3,,"Διαμερίσματα"))="","",VLOOKUP($A$30,Διαμερίσματα!$A$6:$N$27,Δαπάνες!E11))))</f>
        <v>140.08193048710237</v>
      </c>
      <c r="G36" s="82">
        <f t="shared" ref="G36:G39" ca="1" si="3">IF(E36="","",E36*F36/1000)</f>
        <v>1.4008193048710236</v>
      </c>
    </row>
    <row r="37" spans="1:7" s="241" customFormat="1" ht="12.75">
      <c r="A37" s="45">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140.08193048710237</v>
      </c>
      <c r="G37" s="85">
        <f t="shared" ca="1" si="3"/>
        <v>7.0040965243551181</v>
      </c>
    </row>
    <row r="38" spans="1:7" s="241" customFormat="1" ht="12.75">
      <c r="A38" s="45">
        <f t="shared" si="2"/>
        <v>5</v>
      </c>
      <c r="B38" s="86" t="str">
        <f>Δαπάνες!$B$13</f>
        <v>Γ1</v>
      </c>
      <c r="C38" s="822" t="str">
        <f>Δαπάνες!$C$13</f>
        <v>Έξοδα Κήπου</v>
      </c>
      <c r="D38" s="238" t="str">
        <f>Δαπάνες!$D$13</f>
        <v>Συντήρηση Κήπου</v>
      </c>
      <c r="E38" s="80">
        <f>IF(Δαπάνες!$F$13="","",Δαπάνες!$F$13)</f>
        <v>60</v>
      </c>
      <c r="F38" s="81">
        <f ca="1">IF(E38="","",IF($A$30="","",IF(INDIRECT(ADDRESS($B$30,13,3,,"Διαμερίσματα"))="","",VLOOKUP($A$30,Διαμερίσματα!$A$6:$N$27,Δαπάνες!E13))))</f>
        <v>140.08193048710237</v>
      </c>
      <c r="G38" s="82">
        <f t="shared" ca="1" si="3"/>
        <v>8.404915829226141</v>
      </c>
    </row>
    <row r="39" spans="1:7" s="241" customFormat="1" ht="12.75">
      <c r="A39" s="45">
        <f t="shared" si="2"/>
        <v>6</v>
      </c>
      <c r="B39" s="86" t="str">
        <f>Δαπάνες!$B$14</f>
        <v>Γ2</v>
      </c>
      <c r="C39" s="823"/>
      <c r="D39" s="238" t="str">
        <f>Δαπάνες!$D$14</f>
        <v>ΕΥΔΑΠ (Νερό) Κοινόχρηστων Χώρων</v>
      </c>
      <c r="E39" s="80">
        <f>IF(Δαπάνες!$F$14="","",Δαπάνες!$F$14)</f>
        <v>20</v>
      </c>
      <c r="F39" s="81">
        <f ca="1">IF(E39="","",IF($A$30="","",IF(INDIRECT(ADDRESS($B$30,13,3,,"Διαμερίσματα"))="","",VLOOKUP($A$30,Διαμερίσματα!$A$6:$N$27,Δαπάνες!E14))))</f>
        <v>140.08193048710237</v>
      </c>
      <c r="G39" s="82">
        <f t="shared" ca="1" si="3"/>
        <v>2.8016386097420471</v>
      </c>
    </row>
    <row r="40" spans="1:7" s="241" customFormat="1" ht="12.75">
      <c r="A40" s="45">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60</v>
      </c>
      <c r="G40" s="85">
        <f ca="1">IF(A30="","",IF(INDIRECT(ADDRESS(A29,16,3,,"Θέρμανση"))="","",VLOOKUP(A30,Θέρμανση!$A$5:$R$26,18)))</f>
        <v>134.29111535758724</v>
      </c>
    </row>
    <row r="41" spans="1:7" s="241" customFormat="1" ht="12.75">
      <c r="A41" s="45">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67.257392975338931</v>
      </c>
      <c r="G41" s="85">
        <f t="shared" ref="G41:G45" ca="1" si="4">IF(E41="","",E41*F41/1000)</f>
        <v>4.7080175082737252</v>
      </c>
    </row>
    <row r="42" spans="1:7" s="241" customFormat="1" ht="12.75">
      <c r="A42" s="45">
        <f t="shared" si="2"/>
        <v>9</v>
      </c>
      <c r="B42" s="238" t="str">
        <f>Δαπάνες!$B$17</f>
        <v>Ε1</v>
      </c>
      <c r="C42" s="238" t="str">
        <f>Δαπάνες!$C$17</f>
        <v>Έξοδα Ιδιοκτητών</v>
      </c>
      <c r="D42" s="238" t="str">
        <f>Δαπάνες!$D$17</f>
        <v>Συντήρηση Πολυκατοικίας</v>
      </c>
      <c r="E42" s="80">
        <f>IF(Δαπάνες!$F$17="","",Δαπάνες!$F$17)</f>
        <v>100</v>
      </c>
      <c r="F42" s="81">
        <f ca="1">IF(E42="","",IF($A$30="","",IF(INDIRECT(ADDRESS($B$30,13,3,,"Διαμερίσματα"))="","",VLOOKUP($A$30,Διαμερίσματα!$A$6:$N$27,Δαπάνες!E17))))</f>
        <v>140.08193048710237</v>
      </c>
      <c r="G42" s="82">
        <f t="shared" ca="1" si="4"/>
        <v>14.008193048710236</v>
      </c>
    </row>
    <row r="43" spans="1:7" s="241" customFormat="1" ht="12.75">
      <c r="A43" s="45">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140.08193048710237</v>
      </c>
      <c r="G43" s="85">
        <f t="shared" ca="1" si="4"/>
        <v>28.016386097420472</v>
      </c>
    </row>
    <row r="44" spans="1:7" s="241" customFormat="1" ht="12.75">
      <c r="A44" s="45">
        <f t="shared" si="2"/>
        <v>11</v>
      </c>
      <c r="B44" s="79" t="str">
        <f>Δαπάνες!$B$19</f>
        <v>Η1</v>
      </c>
      <c r="C44" s="822" t="str">
        <f>Δαπάνες!$C$19</f>
        <v>Διαχείριση</v>
      </c>
      <c r="D44" s="238" t="str">
        <f>Δαπάνες!$D$19</f>
        <v>Αμοιβή Διαχειριστή</v>
      </c>
      <c r="E44" s="80">
        <f>IF(Δαπάνες!$F$19="","",Δαπάνες!$F$19)</f>
        <v>80</v>
      </c>
      <c r="F44" s="81">
        <f ca="1">IF(E44="","",IF($A$30="","",IF(INDIRECT(ADDRESS($B$30,13,3,,"Διαμερίσματα"))="","",VLOOKUP($A$30,Διαμερίσματα!$A$6:$N$27,Δαπάνες!E19))))</f>
        <v>140.08193048710237</v>
      </c>
      <c r="G44" s="82">
        <f t="shared" ca="1" si="4"/>
        <v>11.206554438968189</v>
      </c>
    </row>
    <row r="45" spans="1:7" s="241" customFormat="1" ht="12.75">
      <c r="A45" s="45">
        <f t="shared" si="2"/>
        <v>12</v>
      </c>
      <c r="B45" s="79" t="str">
        <f>Δαπάνες!$B$20</f>
        <v>Η2</v>
      </c>
      <c r="C45" s="823"/>
      <c r="D45" s="238" t="str">
        <f>Δαπάνες!$D$20</f>
        <v>Έκδοση Κοινοχρήστων</v>
      </c>
      <c r="E45" s="80">
        <f>IF(Δαπάνες!$F$20="","",Δαπάνες!$F$20)</f>
        <v>20</v>
      </c>
      <c r="F45" s="81">
        <f>IF(E45="","",IF(Διαμερίσματα!C15="",1000/Διαμερίσματα!$D$28,Διαμερίσματα!$B$30*10/Διαμερίσματα!$D$28))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236.65566490196161</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1" spans="4:4">
      <c r="D51" s="91"/>
    </row>
  </sheetData>
  <sheetProtection password="E4A3" sheet="1" objects="1" scenarios="1" selectLockedCells="1"/>
  <mergeCells count="34">
    <mergeCell ref="A47:G47"/>
    <mergeCell ref="A48:G48"/>
    <mergeCell ref="D1:E1"/>
    <mergeCell ref="F1:G1"/>
    <mergeCell ref="A2:B2"/>
    <mergeCell ref="E2:G2"/>
    <mergeCell ref="A3:C3"/>
    <mergeCell ref="E3:G3"/>
    <mergeCell ref="A27:B27"/>
    <mergeCell ref="E27:G27"/>
    <mergeCell ref="F4:G4"/>
    <mergeCell ref="F5:G5"/>
    <mergeCell ref="A6:B6"/>
    <mergeCell ref="C9:C11"/>
    <mergeCell ref="C13:C14"/>
    <mergeCell ref="C15:C16"/>
    <mergeCell ref="C19:C20"/>
    <mergeCell ref="A21:D21"/>
    <mergeCell ref="D26:E26"/>
    <mergeCell ref="F26:G26"/>
    <mergeCell ref="A22:G22"/>
    <mergeCell ref="A23:G23"/>
    <mergeCell ref="A24:G24"/>
    <mergeCell ref="E25:G25"/>
    <mergeCell ref="A28:C28"/>
    <mergeCell ref="E28:G28"/>
    <mergeCell ref="F29:G29"/>
    <mergeCell ref="F30:G30"/>
    <mergeCell ref="A31:B31"/>
    <mergeCell ref="C34:C36"/>
    <mergeCell ref="C38:C39"/>
    <mergeCell ref="C40:C41"/>
    <mergeCell ref="C44:C45"/>
    <mergeCell ref="A46:D46"/>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customProperties>
    <customPr name="DVSECTIONID" r:id="rId4"/>
  </customProperties>
  <drawing r:id="rId5"/>
</worksheet>
</file>

<file path=xl/worksheets/sheet15.xml><?xml version="1.0" encoding="utf-8"?>
<worksheet xmlns="http://schemas.openxmlformats.org/spreadsheetml/2006/main" xmlns:r="http://schemas.openxmlformats.org/officeDocument/2006/relationships">
  <sheetPr codeName="Φύλλο14">
    <tabColor rgb="FF0070C0"/>
  </sheetPr>
  <dimension ref="A1:N51"/>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9" width="9.140625" style="9"/>
    <col min="10" max="10" width="9.140625" style="9" customWidth="1"/>
    <col min="11"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15</v>
      </c>
      <c r="B4" s="324"/>
      <c r="C4" s="77" t="s">
        <v>61</v>
      </c>
      <c r="D4" s="461" t="str">
        <f ca="1">IF(A5="","",IF(INDIRECT(ADDRESS(B5,6,3,,"Διαμερίσματα"))="","",VLOOKUP(A5,Διαμερίσματα!$A$6:$N$27,6)))</f>
        <v>Ιδιοκτήτης-11</v>
      </c>
      <c r="E4" s="461" t="s">
        <v>59</v>
      </c>
      <c r="F4" s="816" t="str">
        <f ca="1">IF(A5="","",IF(INDIRECT(ADDRESS(B5,7,3,,"Διαμερίσματα"))="","",VLOOKUP(A5,Διαμερίσματα!$A$6:$N$27,7)))</f>
        <v/>
      </c>
      <c r="G4" s="817"/>
    </row>
    <row r="5" spans="1:14" s="38" customFormat="1" ht="15.75">
      <c r="A5" s="75">
        <f>Διαμερίσματα!$A$16</f>
        <v>11</v>
      </c>
      <c r="B5" s="76">
        <f>5+A5</f>
        <v>16</v>
      </c>
      <c r="C5" s="325" t="s">
        <v>62</v>
      </c>
      <c r="D5" s="73" t="str">
        <f ca="1">IF(A5="","",IF(INDIRECT(ADDRESS(B5,9,3,,"Διαμερίσματα"))="","",VLOOKUP(A5,Διαμερίσματα!$A$6:$N$27,9)))</f>
        <v>Ιδιοκτήτης-11</v>
      </c>
      <c r="E5" s="462"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Β4</v>
      </c>
      <c r="B6" s="827"/>
      <c r="C6" s="77" t="str">
        <f ca="1">IF(A5="","",IF(INDIRECT(ADDRESS(B5,3,3,,"Διαμερίσματα"))="","",VLOOKUP(A5,Διαμερίσματα!$A$6:$N$27,3)))</f>
        <v>ΝΑΙ</v>
      </c>
      <c r="D6" s="77" t="s">
        <v>86</v>
      </c>
      <c r="E6" s="461" t="str">
        <f ca="1">IF(A5="","",IF(INDIRECT(ADDRESS(B5,4,3,,"Διαμερίσματα"))="","",VLOOKUP(A5,Διαμερίσματα!$A$6:$N$27,4)))</f>
        <v>2ος</v>
      </c>
      <c r="F6" s="78">
        <f ca="1">IF(A5="","",IF(INDIRECT(ADDRESS(B5,5,3,,"Διαμερίσματα"))="","",VLOOKUP(A5,Διαμερίσματα!$A$6:$N$27,5)))</f>
        <v>50</v>
      </c>
      <c r="G6" s="326" t="s">
        <v>60</v>
      </c>
    </row>
    <row r="7" spans="1:14" s="28" customFormat="1" ht="12.75">
      <c r="A7" s="457" t="s">
        <v>24</v>
      </c>
      <c r="B7" s="457" t="s">
        <v>40</v>
      </c>
      <c r="C7" s="457" t="s">
        <v>30</v>
      </c>
      <c r="D7" s="457" t="s">
        <v>32</v>
      </c>
      <c r="E7" s="457" t="s">
        <v>58</v>
      </c>
      <c r="F7" s="457" t="s">
        <v>33</v>
      </c>
      <c r="G7" s="457" t="s">
        <v>56</v>
      </c>
    </row>
    <row r="8" spans="1:14" s="28" customFormat="1" ht="12.75">
      <c r="A8" s="457">
        <v>1</v>
      </c>
      <c r="B8" s="457">
        <v>2</v>
      </c>
      <c r="C8" s="457">
        <v>3</v>
      </c>
      <c r="D8" s="457">
        <v>4</v>
      </c>
      <c r="E8" s="457">
        <v>5</v>
      </c>
      <c r="F8" s="457">
        <v>6</v>
      </c>
      <c r="G8" s="457">
        <v>7</v>
      </c>
    </row>
    <row r="9" spans="1:14" s="460" customFormat="1" ht="12.75">
      <c r="A9" s="458">
        <f>IF(B9="","",1)</f>
        <v>1</v>
      </c>
      <c r="B9" s="79" t="str">
        <f>Δαπάνες!$B$9</f>
        <v>Α1</v>
      </c>
      <c r="C9" s="813" t="str">
        <f>Δαπάνες!$C$9</f>
        <v>Γενικά Κοινόχρηστα</v>
      </c>
      <c r="D9" s="459" t="str">
        <f>Δαπάνες!$D$9</f>
        <v>ΔΕΗ Κοινόχρηστων Χώρων</v>
      </c>
      <c r="E9" s="80">
        <f>IF(Δαπάνες!$F$9="","",Δαπάνες!$F$9)</f>
        <v>100</v>
      </c>
      <c r="F9" s="81">
        <f ca="1">IF(E9="","",IF($A$5="","",IF(INDIRECT(ADDRESS($B$5,14,3,,"Διαμερίσματα"))="","",VLOOKUP($A$5,Διαμερίσματα!$A$6:$N$27,Δαπάνες!E9))))</f>
        <v>0</v>
      </c>
      <c r="G9" s="82">
        <f ca="1">IF(E9="","",E9*F9/1000)</f>
        <v>0</v>
      </c>
    </row>
    <row r="10" spans="1:14" s="460" customFormat="1" ht="12.75">
      <c r="A10" s="458">
        <f>IF(B10="","",A9+1)</f>
        <v>2</v>
      </c>
      <c r="B10" s="79" t="str">
        <f>Δαπάνες!$B$10</f>
        <v>Α2</v>
      </c>
      <c r="C10" s="814"/>
      <c r="D10" s="459" t="str">
        <f>Δαπάνες!$D$10</f>
        <v>Καθαρισμός Κοινόχρηστων Χώρων</v>
      </c>
      <c r="E10" s="80">
        <f>IF(Δαπάνες!$F$10="","",Δαπάνες!$F$10)</f>
        <v>70</v>
      </c>
      <c r="F10" s="81">
        <f ca="1">IF(E10="","",IF($A$5="","",IF(INDIRECT(ADDRESS($B$5,14,3,,"Διαμερίσματα"))="","",VLOOKUP($A$5,Διαμερίσματα!$A$6:$N$27,Δαπάνες!E10))))</f>
        <v>0</v>
      </c>
      <c r="G10" s="82">
        <f ca="1">IF(E10="","",E10*F10/1000)</f>
        <v>0</v>
      </c>
    </row>
    <row r="11" spans="1:14" s="460" customFormat="1" ht="12.75">
      <c r="A11" s="458">
        <f t="shared" ref="A11:A20" si="0">IF(B11="","",A10+1)</f>
        <v>3</v>
      </c>
      <c r="B11" s="79" t="str">
        <f>Δαπάνες!$B$11</f>
        <v>Α3</v>
      </c>
      <c r="C11" s="815"/>
      <c r="D11" s="459" t="str">
        <f>Δαπάνες!$D$11</f>
        <v>Υλικά Αναλώσιμα (Λάμπες κλπ)</v>
      </c>
      <c r="E11" s="80">
        <f>IF(Δαπάνες!$F$11="","",Δαπάνες!$F$11)</f>
        <v>10</v>
      </c>
      <c r="F11" s="81">
        <f ca="1">IF(E11="","",IF($A$5="","",IF(INDIRECT(ADDRESS($B$5,14,3,,"Διαμερίσματα"))="","",VLOOKUP($A$5,Διαμερίσματα!$A$6:$N$27,Δαπάνες!E11))))</f>
        <v>0</v>
      </c>
      <c r="G11" s="82">
        <f t="shared" ref="G11:G20" ca="1" si="1">IF(E11="","",E11*F11/1000)</f>
        <v>0</v>
      </c>
    </row>
    <row r="12" spans="1:14" s="460" customFormat="1" ht="12.75">
      <c r="A12" s="458">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0</v>
      </c>
      <c r="G12" s="85">
        <f t="shared" ca="1" si="1"/>
        <v>0</v>
      </c>
    </row>
    <row r="13" spans="1:14" s="460" customFormat="1" ht="12.75">
      <c r="A13" s="458">
        <f t="shared" si="0"/>
        <v>5</v>
      </c>
      <c r="B13" s="86" t="str">
        <f>Δαπάνες!$B$13</f>
        <v>Γ1</v>
      </c>
      <c r="C13" s="822" t="str">
        <f>Δαπάνες!$C$13</f>
        <v>Έξοδα Κήπου</v>
      </c>
      <c r="D13" s="459" t="str">
        <f>Δαπάνες!$D$13</f>
        <v>Συντήρηση Κήπου</v>
      </c>
      <c r="E13" s="80">
        <f>IF(Δαπάνες!$F$13="","",Δαπάνες!$F$13)</f>
        <v>60</v>
      </c>
      <c r="F13" s="81">
        <f ca="1">IF(E13="","",IF($A$5="","",IF(INDIRECT(ADDRESS($B$5,13,3,,"Διαμερίσματα"))="","",VLOOKUP($A$5,Διαμερίσματα!$A$6:$N$27,Δαπάνες!E13))))</f>
        <v>0</v>
      </c>
      <c r="G13" s="82">
        <f t="shared" ca="1" si="1"/>
        <v>0</v>
      </c>
    </row>
    <row r="14" spans="1:14" s="460" customFormat="1" ht="12.75">
      <c r="A14" s="458">
        <f t="shared" si="0"/>
        <v>6</v>
      </c>
      <c r="B14" s="86" t="str">
        <f>Δαπάνες!$B$14</f>
        <v>Γ2</v>
      </c>
      <c r="C14" s="823"/>
      <c r="D14" s="459" t="str">
        <f>Δαπάνες!$D$14</f>
        <v>ΕΥΔΑΠ (Νερό) Κοινόχρηστων Χώρων</v>
      </c>
      <c r="E14" s="80">
        <f>IF(Δαπάνες!$F$14="","",Δαπάνες!$F$14)</f>
        <v>20</v>
      </c>
      <c r="F14" s="81">
        <f ca="1">IF(E14="","",IF($A$5="","",IF(INDIRECT(ADDRESS($B$5,13,3,,"Διαμερίσματα"))="","",VLOOKUP($A$5,Διαμερίσματα!$A$6:$N$27,Δαπάνες!E14))))</f>
        <v>0</v>
      </c>
      <c r="G14" s="82">
        <f t="shared" ca="1" si="1"/>
        <v>0</v>
      </c>
    </row>
    <row r="15" spans="1:14" s="460" customFormat="1" ht="12.75">
      <c r="A15" s="458">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72</v>
      </c>
      <c r="G15" s="85">
        <f ca="1">IF(A5="","",IF(INDIRECT(ADDRESS(A4,16,3,,"Θέρμανση"))="","",VLOOKUP(A5,Θέρμανση!$A$5:$R$26,18)))</f>
        <v>0</v>
      </c>
    </row>
    <row r="16" spans="1:14" s="460" customFormat="1" ht="12.75">
      <c r="A16" s="458">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0</v>
      </c>
      <c r="G16" s="85">
        <f t="shared" ca="1" si="1"/>
        <v>0</v>
      </c>
    </row>
    <row r="17" spans="1:14" s="460" customFormat="1" ht="12.75">
      <c r="A17" s="458">
        <f t="shared" si="0"/>
        <v>9</v>
      </c>
      <c r="B17" s="459" t="str">
        <f>Δαπάνες!$B$17</f>
        <v>Ε1</v>
      </c>
      <c r="C17" s="459" t="str">
        <f>Δαπάνες!$C$17</f>
        <v>Έξοδα Ιδιοκτητών</v>
      </c>
      <c r="D17" s="459" t="str">
        <f>Δαπάνες!$D$17</f>
        <v>Συντήρηση Πολυκατοικίας</v>
      </c>
      <c r="E17" s="80">
        <f>IF(Δαπάνες!$F$17="","",Δαπάνες!$F$17)</f>
        <v>100</v>
      </c>
      <c r="F17" s="81">
        <f ca="1">IF(E17="","",IF($A$5="","",IF(INDIRECT(ADDRESS($B$5,13,3,,"Διαμερίσματα"))="","",VLOOKUP($A$5,Διαμερίσματα!$A$6:$N$27,Δαπάνες!E17))))</f>
        <v>0</v>
      </c>
      <c r="G17" s="82">
        <f t="shared" ca="1" si="1"/>
        <v>0</v>
      </c>
    </row>
    <row r="18" spans="1:14" s="460" customFormat="1" ht="12.75">
      <c r="A18" s="458">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0</v>
      </c>
      <c r="G18" s="85">
        <f t="shared" ca="1" si="1"/>
        <v>0</v>
      </c>
    </row>
    <row r="19" spans="1:14" s="460" customFormat="1" ht="12.75">
      <c r="A19" s="458">
        <f t="shared" si="0"/>
        <v>11</v>
      </c>
      <c r="B19" s="79" t="str">
        <f>Δαπάνες!$B$19</f>
        <v>Η1</v>
      </c>
      <c r="C19" s="822" t="str">
        <f>Δαπάνες!$C$19</f>
        <v>Διαχείριση</v>
      </c>
      <c r="D19" s="459" t="str">
        <f>Δαπάνες!$D$19</f>
        <v>Αμοιβή Διαχειριστή</v>
      </c>
      <c r="E19" s="80">
        <f>IF(Δαπάνες!$F$19="","",Δαπάνες!$F$19)</f>
        <v>80</v>
      </c>
      <c r="F19" s="81">
        <f ca="1">IF(E19="","",IF($A$5="","",IF(INDIRECT(ADDRESS($B$5,13,3,,"Διαμερίσματα"))="","",VLOOKUP($A$5,Διαμερίσματα!$A$6:$N$27,Δαπάνες!E19))))</f>
        <v>0</v>
      </c>
      <c r="G19" s="82">
        <f t="shared" ca="1" si="1"/>
        <v>0</v>
      </c>
    </row>
    <row r="20" spans="1:14" s="460" customFormat="1" ht="12.75">
      <c r="A20" s="458">
        <f t="shared" si="0"/>
        <v>12</v>
      </c>
      <c r="B20" s="79" t="str">
        <f>Δαπάνες!$B$20</f>
        <v>Η2</v>
      </c>
      <c r="C20" s="823"/>
      <c r="D20" s="459" t="str">
        <f>Δαπάνες!$D$20</f>
        <v>Έκδοση Κοινοχρήστων</v>
      </c>
      <c r="E20" s="80">
        <f>IF(Δαπάνες!$F$20="","",Δαπάνες!$F$20)</f>
        <v>20</v>
      </c>
      <c r="F20" s="81">
        <f>IF(E20="","",IF(Διαμερίσματα!C16="",1000/Διαμερίσματα!$D$28,Διαμερίσματα!$B$30*10/Διαμερίσματα!$D$28))</f>
        <v>0</v>
      </c>
      <c r="G20" s="82">
        <f t="shared" si="1"/>
        <v>0</v>
      </c>
    </row>
    <row r="21" spans="1:14" s="29" customFormat="1" ht="15.75">
      <c r="A21" s="745" t="s">
        <v>454</v>
      </c>
      <c r="B21" s="745"/>
      <c r="C21" s="745"/>
      <c r="D21" s="745"/>
      <c r="E21" s="52">
        <f>SUM(E9:E20)</f>
        <v>1480</v>
      </c>
      <c r="F21" s="327"/>
      <c r="G21" s="234">
        <f ca="1">SUM(G9:G20)</f>
        <v>0</v>
      </c>
    </row>
    <row r="22" spans="1:14" s="39" customFormat="1" ht="18.95" customHeight="1">
      <c r="A22" s="830" t="str">
        <f>'1-2'!$A$22:$G$22</f>
        <v>Έγινε συντήρηση του καυστήρα.</v>
      </c>
      <c r="B22" s="831"/>
      <c r="C22" s="831"/>
      <c r="D22" s="831"/>
      <c r="E22" s="831"/>
      <c r="F22" s="831"/>
      <c r="G22" s="831"/>
    </row>
    <row r="23" spans="1:14" s="39" customFormat="1" ht="18.95" customHeight="1">
      <c r="A23" s="832" t="str">
        <f>'1-2'!$A$23:$G$23</f>
        <v>Η συντήρηση του Ανελκυστήρα, από 55€*12μήνες, έγινε 55€*8μήνες.</v>
      </c>
      <c r="B23" s="832"/>
      <c r="C23" s="832"/>
      <c r="D23" s="832"/>
      <c r="E23" s="832"/>
      <c r="F23" s="832"/>
      <c r="G23" s="832"/>
      <c r="I23" s="9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16</v>
      </c>
      <c r="B29" s="324"/>
      <c r="C29" s="77" t="s">
        <v>61</v>
      </c>
      <c r="D29" s="461" t="str">
        <f ca="1">IF(A30="","",IF(INDIRECT(ADDRESS(B30,6,3,,"Διαμερίσματα"))="","",VLOOKUP(A30,Διαμερίσματα!$A$6:$N$27,6)))</f>
        <v>Ιδιοκτήτης-12</v>
      </c>
      <c r="E29" s="461" t="s">
        <v>59</v>
      </c>
      <c r="F29" s="816" t="str">
        <f ca="1">IF(A30="","",IF(INDIRECT(ADDRESS(B30,7,3,,"Διαμερίσματα"))="","",VLOOKUP(A30,Διαμερίσματα!$A$6:$N$27,7)))</f>
        <v/>
      </c>
      <c r="G29" s="817"/>
    </row>
    <row r="30" spans="1:14" s="38" customFormat="1" ht="15.75">
      <c r="A30" s="75">
        <f>A5+1</f>
        <v>12</v>
      </c>
      <c r="B30" s="76">
        <f>5+A30</f>
        <v>17</v>
      </c>
      <c r="C30" s="325" t="s">
        <v>62</v>
      </c>
      <c r="D30" s="73" t="str">
        <f ca="1">IF(A30="","",IF(INDIRECT(ADDRESS(B30,9,3,,"Διαμερίσματα"))="","",VLOOKUP(A30,Διαμερίσματα!$A$6:$N$27,9)))</f>
        <v>Ιδιοκτήτης-12</v>
      </c>
      <c r="E30" s="462"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Γ1</v>
      </c>
      <c r="B31" s="827"/>
      <c r="C31" s="77" t="str">
        <f ca="1">IF(A30="","",IF(INDIRECT(ADDRESS(B30,3,3,,"Διαμερίσματα"))="","",VLOOKUP(A30,Διαμερίσματα!$A$6:$N$27,3)))</f>
        <v/>
      </c>
      <c r="D31" s="77" t="s">
        <v>86</v>
      </c>
      <c r="E31" s="461" t="str">
        <f ca="1">IF(A30="","",IF(INDIRECT(ADDRESS(B30,4,3,,"Διαμερίσματα"))="","",VLOOKUP(A30,Διαμερίσματα!$A$6:$N$27,4)))</f>
        <v>3ος</v>
      </c>
      <c r="F31" s="78">
        <f ca="1">IF(A30="","",IF(INDIRECT(ADDRESS(B30,5,3,,"Διαμερίσματα"))="","",VLOOKUP(A30,Διαμερίσματα!$A$6:$N$27,5)))</f>
        <v>60</v>
      </c>
      <c r="G31" s="326" t="s">
        <v>60</v>
      </c>
    </row>
    <row r="32" spans="1:14" s="28" customFormat="1" ht="12.75">
      <c r="A32" s="457" t="s">
        <v>24</v>
      </c>
      <c r="B32" s="457" t="s">
        <v>40</v>
      </c>
      <c r="C32" s="457" t="s">
        <v>30</v>
      </c>
      <c r="D32" s="457" t="s">
        <v>32</v>
      </c>
      <c r="E32" s="457" t="s">
        <v>58</v>
      </c>
      <c r="F32" s="457" t="s">
        <v>33</v>
      </c>
      <c r="G32" s="457" t="s">
        <v>56</v>
      </c>
    </row>
    <row r="33" spans="1:7" s="28" customFormat="1" ht="12.75">
      <c r="A33" s="457">
        <v>1</v>
      </c>
      <c r="B33" s="457">
        <v>2</v>
      </c>
      <c r="C33" s="457">
        <v>3</v>
      </c>
      <c r="D33" s="457">
        <v>4</v>
      </c>
      <c r="E33" s="457">
        <v>5</v>
      </c>
      <c r="F33" s="457">
        <v>6</v>
      </c>
      <c r="G33" s="457">
        <v>7</v>
      </c>
    </row>
    <row r="34" spans="1:7" s="460" customFormat="1" ht="12.75">
      <c r="A34" s="458">
        <f>IF(B34="","",1)</f>
        <v>1</v>
      </c>
      <c r="B34" s="79" t="str">
        <f>Δαπάνες!$B$9</f>
        <v>Α1</v>
      </c>
      <c r="C34" s="813" t="str">
        <f>Δαπάνες!$C$9</f>
        <v>Γενικά Κοινόχρηστα</v>
      </c>
      <c r="D34" s="459" t="str">
        <f>Δαπάνες!$D$9</f>
        <v>ΔΕΗ Κοινόχρηστων Χώρων</v>
      </c>
      <c r="E34" s="80">
        <f>IF(Δαπάνες!$F$9="","",Δαπάνες!$F$9)</f>
        <v>100</v>
      </c>
      <c r="F34" s="81">
        <f ca="1">IF(E34="","",IF($A$30="","",IF(INDIRECT(ADDRESS($B$30,14,3,,"Διαμερίσματα"))="","",VLOOKUP($A$30,Διαμερίσματα!$A$6:$N$27,Δαπάνες!E9))))</f>
        <v>33.401608739251955</v>
      </c>
      <c r="G34" s="82">
        <f ca="1">IF(E34="","",E34*F34/1000)</f>
        <v>3.3401608739251958</v>
      </c>
    </row>
    <row r="35" spans="1:7" s="460" customFormat="1" ht="12.75">
      <c r="A35" s="458">
        <f>IF(B35="","",A34+1)</f>
        <v>2</v>
      </c>
      <c r="B35" s="79" t="str">
        <f>Δαπάνες!$B$10</f>
        <v>Α2</v>
      </c>
      <c r="C35" s="814"/>
      <c r="D35" s="459" t="str">
        <f>Δαπάνες!$D$10</f>
        <v>Καθαρισμός Κοινόχρηστων Χώρων</v>
      </c>
      <c r="E35" s="80">
        <f>IF(Δαπάνες!$F$10="","",Δαπάνες!$F$10)</f>
        <v>70</v>
      </c>
      <c r="F35" s="81">
        <f ca="1">IF(E35="","",IF($A$30="","",IF(INDIRECT(ADDRESS($B$30,14,3,,"Διαμερίσματα"))="","",VLOOKUP($A$30,Διαμερίσματα!$A$6:$N$27,Δαπάνες!E10))))</f>
        <v>33.401608739251955</v>
      </c>
      <c r="G35" s="82">
        <f ca="1">IF(E35="","",E35*F35/1000)</f>
        <v>2.3381126117476367</v>
      </c>
    </row>
    <row r="36" spans="1:7" s="460" customFormat="1" ht="12.75">
      <c r="A36" s="458">
        <f t="shared" ref="A36:A45" si="2">IF(B36="","",A35+1)</f>
        <v>3</v>
      </c>
      <c r="B36" s="79" t="str">
        <f>Δαπάνες!$B$11</f>
        <v>Α3</v>
      </c>
      <c r="C36" s="815"/>
      <c r="D36" s="459" t="str">
        <f>Δαπάνες!$D$11</f>
        <v>Υλικά Αναλώσιμα (Λάμπες κλπ)</v>
      </c>
      <c r="E36" s="80">
        <f>IF(Δαπάνες!$F$11="","",Δαπάνες!$F$11)</f>
        <v>10</v>
      </c>
      <c r="F36" s="81">
        <f ca="1">IF(E36="","",IF($A$30="","",IF(INDIRECT(ADDRESS($B$30,14,3,,"Διαμερίσματα"))="","",VLOOKUP($A$30,Διαμερίσματα!$A$6:$N$27,Δαπάνες!E11))))</f>
        <v>33.401608739251955</v>
      </c>
      <c r="G36" s="82">
        <f t="shared" ref="G36:G39" ca="1" si="3">IF(E36="","",E36*F36/1000)</f>
        <v>0.33401608739251959</v>
      </c>
    </row>
    <row r="37" spans="1:7" s="460" customFormat="1" ht="12.75">
      <c r="A37" s="458">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33.401608739251955</v>
      </c>
      <c r="G37" s="85">
        <f t="shared" ca="1" si="3"/>
        <v>1.6700804369625979</v>
      </c>
    </row>
    <row r="38" spans="1:7" s="460" customFormat="1" ht="12.75">
      <c r="A38" s="458">
        <f t="shared" si="2"/>
        <v>5</v>
      </c>
      <c r="B38" s="86" t="str">
        <f>Δαπάνες!$B$13</f>
        <v>Γ1</v>
      </c>
      <c r="C38" s="822" t="str">
        <f>Δαπάνες!$C$13</f>
        <v>Έξοδα Κήπου</v>
      </c>
      <c r="D38" s="459" t="str">
        <f>Δαπάνες!$D$13</f>
        <v>Συντήρηση Κήπου</v>
      </c>
      <c r="E38" s="80">
        <f>IF(Δαπάνες!$F$13="","",Δαπάνες!$F$13)</f>
        <v>60</v>
      </c>
      <c r="F38" s="81">
        <f ca="1">IF(E38="","",IF($A$30="","",IF(INDIRECT(ADDRESS($B$30,13,3,,"Διαμερίσματα"))="","",VLOOKUP($A$30,Διαμερίσματα!$A$6:$N$27,Δαπάνες!E13))))</f>
        <v>33.401608739251955</v>
      </c>
      <c r="G38" s="82">
        <f t="shared" ca="1" si="3"/>
        <v>2.0040965243551172</v>
      </c>
    </row>
    <row r="39" spans="1:7" s="460" customFormat="1" ht="12.75">
      <c r="A39" s="458">
        <f t="shared" si="2"/>
        <v>6</v>
      </c>
      <c r="B39" s="86" t="str">
        <f>Δαπάνες!$B$14</f>
        <v>Γ2</v>
      </c>
      <c r="C39" s="823"/>
      <c r="D39" s="459" t="str">
        <f>Δαπάνες!$D$14</f>
        <v>ΕΥΔΑΠ (Νερό) Κοινόχρηστων Χώρων</v>
      </c>
      <c r="E39" s="80">
        <f>IF(Δαπάνες!$F$14="","",Δαπάνες!$F$14)</f>
        <v>20</v>
      </c>
      <c r="F39" s="81">
        <f ca="1">IF(E39="","",IF($A$30="","",IF(INDIRECT(ADDRESS($B$30,13,3,,"Διαμερίσματα"))="","",VLOOKUP($A$30,Διαμερίσματα!$A$6:$N$27,Δαπάνες!E14))))</f>
        <v>33.401608739251955</v>
      </c>
      <c r="G39" s="82">
        <f t="shared" ca="1" si="3"/>
        <v>0.66803217478503918</v>
      </c>
    </row>
    <row r="40" spans="1:7" s="460" customFormat="1" ht="12.75">
      <c r="A40" s="458">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0</v>
      </c>
      <c r="G40" s="85">
        <f ca="1">IF(A30="","",IF(INDIRECT(ADDRESS(A29,16,3,,"Θέρμανση"))="","",VLOOKUP(A30,Θέρμανση!$A$5:$R$26,18)))</f>
        <v>0</v>
      </c>
    </row>
    <row r="41" spans="1:7" s="460" customFormat="1" ht="12.75">
      <c r="A41" s="458">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32.774634354649294</v>
      </c>
      <c r="G41" s="85">
        <f t="shared" ref="G41:G45" ca="1" si="4">IF(E41="","",E41*F41/1000)</f>
        <v>2.2942244048254508</v>
      </c>
    </row>
    <row r="42" spans="1:7" s="460" customFormat="1" ht="12.75">
      <c r="A42" s="458">
        <f t="shared" si="2"/>
        <v>9</v>
      </c>
      <c r="B42" s="459" t="str">
        <f>Δαπάνες!$B$17</f>
        <v>Ε1</v>
      </c>
      <c r="C42" s="459" t="str">
        <f>Δαπάνες!$C$17</f>
        <v>Έξοδα Ιδιοκτητών</v>
      </c>
      <c r="D42" s="459" t="str">
        <f>Δαπάνες!$D$17</f>
        <v>Συντήρηση Πολυκατοικίας</v>
      </c>
      <c r="E42" s="80">
        <f>IF(Δαπάνες!$F$17="","",Δαπάνες!$F$17)</f>
        <v>100</v>
      </c>
      <c r="F42" s="81">
        <f ca="1">IF(E42="","",IF($A$30="","",IF(INDIRECT(ADDRESS($B$30,13,3,,"Διαμερίσματα"))="","",VLOOKUP($A$30,Διαμερίσματα!$A$6:$N$27,Δαπάνες!E17))))</f>
        <v>33.401608739251955</v>
      </c>
      <c r="G42" s="82">
        <f t="shared" ca="1" si="4"/>
        <v>3.3401608739251958</v>
      </c>
    </row>
    <row r="43" spans="1:7" s="460" customFormat="1" ht="12.75">
      <c r="A43" s="458">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33.401608739251955</v>
      </c>
      <c r="G43" s="85">
        <f t="shared" ca="1" si="4"/>
        <v>6.6803217478503916</v>
      </c>
    </row>
    <row r="44" spans="1:7" s="460" customFormat="1" ht="12.75">
      <c r="A44" s="458">
        <f t="shared" si="2"/>
        <v>11</v>
      </c>
      <c r="B44" s="79" t="str">
        <f>Δαπάνες!$B$19</f>
        <v>Η1</v>
      </c>
      <c r="C44" s="822" t="str">
        <f>Δαπάνες!$C$19</f>
        <v>Διαχείριση</v>
      </c>
      <c r="D44" s="459" t="str">
        <f>Δαπάνες!$D$19</f>
        <v>Αμοιβή Διαχειριστή</v>
      </c>
      <c r="E44" s="80">
        <f>IF(Δαπάνες!$F$19="","",Δαπάνες!$F$19)</f>
        <v>80</v>
      </c>
      <c r="F44" s="81">
        <f ca="1">IF(E44="","",IF($A$30="","",IF(INDIRECT(ADDRESS($B$30,13,3,,"Διαμερίσματα"))="","",VLOOKUP($A$30,Διαμερίσματα!$A$6:$N$27,Δαπάνες!E19))))</f>
        <v>33.401608739251955</v>
      </c>
      <c r="G44" s="82">
        <f t="shared" ca="1" si="4"/>
        <v>2.6721286991401567</v>
      </c>
    </row>
    <row r="45" spans="1:7" s="460" customFormat="1" ht="12.75">
      <c r="A45" s="458">
        <f t="shared" si="2"/>
        <v>12</v>
      </c>
      <c r="B45" s="79" t="str">
        <f>Δαπάνες!$B$20</f>
        <v>Η2</v>
      </c>
      <c r="C45" s="823"/>
      <c r="D45" s="459" t="str">
        <f>Δαπάνες!$D$20</f>
        <v>Έκδοση Κοινοχρήστων</v>
      </c>
      <c r="E45" s="80">
        <f>IF(Δαπάνες!$F$20="","",Δαπάνες!$F$20)</f>
        <v>20</v>
      </c>
      <c r="F45" s="81">
        <f>IF(E45="","",IF(Διαμερίσματα!C17="",1000/Διαμερίσματα!$D$28,Διαμερίσματα!$B$30*10/Διαμερίσματα!$D$28))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26.341334434909303</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1" spans="4:4">
      <c r="D51" s="91"/>
    </row>
  </sheetData>
  <sheetProtection password="E4A3" sheet="1" objects="1" scenarios="1" selectLockedCells="1"/>
  <mergeCells count="34">
    <mergeCell ref="C44:C45"/>
    <mergeCell ref="A46:D46"/>
    <mergeCell ref="A47:G47"/>
    <mergeCell ref="A48:G48"/>
    <mergeCell ref="F29:G29"/>
    <mergeCell ref="F30:G30"/>
    <mergeCell ref="A31:B31"/>
    <mergeCell ref="C34:C36"/>
    <mergeCell ref="C38:C39"/>
    <mergeCell ref="C40:C41"/>
    <mergeCell ref="D26:E26"/>
    <mergeCell ref="F26:G26"/>
    <mergeCell ref="A27:B27"/>
    <mergeCell ref="E27:G27"/>
    <mergeCell ref="A28:C28"/>
    <mergeCell ref="E28:G28"/>
    <mergeCell ref="E25:G25"/>
    <mergeCell ref="F4:G4"/>
    <mergeCell ref="F5:G5"/>
    <mergeCell ref="A6:B6"/>
    <mergeCell ref="C9:C11"/>
    <mergeCell ref="C13:C14"/>
    <mergeCell ref="C15:C16"/>
    <mergeCell ref="C19:C20"/>
    <mergeCell ref="A21:D21"/>
    <mergeCell ref="A22:G22"/>
    <mergeCell ref="A23:G23"/>
    <mergeCell ref="A24:G24"/>
    <mergeCell ref="D1:E1"/>
    <mergeCell ref="F1:G1"/>
    <mergeCell ref="A2:B2"/>
    <mergeCell ref="E2:G2"/>
    <mergeCell ref="A3:C3"/>
    <mergeCell ref="E3:G3"/>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customProperties>
    <customPr name="DVSECTIONID" r:id="rId4"/>
  </customProperties>
  <drawing r:id="rId5"/>
</worksheet>
</file>

<file path=xl/worksheets/sheet16.xml><?xml version="1.0" encoding="utf-8"?>
<worksheet xmlns="http://schemas.openxmlformats.org/spreadsheetml/2006/main" xmlns:r="http://schemas.openxmlformats.org/officeDocument/2006/relationships">
  <sheetPr>
    <tabColor rgb="FF0070C0"/>
  </sheetPr>
  <dimension ref="A1:N51"/>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9" width="9.140625" style="9"/>
    <col min="10" max="10" width="9.140625" style="9" customWidth="1"/>
    <col min="11"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17</v>
      </c>
      <c r="B4" s="324"/>
      <c r="C4" s="77" t="s">
        <v>61</v>
      </c>
      <c r="D4" s="538" t="str">
        <f ca="1">IF(A5="","",IF(INDIRECT(ADDRESS(B5,6,3,,"Διαμερίσματα"))="","",VLOOKUP(A5,Διαμερίσματα!$A$6:$N$27,6)))</f>
        <v>Ιδιοκτήτης-13</v>
      </c>
      <c r="E4" s="538" t="s">
        <v>59</v>
      </c>
      <c r="F4" s="816" t="str">
        <f ca="1">IF(A5="","",IF(INDIRECT(ADDRESS(B5,7,3,,"Διαμερίσματα"))="","",VLOOKUP(A5,Διαμερίσματα!$A$6:$N$27,7)))</f>
        <v/>
      </c>
      <c r="G4" s="817"/>
    </row>
    <row r="5" spans="1:14" s="38" customFormat="1" ht="15.75">
      <c r="A5" s="75">
        <f>Διαμερίσματα!$A$18</f>
        <v>13</v>
      </c>
      <c r="B5" s="76">
        <f>5+A5</f>
        <v>18</v>
      </c>
      <c r="C5" s="325" t="s">
        <v>62</v>
      </c>
      <c r="D5" s="73" t="str">
        <f ca="1">IF(A5="","",IF(INDIRECT(ADDRESS(B5,9,3,,"Διαμερίσματα"))="","",VLOOKUP(A5,Διαμερίσματα!$A$6:$N$27,9)))</f>
        <v>Ιδιοκτήτης-13</v>
      </c>
      <c r="E5" s="537"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Γ2</v>
      </c>
      <c r="B6" s="827"/>
      <c r="C6" s="77" t="str">
        <f ca="1">IF(A5="","",IF(INDIRECT(ADDRESS(B5,3,3,,"Διαμερίσματα"))="","",VLOOKUP(A5,Διαμερίσματα!$A$6:$N$27,3)))</f>
        <v/>
      </c>
      <c r="D6" s="77" t="s">
        <v>86</v>
      </c>
      <c r="E6" s="538" t="str">
        <f ca="1">IF(A5="","",IF(INDIRECT(ADDRESS(B5,4,3,,"Διαμερίσματα"))="","",VLOOKUP(A5,Διαμερίσματα!$A$6:$N$27,4)))</f>
        <v>3ος</v>
      </c>
      <c r="F6" s="78">
        <f ca="1">IF(A5="","",IF(INDIRECT(ADDRESS(B5,5,3,,"Διαμερίσματα"))="","",VLOOKUP(A5,Διαμερίσματα!$A$6:$N$27,5)))</f>
        <v>50</v>
      </c>
      <c r="G6" s="326" t="s">
        <v>60</v>
      </c>
    </row>
    <row r="7" spans="1:14" s="28" customFormat="1" ht="12.75">
      <c r="A7" s="534" t="s">
        <v>24</v>
      </c>
      <c r="B7" s="534" t="s">
        <v>40</v>
      </c>
      <c r="C7" s="534" t="s">
        <v>30</v>
      </c>
      <c r="D7" s="534" t="s">
        <v>32</v>
      </c>
      <c r="E7" s="534" t="s">
        <v>58</v>
      </c>
      <c r="F7" s="534" t="s">
        <v>33</v>
      </c>
      <c r="G7" s="534" t="s">
        <v>56</v>
      </c>
    </row>
    <row r="8" spans="1:14" s="28" customFormat="1" ht="12.75">
      <c r="A8" s="534">
        <v>1</v>
      </c>
      <c r="B8" s="534">
        <v>2</v>
      </c>
      <c r="C8" s="534">
        <v>3</v>
      </c>
      <c r="D8" s="534">
        <v>4</v>
      </c>
      <c r="E8" s="534">
        <v>5</v>
      </c>
      <c r="F8" s="534">
        <v>6</v>
      </c>
      <c r="G8" s="534">
        <v>7</v>
      </c>
    </row>
    <row r="9" spans="1:14" s="539" customFormat="1" ht="12.75">
      <c r="A9" s="536">
        <f>IF(B9="","",1)</f>
        <v>1</v>
      </c>
      <c r="B9" s="79" t="str">
        <f>Δαπάνες!$B$9</f>
        <v>Α1</v>
      </c>
      <c r="C9" s="813" t="str">
        <f>Δαπάνες!$C$9</f>
        <v>Γενικά Κοινόχρηστα</v>
      </c>
      <c r="D9" s="535" t="str">
        <f>Δαπάνες!$D$9</f>
        <v>ΔΕΗ Κοινόχρηστων Χώρων</v>
      </c>
      <c r="E9" s="80">
        <f>IF(Δαπάνες!$F$9="","",Δαπάνες!$F$9)</f>
        <v>100</v>
      </c>
      <c r="F9" s="81">
        <f ca="1">IF(E9="","",IF($A$5="","",IF(INDIRECT(ADDRESS($B$5,14,3,,"Διαμερίσματα"))="","",VLOOKUP($A$5,Διαμερίσματα!$A$6:$N$27,Δαπάνες!E9))))</f>
        <v>33.401608739251955</v>
      </c>
      <c r="G9" s="82">
        <f ca="1">IF(E9="","",E9*F9/1000)</f>
        <v>3.3401608739251958</v>
      </c>
    </row>
    <row r="10" spans="1:14" s="539" customFormat="1" ht="12.75">
      <c r="A10" s="536">
        <f>IF(B10="","",A9+1)</f>
        <v>2</v>
      </c>
      <c r="B10" s="79" t="str">
        <f>Δαπάνες!$B$10</f>
        <v>Α2</v>
      </c>
      <c r="C10" s="814"/>
      <c r="D10" s="535" t="str">
        <f>Δαπάνες!$D$10</f>
        <v>Καθαρισμός Κοινόχρηστων Χώρων</v>
      </c>
      <c r="E10" s="80">
        <f>IF(Δαπάνες!$F$10="","",Δαπάνες!$F$10)</f>
        <v>70</v>
      </c>
      <c r="F10" s="81">
        <f ca="1">IF(E10="","",IF($A$5="","",IF(INDIRECT(ADDRESS($B$5,14,3,,"Διαμερίσματα"))="","",VLOOKUP($A$5,Διαμερίσματα!$A$6:$N$27,Δαπάνες!E10))))</f>
        <v>33.401608739251955</v>
      </c>
      <c r="G10" s="82">
        <f ca="1">IF(E10="","",E10*F10/1000)</f>
        <v>2.3381126117476367</v>
      </c>
    </row>
    <row r="11" spans="1:14" s="539" customFormat="1" ht="12.75">
      <c r="A11" s="536">
        <f t="shared" ref="A11:A20" si="0">IF(B11="","",A10+1)</f>
        <v>3</v>
      </c>
      <c r="B11" s="79" t="str">
        <f>Δαπάνες!$B$11</f>
        <v>Α3</v>
      </c>
      <c r="C11" s="815"/>
      <c r="D11" s="535" t="str">
        <f>Δαπάνες!$D$11</f>
        <v>Υλικά Αναλώσιμα (Λάμπες κλπ)</v>
      </c>
      <c r="E11" s="80">
        <f>IF(Δαπάνες!$F$11="","",Δαπάνες!$F$11)</f>
        <v>10</v>
      </c>
      <c r="F11" s="81">
        <f ca="1">IF(E11="","",IF($A$5="","",IF(INDIRECT(ADDRESS($B$5,14,3,,"Διαμερίσματα"))="","",VLOOKUP($A$5,Διαμερίσματα!$A$6:$N$27,Δαπάνες!E11))))</f>
        <v>33.401608739251955</v>
      </c>
      <c r="G11" s="82">
        <f t="shared" ref="G11:G20" ca="1" si="1">IF(E11="","",E11*F11/1000)</f>
        <v>0.33401608739251959</v>
      </c>
    </row>
    <row r="12" spans="1:14" s="539" customFormat="1" ht="12.75">
      <c r="A12" s="536">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33.401608739251955</v>
      </c>
      <c r="G12" s="85">
        <f t="shared" ca="1" si="1"/>
        <v>1.6700804369625979</v>
      </c>
    </row>
    <row r="13" spans="1:14" s="539" customFormat="1" ht="12.75">
      <c r="A13" s="536">
        <f t="shared" si="0"/>
        <v>5</v>
      </c>
      <c r="B13" s="86" t="str">
        <f>Δαπάνες!$B$13</f>
        <v>Γ1</v>
      </c>
      <c r="C13" s="822" t="str">
        <f>Δαπάνες!$C$13</f>
        <v>Έξοδα Κήπου</v>
      </c>
      <c r="D13" s="535" t="str">
        <f>Δαπάνες!$D$13</f>
        <v>Συντήρηση Κήπου</v>
      </c>
      <c r="E13" s="80">
        <f>IF(Δαπάνες!$F$13="","",Δαπάνες!$F$13)</f>
        <v>60</v>
      </c>
      <c r="F13" s="81">
        <f ca="1">IF(E13="","",IF($A$5="","",IF(INDIRECT(ADDRESS($B$5,13,3,,"Διαμερίσματα"))="","",VLOOKUP($A$5,Διαμερίσματα!$A$6:$N$27,Δαπάνες!E13))))</f>
        <v>33.401608739251955</v>
      </c>
      <c r="G13" s="82">
        <f t="shared" ca="1" si="1"/>
        <v>2.0040965243551172</v>
      </c>
    </row>
    <row r="14" spans="1:14" s="539" customFormat="1" ht="12.75">
      <c r="A14" s="536">
        <f t="shared" si="0"/>
        <v>6</v>
      </c>
      <c r="B14" s="86" t="str">
        <f>Δαπάνες!$B$14</f>
        <v>Γ2</v>
      </c>
      <c r="C14" s="823"/>
      <c r="D14" s="535" t="str">
        <f>Δαπάνες!$D$14</f>
        <v>ΕΥΔΑΠ (Νερό) Κοινόχρηστων Χώρων</v>
      </c>
      <c r="E14" s="80">
        <f>IF(Δαπάνες!$F$14="","",Δαπάνες!$F$14)</f>
        <v>20</v>
      </c>
      <c r="F14" s="81">
        <f ca="1">IF(E14="","",IF($A$5="","",IF(INDIRECT(ADDRESS($B$5,13,3,,"Διαμερίσματα"))="","",VLOOKUP($A$5,Διαμερίσματα!$A$6:$N$27,Δαπάνες!E14))))</f>
        <v>33.401608739251955</v>
      </c>
      <c r="G14" s="82">
        <f t="shared" ca="1" si="1"/>
        <v>0.66803217478503918</v>
      </c>
    </row>
    <row r="15" spans="1:14" s="539" customFormat="1" ht="12.75">
      <c r="A15" s="536">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0</v>
      </c>
      <c r="G15" s="85">
        <f ca="1">IF(A5="","",IF(INDIRECT(ADDRESS(A4,16,3,,"Θέρμανση"))="","",VLOOKUP(A5,Θέρμανση!$A$5:$R$26,18)))</f>
        <v>0</v>
      </c>
    </row>
    <row r="16" spans="1:14" s="539" customFormat="1" ht="12.75">
      <c r="A16" s="536">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33.201665421159376</v>
      </c>
      <c r="G16" s="85">
        <f t="shared" ca="1" si="1"/>
        <v>2.3241165794811565</v>
      </c>
    </row>
    <row r="17" spans="1:14" s="539" customFormat="1" ht="12.75">
      <c r="A17" s="536">
        <f t="shared" si="0"/>
        <v>9</v>
      </c>
      <c r="B17" s="535" t="str">
        <f>Δαπάνες!$B$17</f>
        <v>Ε1</v>
      </c>
      <c r="C17" s="535" t="str">
        <f>Δαπάνες!$C$17</f>
        <v>Έξοδα Ιδιοκτητών</v>
      </c>
      <c r="D17" s="535" t="str">
        <f>Δαπάνες!$D$17</f>
        <v>Συντήρηση Πολυκατοικίας</v>
      </c>
      <c r="E17" s="80">
        <f>IF(Δαπάνες!$F$17="","",Δαπάνες!$F$17)</f>
        <v>100</v>
      </c>
      <c r="F17" s="81">
        <f ca="1">IF(E17="","",IF($A$5="","",IF(INDIRECT(ADDRESS($B$5,13,3,,"Διαμερίσματα"))="","",VLOOKUP($A$5,Διαμερίσματα!$A$6:$N$27,Δαπάνες!E17))))</f>
        <v>33.401608739251955</v>
      </c>
      <c r="G17" s="82">
        <f t="shared" ca="1" si="1"/>
        <v>3.3401608739251958</v>
      </c>
    </row>
    <row r="18" spans="1:14" s="539" customFormat="1" ht="12.75">
      <c r="A18" s="536">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33.401608739251955</v>
      </c>
      <c r="G18" s="85">
        <f t="shared" ca="1" si="1"/>
        <v>6.6803217478503916</v>
      </c>
    </row>
    <row r="19" spans="1:14" s="539" customFormat="1" ht="12.75">
      <c r="A19" s="536">
        <f t="shared" si="0"/>
        <v>11</v>
      </c>
      <c r="B19" s="79" t="str">
        <f>Δαπάνες!$B$19</f>
        <v>Η1</v>
      </c>
      <c r="C19" s="822" t="str">
        <f>Δαπάνες!$C$19</f>
        <v>Διαχείριση</v>
      </c>
      <c r="D19" s="535" t="str">
        <f>Δαπάνες!$D$19</f>
        <v>Αμοιβή Διαχειριστή</v>
      </c>
      <c r="E19" s="80">
        <f>IF(Δαπάνες!$F$19="","",Δαπάνες!$F$19)</f>
        <v>80</v>
      </c>
      <c r="F19" s="81">
        <f ca="1">IF(E19="","",IF($A$5="","",IF(INDIRECT(ADDRESS($B$5,13,3,,"Διαμερίσματα"))="","",VLOOKUP($A$5,Διαμερίσματα!$A$6:$N$27,Δαπάνες!E19))))</f>
        <v>33.401608739251955</v>
      </c>
      <c r="G19" s="82">
        <f t="shared" ca="1" si="1"/>
        <v>2.6721286991401567</v>
      </c>
    </row>
    <row r="20" spans="1:14" s="539" customFormat="1" ht="12.75">
      <c r="A20" s="536">
        <f t="shared" si="0"/>
        <v>12</v>
      </c>
      <c r="B20" s="79" t="str">
        <f>Δαπάνες!$B$20</f>
        <v>Η2</v>
      </c>
      <c r="C20" s="823"/>
      <c r="D20" s="535" t="str">
        <f>Δαπάνες!$D$20</f>
        <v>Έκδοση Κοινοχρήστων</v>
      </c>
      <c r="E20" s="80">
        <f>IF(Δαπάνες!$F$20="","",Δαπάνες!$F$20)</f>
        <v>20</v>
      </c>
      <c r="F20" s="81">
        <f>IF(E20="","",IF(Διαμερίσματα!C18="",1000/Διαμερίσματα!$D$28,Διαμερίσματα!$B$30*10/Διαμερίσματα!$D$28))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26.37122660956501</v>
      </c>
    </row>
    <row r="22" spans="1:14" s="39" customFormat="1" ht="18.95" customHeight="1">
      <c r="A22" s="830" t="str">
        <f>'1-2'!$A$22:$G$22</f>
        <v>Έγινε συντήρηση του καυστήρα.</v>
      </c>
      <c r="B22" s="831"/>
      <c r="C22" s="831"/>
      <c r="D22" s="831"/>
      <c r="E22" s="831"/>
      <c r="F22" s="831"/>
      <c r="G22" s="831"/>
    </row>
    <row r="23" spans="1:14" s="39" customFormat="1" ht="18.95" customHeight="1">
      <c r="A23" s="832" t="str">
        <f>'1-2'!$A$23:$G$23</f>
        <v>Η συντήρηση του Ανελκυστήρα, από 55€*12μήνες, έγινε 55€*8μήνες.</v>
      </c>
      <c r="B23" s="832"/>
      <c r="C23" s="832"/>
      <c r="D23" s="832"/>
      <c r="E23" s="832"/>
      <c r="F23" s="832"/>
      <c r="G23" s="832"/>
      <c r="I23" s="9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18</v>
      </c>
      <c r="B29" s="324"/>
      <c r="C29" s="77" t="s">
        <v>61</v>
      </c>
      <c r="D29" s="538" t="str">
        <f ca="1">IF(A30="","",IF(INDIRECT(ADDRESS(B30,6,3,,"Διαμερίσματα"))="","",VLOOKUP(A30,Διαμερίσματα!$A$6:$N$27,6)))</f>
        <v>Ιδιοκτήτης-14</v>
      </c>
      <c r="E29" s="538" t="s">
        <v>59</v>
      </c>
      <c r="F29" s="816" t="str">
        <f ca="1">IF(A30="","",IF(INDIRECT(ADDRESS(B30,7,3,,"Διαμερίσματα"))="","",VLOOKUP(A30,Διαμερίσματα!$A$6:$N$27,7)))</f>
        <v/>
      </c>
      <c r="G29" s="817"/>
    </row>
    <row r="30" spans="1:14" s="38" customFormat="1" ht="15.75">
      <c r="A30" s="75">
        <f>A5+1</f>
        <v>14</v>
      </c>
      <c r="B30" s="76">
        <f>5+A30</f>
        <v>19</v>
      </c>
      <c r="C30" s="325" t="s">
        <v>62</v>
      </c>
      <c r="D30" s="73" t="str">
        <f ca="1">IF(A30="","",IF(INDIRECT(ADDRESS(B30,9,3,,"Διαμερίσματα"))="","",VLOOKUP(A30,Διαμερίσματα!$A$6:$N$27,9)))</f>
        <v>Ιδιοκτήτης-14</v>
      </c>
      <c r="E30" s="537"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Γ3</v>
      </c>
      <c r="B31" s="827"/>
      <c r="C31" s="77" t="str">
        <f ca="1">IF(A30="","",IF(INDIRECT(ADDRESS(B30,3,3,,"Διαμερίσματα"))="","",VLOOKUP(A30,Διαμερίσματα!$A$6:$N$27,3)))</f>
        <v/>
      </c>
      <c r="D31" s="77" t="s">
        <v>86</v>
      </c>
      <c r="E31" s="538" t="str">
        <f ca="1">IF(A30="","",IF(INDIRECT(ADDRESS(B30,4,3,,"Διαμερίσματα"))="","",VLOOKUP(A30,Διαμερίσματα!$A$6:$N$27,4)))</f>
        <v>3ος</v>
      </c>
      <c r="F31" s="78">
        <f ca="1">IF(A30="","",IF(INDIRECT(ADDRESS(B30,5,3,,"Διαμερίσματα"))="","",VLOOKUP(A30,Διαμερίσματα!$A$6:$N$27,5)))</f>
        <v>60</v>
      </c>
      <c r="G31" s="326" t="s">
        <v>60</v>
      </c>
    </row>
    <row r="32" spans="1:14" s="28" customFormat="1" ht="12.75">
      <c r="A32" s="534" t="s">
        <v>24</v>
      </c>
      <c r="B32" s="534" t="s">
        <v>40</v>
      </c>
      <c r="C32" s="534" t="s">
        <v>30</v>
      </c>
      <c r="D32" s="534" t="s">
        <v>32</v>
      </c>
      <c r="E32" s="534" t="s">
        <v>58</v>
      </c>
      <c r="F32" s="534" t="s">
        <v>33</v>
      </c>
      <c r="G32" s="534" t="s">
        <v>56</v>
      </c>
    </row>
    <row r="33" spans="1:7" s="28" customFormat="1" ht="12.75">
      <c r="A33" s="534">
        <v>1</v>
      </c>
      <c r="B33" s="534">
        <v>2</v>
      </c>
      <c r="C33" s="534">
        <v>3</v>
      </c>
      <c r="D33" s="534">
        <v>4</v>
      </c>
      <c r="E33" s="534">
        <v>5</v>
      </c>
      <c r="F33" s="534">
        <v>6</v>
      </c>
      <c r="G33" s="534">
        <v>7</v>
      </c>
    </row>
    <row r="34" spans="1:7" s="539" customFormat="1" ht="12.75">
      <c r="A34" s="536">
        <f>IF(B34="","",1)</f>
        <v>1</v>
      </c>
      <c r="B34" s="79" t="str">
        <f>Δαπάνες!$B$9</f>
        <v>Α1</v>
      </c>
      <c r="C34" s="813" t="str">
        <f>Δαπάνες!$C$9</f>
        <v>Γενικά Κοινόχρηστα</v>
      </c>
      <c r="D34" s="535" t="str">
        <f>Δαπάνες!$D$9</f>
        <v>ΔΕΗ Κοινόχρηστων Χώρων</v>
      </c>
      <c r="E34" s="80">
        <f>IF(Δαπάνες!$F$9="","",Δαπάνες!$F$9)</f>
        <v>100</v>
      </c>
      <c r="F34" s="81">
        <f ca="1">IF(E34="","",IF($A$30="","",IF(INDIRECT(ADDRESS($B$30,14,3,,"Διαμερίσματα"))="","",VLOOKUP($A$30,Διαμερίσματα!$A$6:$N$27,Δαπάνες!E9))))</f>
        <v>33.401608739251955</v>
      </c>
      <c r="G34" s="82">
        <f ca="1">IF(E34="","",E34*F34/1000)</f>
        <v>3.3401608739251958</v>
      </c>
    </row>
    <row r="35" spans="1:7" s="539" customFormat="1" ht="12.75">
      <c r="A35" s="536">
        <f>IF(B35="","",A34+1)</f>
        <v>2</v>
      </c>
      <c r="B35" s="79" t="str">
        <f>Δαπάνες!$B$10</f>
        <v>Α2</v>
      </c>
      <c r="C35" s="814"/>
      <c r="D35" s="535" t="str">
        <f>Δαπάνες!$D$10</f>
        <v>Καθαρισμός Κοινόχρηστων Χώρων</v>
      </c>
      <c r="E35" s="80">
        <f>IF(Δαπάνες!$F$10="","",Δαπάνες!$F$10)</f>
        <v>70</v>
      </c>
      <c r="F35" s="81">
        <f ca="1">IF(E35="","",IF($A$30="","",IF(INDIRECT(ADDRESS($B$30,14,3,,"Διαμερίσματα"))="","",VLOOKUP($A$30,Διαμερίσματα!$A$6:$N$27,Δαπάνες!E10))))</f>
        <v>33.401608739251955</v>
      </c>
      <c r="G35" s="82">
        <f ca="1">IF(E35="","",E35*F35/1000)</f>
        <v>2.3381126117476367</v>
      </c>
    </row>
    <row r="36" spans="1:7" s="539" customFormat="1" ht="12.75">
      <c r="A36" s="536">
        <f t="shared" ref="A36:A45" si="2">IF(B36="","",A35+1)</f>
        <v>3</v>
      </c>
      <c r="B36" s="79" t="str">
        <f>Δαπάνες!$B$11</f>
        <v>Α3</v>
      </c>
      <c r="C36" s="815"/>
      <c r="D36" s="535" t="str">
        <f>Δαπάνες!$D$11</f>
        <v>Υλικά Αναλώσιμα (Λάμπες κλπ)</v>
      </c>
      <c r="E36" s="80">
        <f>IF(Δαπάνες!$F$11="","",Δαπάνες!$F$11)</f>
        <v>10</v>
      </c>
      <c r="F36" s="81">
        <f ca="1">IF(E36="","",IF($A$30="","",IF(INDIRECT(ADDRESS($B$30,14,3,,"Διαμερίσματα"))="","",VLOOKUP($A$30,Διαμερίσματα!$A$6:$N$27,Δαπάνες!E11))))</f>
        <v>33.401608739251955</v>
      </c>
      <c r="G36" s="82">
        <f t="shared" ref="G36:G39" ca="1" si="3">IF(E36="","",E36*F36/1000)</f>
        <v>0.33401608739251959</v>
      </c>
    </row>
    <row r="37" spans="1:7" s="539" customFormat="1" ht="12.75">
      <c r="A37" s="536">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33.401608739251955</v>
      </c>
      <c r="G37" s="85">
        <f t="shared" ca="1" si="3"/>
        <v>1.6700804369625979</v>
      </c>
    </row>
    <row r="38" spans="1:7" s="539" customFormat="1" ht="12.75">
      <c r="A38" s="536">
        <f t="shared" si="2"/>
        <v>5</v>
      </c>
      <c r="B38" s="86" t="str">
        <f>Δαπάνες!$B$13</f>
        <v>Γ1</v>
      </c>
      <c r="C38" s="822" t="str">
        <f>Δαπάνες!$C$13</f>
        <v>Έξοδα Κήπου</v>
      </c>
      <c r="D38" s="535" t="str">
        <f>Δαπάνες!$D$13</f>
        <v>Συντήρηση Κήπου</v>
      </c>
      <c r="E38" s="80">
        <f>IF(Δαπάνες!$F$13="","",Δαπάνες!$F$13)</f>
        <v>60</v>
      </c>
      <c r="F38" s="81">
        <f ca="1">IF(E38="","",IF($A$30="","",IF(INDIRECT(ADDRESS($B$30,13,3,,"Διαμερίσματα"))="","",VLOOKUP($A$30,Διαμερίσματα!$A$6:$N$27,Δαπάνες!E13))))</f>
        <v>33.401608739251955</v>
      </c>
      <c r="G38" s="82">
        <f t="shared" ca="1" si="3"/>
        <v>2.0040965243551172</v>
      </c>
    </row>
    <row r="39" spans="1:7" s="539" customFormat="1" ht="12.75">
      <c r="A39" s="536">
        <f t="shared" si="2"/>
        <v>6</v>
      </c>
      <c r="B39" s="86" t="str">
        <f>Δαπάνες!$B$14</f>
        <v>Γ2</v>
      </c>
      <c r="C39" s="823"/>
      <c r="D39" s="535" t="str">
        <f>Δαπάνες!$D$14</f>
        <v>ΕΥΔΑΠ (Νερό) Κοινόχρηστων Χώρων</v>
      </c>
      <c r="E39" s="80">
        <f>IF(Δαπάνες!$F$14="","",Δαπάνες!$F$14)</f>
        <v>20</v>
      </c>
      <c r="F39" s="81">
        <f ca="1">IF(E39="","",IF($A$30="","",IF(INDIRECT(ADDRESS($B$30,13,3,,"Διαμερίσματα"))="","",VLOOKUP($A$30,Διαμερίσματα!$A$6:$N$27,Δαπάνες!E14))))</f>
        <v>33.401608739251955</v>
      </c>
      <c r="G39" s="82">
        <f t="shared" ca="1" si="3"/>
        <v>0.66803217478503918</v>
      </c>
    </row>
    <row r="40" spans="1:7" s="539" customFormat="1" ht="12.75">
      <c r="A40" s="536">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0</v>
      </c>
      <c r="G40" s="85">
        <f ca="1">IF(A30="","",IF(INDIRECT(ADDRESS(A29,16,3,,"Θέρμανση"))="","",VLOOKUP(A30,Θέρμανση!$A$5:$R$26,18)))</f>
        <v>0</v>
      </c>
    </row>
    <row r="41" spans="1:7" s="539" customFormat="1" ht="12.75">
      <c r="A41" s="536">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33.201665421159376</v>
      </c>
      <c r="G41" s="85">
        <f t="shared" ref="G41:G45" ca="1" si="4">IF(E41="","",E41*F41/1000)</f>
        <v>2.3241165794811565</v>
      </c>
    </row>
    <row r="42" spans="1:7" s="539" customFormat="1" ht="12.75">
      <c r="A42" s="536">
        <f t="shared" si="2"/>
        <v>9</v>
      </c>
      <c r="B42" s="535" t="str">
        <f>Δαπάνες!$B$17</f>
        <v>Ε1</v>
      </c>
      <c r="C42" s="535" t="str">
        <f>Δαπάνες!$C$17</f>
        <v>Έξοδα Ιδιοκτητών</v>
      </c>
      <c r="D42" s="535" t="str">
        <f>Δαπάνες!$D$17</f>
        <v>Συντήρηση Πολυκατοικίας</v>
      </c>
      <c r="E42" s="80">
        <f>IF(Δαπάνες!$F$17="","",Δαπάνες!$F$17)</f>
        <v>100</v>
      </c>
      <c r="F42" s="81">
        <f ca="1">IF(E42="","",IF($A$30="","",IF(INDIRECT(ADDRESS($B$30,13,3,,"Διαμερίσματα"))="","",VLOOKUP($A$30,Διαμερίσματα!$A$6:$N$27,Δαπάνες!E17))))</f>
        <v>33.401608739251955</v>
      </c>
      <c r="G42" s="82">
        <f t="shared" ca="1" si="4"/>
        <v>3.3401608739251958</v>
      </c>
    </row>
    <row r="43" spans="1:7" s="539" customFormat="1" ht="12.75">
      <c r="A43" s="536">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33.401608739251955</v>
      </c>
      <c r="G43" s="85">
        <f t="shared" ca="1" si="4"/>
        <v>6.6803217478503916</v>
      </c>
    </row>
    <row r="44" spans="1:7" s="539" customFormat="1" ht="12.75">
      <c r="A44" s="536">
        <f t="shared" si="2"/>
        <v>11</v>
      </c>
      <c r="B44" s="79" t="str">
        <f>Δαπάνες!$B$19</f>
        <v>Η1</v>
      </c>
      <c r="C44" s="822" t="str">
        <f>Δαπάνες!$C$19</f>
        <v>Διαχείριση</v>
      </c>
      <c r="D44" s="535" t="str">
        <f>Δαπάνες!$D$19</f>
        <v>Αμοιβή Διαχειριστή</v>
      </c>
      <c r="E44" s="80">
        <f>IF(Δαπάνες!$F$19="","",Δαπάνες!$F$19)</f>
        <v>80</v>
      </c>
      <c r="F44" s="81">
        <f ca="1">IF(E44="","",IF($A$30="","",IF(INDIRECT(ADDRESS($B$30,13,3,,"Διαμερίσματα"))="","",VLOOKUP($A$30,Διαμερίσματα!$A$6:$N$27,Δαπάνες!E19))))</f>
        <v>33.401608739251955</v>
      </c>
      <c r="G44" s="82">
        <f t="shared" ca="1" si="4"/>
        <v>2.6721286991401567</v>
      </c>
    </row>
    <row r="45" spans="1:7" s="539" customFormat="1" ht="12.75">
      <c r="A45" s="536">
        <f t="shared" si="2"/>
        <v>12</v>
      </c>
      <c r="B45" s="79" t="str">
        <f>Δαπάνες!$B$20</f>
        <v>Η2</v>
      </c>
      <c r="C45" s="823"/>
      <c r="D45" s="535" t="str">
        <f>Δαπάνες!$D$20</f>
        <v>Έκδοση Κοινοχρήστων</v>
      </c>
      <c r="E45" s="80">
        <f>IF(Δαπάνες!$F$20="","",Δαπάνες!$F$20)</f>
        <v>20</v>
      </c>
      <c r="F45" s="81">
        <f>IF(E45="","",IF(Διαμερίσματα!C19="",1000/Διαμερίσματα!$D$28,Διαμερίσματα!$B$30*10/Διαμερίσματα!$D$28))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26.37122660956501</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1" spans="4:4">
      <c r="D51" s="91"/>
    </row>
  </sheetData>
  <sheetProtection password="E4A3" sheet="1" objects="1" scenarios="1" selectLockedCells="1"/>
  <mergeCells count="34">
    <mergeCell ref="C44:C45"/>
    <mergeCell ref="A46:D46"/>
    <mergeCell ref="A47:G47"/>
    <mergeCell ref="A48:G48"/>
    <mergeCell ref="F29:G29"/>
    <mergeCell ref="F30:G30"/>
    <mergeCell ref="A31:B31"/>
    <mergeCell ref="C34:C36"/>
    <mergeCell ref="C38:C39"/>
    <mergeCell ref="C40:C41"/>
    <mergeCell ref="D26:E26"/>
    <mergeCell ref="F26:G26"/>
    <mergeCell ref="A27:B27"/>
    <mergeCell ref="E27:G27"/>
    <mergeCell ref="A28:C28"/>
    <mergeCell ref="E28:G28"/>
    <mergeCell ref="E25:G25"/>
    <mergeCell ref="F4:G4"/>
    <mergeCell ref="F5:G5"/>
    <mergeCell ref="A6:B6"/>
    <mergeCell ref="C9:C11"/>
    <mergeCell ref="C13:C14"/>
    <mergeCell ref="C15:C16"/>
    <mergeCell ref="C19:C20"/>
    <mergeCell ref="A21:D21"/>
    <mergeCell ref="A22:G22"/>
    <mergeCell ref="A23:G23"/>
    <mergeCell ref="A24:G24"/>
    <mergeCell ref="D1:E1"/>
    <mergeCell ref="F1:G1"/>
    <mergeCell ref="A2:B2"/>
    <mergeCell ref="E2:G2"/>
    <mergeCell ref="A3:C3"/>
    <mergeCell ref="E3:G3"/>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drawing r:id="rId4"/>
</worksheet>
</file>

<file path=xl/worksheets/sheet17.xml><?xml version="1.0" encoding="utf-8"?>
<worksheet xmlns="http://schemas.openxmlformats.org/spreadsheetml/2006/main" xmlns:r="http://schemas.openxmlformats.org/officeDocument/2006/relationships">
  <sheetPr>
    <tabColor rgb="FF0070C0"/>
  </sheetPr>
  <dimension ref="A1:N51"/>
  <sheetViews>
    <sheetView topLeftCell="A4"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9" width="9.140625" style="9"/>
    <col min="10" max="10" width="9.140625" style="9" customWidth="1"/>
    <col min="11"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19</v>
      </c>
      <c r="B4" s="324"/>
      <c r="C4" s="77" t="s">
        <v>61</v>
      </c>
      <c r="D4" s="538" t="str">
        <f ca="1">IF(A5="","",IF(INDIRECT(ADDRESS(B5,6,3,,"Διαμερίσματα"))="","",VLOOKUP(A5,Διαμερίσματα!$A$6:$N$27,6)))</f>
        <v>Ιδιοκτήτης-15</v>
      </c>
      <c r="E4" s="538" t="s">
        <v>59</v>
      </c>
      <c r="F4" s="816" t="str">
        <f ca="1">IF(A5="","",IF(INDIRECT(ADDRESS(B5,7,3,,"Διαμερίσματα"))="","",VLOOKUP(A5,Διαμερίσματα!$A$6:$N$27,7)))</f>
        <v/>
      </c>
      <c r="G4" s="817"/>
    </row>
    <row r="5" spans="1:14" s="38" customFormat="1" ht="15.75">
      <c r="A5" s="75">
        <f>Διαμερίσματα!$A$20</f>
        <v>15</v>
      </c>
      <c r="B5" s="76">
        <f>5+A5</f>
        <v>20</v>
      </c>
      <c r="C5" s="325" t="s">
        <v>62</v>
      </c>
      <c r="D5" s="73" t="str">
        <f ca="1">IF(A5="","",IF(INDIRECT(ADDRESS(B5,9,3,,"Διαμερίσματα"))="","",VLOOKUP(A5,Διαμερίσματα!$A$6:$N$27,9)))</f>
        <v>Ιδιοκτήτης-15</v>
      </c>
      <c r="E5" s="537"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Γ4</v>
      </c>
      <c r="B6" s="827"/>
      <c r="C6" s="77" t="str">
        <f ca="1">IF(A5="","",IF(INDIRECT(ADDRESS(B5,3,3,,"Διαμερίσματα"))="","",VLOOKUP(A5,Διαμερίσματα!$A$6:$N$27,3)))</f>
        <v/>
      </c>
      <c r="D6" s="77" t="s">
        <v>86</v>
      </c>
      <c r="E6" s="538" t="str">
        <f ca="1">IF(A5="","",IF(INDIRECT(ADDRESS(B5,4,3,,"Διαμερίσματα"))="","",VLOOKUP(A5,Διαμερίσματα!$A$6:$N$27,4)))</f>
        <v>3ος</v>
      </c>
      <c r="F6" s="78">
        <f ca="1">IF(A5="","",IF(INDIRECT(ADDRESS(B5,5,3,,"Διαμερίσματα"))="","",VLOOKUP(A5,Διαμερίσματα!$A$6:$N$27,5)))</f>
        <v>50</v>
      </c>
      <c r="G6" s="326" t="s">
        <v>60</v>
      </c>
    </row>
    <row r="7" spans="1:14" s="28" customFormat="1" ht="12.75">
      <c r="A7" s="534" t="s">
        <v>24</v>
      </c>
      <c r="B7" s="534" t="s">
        <v>40</v>
      </c>
      <c r="C7" s="534" t="s">
        <v>30</v>
      </c>
      <c r="D7" s="534" t="s">
        <v>32</v>
      </c>
      <c r="E7" s="534" t="s">
        <v>58</v>
      </c>
      <c r="F7" s="534" t="s">
        <v>33</v>
      </c>
      <c r="G7" s="534" t="s">
        <v>56</v>
      </c>
    </row>
    <row r="8" spans="1:14" s="28" customFormat="1" ht="12.75">
      <c r="A8" s="534">
        <v>1</v>
      </c>
      <c r="B8" s="534">
        <v>2</v>
      </c>
      <c r="C8" s="534">
        <v>3</v>
      </c>
      <c r="D8" s="534">
        <v>4</v>
      </c>
      <c r="E8" s="534">
        <v>5</v>
      </c>
      <c r="F8" s="534">
        <v>6</v>
      </c>
      <c r="G8" s="534">
        <v>7</v>
      </c>
    </row>
    <row r="9" spans="1:14" s="539" customFormat="1" ht="12.75">
      <c r="A9" s="536">
        <f>IF(B9="","",1)</f>
        <v>1</v>
      </c>
      <c r="B9" s="79" t="str">
        <f>Δαπάνες!$B$9</f>
        <v>Α1</v>
      </c>
      <c r="C9" s="813" t="str">
        <f>Δαπάνες!$C$9</f>
        <v>Γενικά Κοινόχρηστα</v>
      </c>
      <c r="D9" s="535" t="str">
        <f>Δαπάνες!$D$9</f>
        <v>ΔΕΗ Κοινόχρηστων Χώρων</v>
      </c>
      <c r="E9" s="80">
        <f>IF(Δαπάνες!$F$9="","",Δαπάνες!$F$9)</f>
        <v>100</v>
      </c>
      <c r="F9" s="81">
        <f ca="1">IF(E9="","",IF($A$5="","",IF(INDIRECT(ADDRESS($B$5,14,3,,"Διαμερίσματα"))="","",VLOOKUP($A$5,Διαμερίσματα!$A$6:$N$27,Δαπάνες!E9))))</f>
        <v>33.401608739251955</v>
      </c>
      <c r="G9" s="82">
        <f ca="1">IF(E9="","",E9*F9/1000)</f>
        <v>3.3401608739251958</v>
      </c>
    </row>
    <row r="10" spans="1:14" s="539" customFormat="1" ht="12.75">
      <c r="A10" s="536">
        <f>IF(B10="","",A9+1)</f>
        <v>2</v>
      </c>
      <c r="B10" s="79" t="str">
        <f>Δαπάνες!$B$10</f>
        <v>Α2</v>
      </c>
      <c r="C10" s="814"/>
      <c r="D10" s="535" t="str">
        <f>Δαπάνες!$D$10</f>
        <v>Καθαρισμός Κοινόχρηστων Χώρων</v>
      </c>
      <c r="E10" s="80">
        <f>IF(Δαπάνες!$F$10="","",Δαπάνες!$F$10)</f>
        <v>70</v>
      </c>
      <c r="F10" s="81">
        <f ca="1">IF(E10="","",IF($A$5="","",IF(INDIRECT(ADDRESS($B$5,14,3,,"Διαμερίσματα"))="","",VLOOKUP($A$5,Διαμερίσματα!$A$6:$N$27,Δαπάνες!E10))))</f>
        <v>33.401608739251955</v>
      </c>
      <c r="G10" s="82">
        <f ca="1">IF(E10="","",E10*F10/1000)</f>
        <v>2.3381126117476367</v>
      </c>
    </row>
    <row r="11" spans="1:14" s="539" customFormat="1" ht="12.75">
      <c r="A11" s="536">
        <f t="shared" ref="A11:A20" si="0">IF(B11="","",A10+1)</f>
        <v>3</v>
      </c>
      <c r="B11" s="79" t="str">
        <f>Δαπάνες!$B$11</f>
        <v>Α3</v>
      </c>
      <c r="C11" s="815"/>
      <c r="D11" s="535" t="str">
        <f>Δαπάνες!$D$11</f>
        <v>Υλικά Αναλώσιμα (Λάμπες κλπ)</v>
      </c>
      <c r="E11" s="80">
        <f>IF(Δαπάνες!$F$11="","",Δαπάνες!$F$11)</f>
        <v>10</v>
      </c>
      <c r="F11" s="81">
        <f ca="1">IF(E11="","",IF($A$5="","",IF(INDIRECT(ADDRESS($B$5,14,3,,"Διαμερίσματα"))="","",VLOOKUP($A$5,Διαμερίσματα!$A$6:$N$27,Δαπάνες!E11))))</f>
        <v>33.401608739251955</v>
      </c>
      <c r="G11" s="82">
        <f t="shared" ref="G11:G20" ca="1" si="1">IF(E11="","",E11*F11/1000)</f>
        <v>0.33401608739251959</v>
      </c>
    </row>
    <row r="12" spans="1:14" s="539" customFormat="1" ht="12.75">
      <c r="A12" s="536">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33.401608739251955</v>
      </c>
      <c r="G12" s="85">
        <f t="shared" ca="1" si="1"/>
        <v>1.6700804369625979</v>
      </c>
    </row>
    <row r="13" spans="1:14" s="539" customFormat="1" ht="12.75">
      <c r="A13" s="536">
        <f t="shared" si="0"/>
        <v>5</v>
      </c>
      <c r="B13" s="86" t="str">
        <f>Δαπάνες!$B$13</f>
        <v>Γ1</v>
      </c>
      <c r="C13" s="822" t="str">
        <f>Δαπάνες!$C$13</f>
        <v>Έξοδα Κήπου</v>
      </c>
      <c r="D13" s="535" t="str">
        <f>Δαπάνες!$D$13</f>
        <v>Συντήρηση Κήπου</v>
      </c>
      <c r="E13" s="80">
        <f>IF(Δαπάνες!$F$13="","",Δαπάνες!$F$13)</f>
        <v>60</v>
      </c>
      <c r="F13" s="81">
        <f ca="1">IF(E13="","",IF($A$5="","",IF(INDIRECT(ADDRESS($B$5,13,3,,"Διαμερίσματα"))="","",VLOOKUP($A$5,Διαμερίσματα!$A$6:$N$27,Δαπάνες!E13))))</f>
        <v>33.401608739251955</v>
      </c>
      <c r="G13" s="82">
        <f t="shared" ca="1" si="1"/>
        <v>2.0040965243551172</v>
      </c>
    </row>
    <row r="14" spans="1:14" s="539" customFormat="1" ht="12.75">
      <c r="A14" s="536">
        <f t="shared" si="0"/>
        <v>6</v>
      </c>
      <c r="B14" s="86" t="str">
        <f>Δαπάνες!$B$14</f>
        <v>Γ2</v>
      </c>
      <c r="C14" s="823"/>
      <c r="D14" s="535" t="str">
        <f>Δαπάνες!$D$14</f>
        <v>ΕΥΔΑΠ (Νερό) Κοινόχρηστων Χώρων</v>
      </c>
      <c r="E14" s="80">
        <f>IF(Δαπάνες!$F$14="","",Δαπάνες!$F$14)</f>
        <v>20</v>
      </c>
      <c r="F14" s="81">
        <f ca="1">IF(E14="","",IF($A$5="","",IF(INDIRECT(ADDRESS($B$5,13,3,,"Διαμερίσματα"))="","",VLOOKUP($A$5,Διαμερίσματα!$A$6:$N$27,Δαπάνες!E14))))</f>
        <v>33.401608739251955</v>
      </c>
      <c r="G14" s="82">
        <f t="shared" ca="1" si="1"/>
        <v>0.66803217478503918</v>
      </c>
    </row>
    <row r="15" spans="1:14" s="539" customFormat="1" ht="12.75">
      <c r="A15" s="536">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0</v>
      </c>
      <c r="G15" s="85">
        <f ca="1">IF(A5="","",IF(INDIRECT(ADDRESS(A4,16,3,,"Θέρμανση"))="","",VLOOKUP(A5,Θέρμανση!$A$5:$R$26,18)))</f>
        <v>0</v>
      </c>
    </row>
    <row r="16" spans="1:14" s="539" customFormat="1" ht="12.75">
      <c r="A16" s="536">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33.201665421159376</v>
      </c>
      <c r="G16" s="85">
        <f t="shared" ca="1" si="1"/>
        <v>2.3241165794811565</v>
      </c>
    </row>
    <row r="17" spans="1:14" s="539" customFormat="1" ht="12.75">
      <c r="A17" s="536">
        <f t="shared" si="0"/>
        <v>9</v>
      </c>
      <c r="B17" s="535" t="str">
        <f>Δαπάνες!$B$17</f>
        <v>Ε1</v>
      </c>
      <c r="C17" s="535" t="str">
        <f>Δαπάνες!$C$17</f>
        <v>Έξοδα Ιδιοκτητών</v>
      </c>
      <c r="D17" s="535" t="str">
        <f>Δαπάνες!$D$17</f>
        <v>Συντήρηση Πολυκατοικίας</v>
      </c>
      <c r="E17" s="80">
        <f>IF(Δαπάνες!$F$17="","",Δαπάνες!$F$17)</f>
        <v>100</v>
      </c>
      <c r="F17" s="81">
        <f ca="1">IF(E17="","",IF($A$5="","",IF(INDIRECT(ADDRESS($B$5,13,3,,"Διαμερίσματα"))="","",VLOOKUP($A$5,Διαμερίσματα!$A$6:$N$27,Δαπάνες!E17))))</f>
        <v>33.401608739251955</v>
      </c>
      <c r="G17" s="82">
        <f t="shared" ca="1" si="1"/>
        <v>3.3401608739251958</v>
      </c>
    </row>
    <row r="18" spans="1:14" s="539" customFormat="1" ht="12.75">
      <c r="A18" s="536">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33.401608739251955</v>
      </c>
      <c r="G18" s="85">
        <f t="shared" ca="1" si="1"/>
        <v>6.6803217478503916</v>
      </c>
    </row>
    <row r="19" spans="1:14" s="539" customFormat="1" ht="12.75">
      <c r="A19" s="536">
        <f t="shared" si="0"/>
        <v>11</v>
      </c>
      <c r="B19" s="79" t="str">
        <f>Δαπάνες!$B$19</f>
        <v>Η1</v>
      </c>
      <c r="C19" s="822" t="str">
        <f>Δαπάνες!$C$19</f>
        <v>Διαχείριση</v>
      </c>
      <c r="D19" s="535" t="str">
        <f>Δαπάνες!$D$19</f>
        <v>Αμοιβή Διαχειριστή</v>
      </c>
      <c r="E19" s="80">
        <f>IF(Δαπάνες!$F$19="","",Δαπάνες!$F$19)</f>
        <v>80</v>
      </c>
      <c r="F19" s="81">
        <f ca="1">IF(E19="","",IF($A$5="","",IF(INDIRECT(ADDRESS($B$5,13,3,,"Διαμερίσματα"))="","",VLOOKUP($A$5,Διαμερίσματα!$A$6:$N$27,Δαπάνες!E19))))</f>
        <v>33.401608739251955</v>
      </c>
      <c r="G19" s="82">
        <f t="shared" ca="1" si="1"/>
        <v>2.6721286991401567</v>
      </c>
    </row>
    <row r="20" spans="1:14" s="539" customFormat="1" ht="12.75">
      <c r="A20" s="536">
        <f t="shared" si="0"/>
        <v>12</v>
      </c>
      <c r="B20" s="79" t="str">
        <f>Δαπάνες!$B$20</f>
        <v>Η2</v>
      </c>
      <c r="C20" s="823"/>
      <c r="D20" s="535" t="str">
        <f>Δαπάνες!$D$20</f>
        <v>Έκδοση Κοινοχρήστων</v>
      </c>
      <c r="E20" s="80">
        <f>IF(Δαπάνες!$F$20="","",Δαπάνες!$F$20)</f>
        <v>20</v>
      </c>
      <c r="F20" s="81">
        <f>IF(E20="","",IF(Διαμερίσματα!C20="",1000/Διαμερίσματα!$D$28,Διαμερίσματα!$B$30*10/Διαμερίσματα!$D$28))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26.37122660956501</v>
      </c>
    </row>
    <row r="22" spans="1:14" s="39" customFormat="1" ht="18.95" customHeight="1">
      <c r="A22" s="830" t="str">
        <f>'1-2'!$A$22:$G$22</f>
        <v>Έγινε συντήρηση του καυστήρα.</v>
      </c>
      <c r="B22" s="831"/>
      <c r="C22" s="831"/>
      <c r="D22" s="831"/>
      <c r="E22" s="831"/>
      <c r="F22" s="831"/>
      <c r="G22" s="831"/>
    </row>
    <row r="23" spans="1:14" s="39" customFormat="1" ht="18.95" customHeight="1">
      <c r="A23" s="832" t="str">
        <f>'1-2'!$A$23:$G$23</f>
        <v>Η συντήρηση του Ανελκυστήρα, από 55€*12μήνες, έγινε 55€*8μήνες.</v>
      </c>
      <c r="B23" s="832"/>
      <c r="C23" s="832"/>
      <c r="D23" s="832"/>
      <c r="E23" s="832"/>
      <c r="F23" s="832"/>
      <c r="G23" s="832"/>
      <c r="I23" s="9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20</v>
      </c>
      <c r="B29" s="324"/>
      <c r="C29" s="77" t="s">
        <v>61</v>
      </c>
      <c r="D29" s="538" t="str">
        <f ca="1">IF(A30="","",IF(INDIRECT(ADDRESS(B30,6,3,,"Διαμερίσματα"))="","",VLOOKUP(A30,Διαμερίσματα!$A$6:$N$27,6)))</f>
        <v>Ιδιοκτήτης-16</v>
      </c>
      <c r="E29" s="538" t="s">
        <v>59</v>
      </c>
      <c r="F29" s="816" t="str">
        <f ca="1">IF(A30="","",IF(INDIRECT(ADDRESS(B30,7,3,,"Διαμερίσματα"))="","",VLOOKUP(A30,Διαμερίσματα!$A$6:$N$27,7)))</f>
        <v/>
      </c>
      <c r="G29" s="817"/>
    </row>
    <row r="30" spans="1:14" s="38" customFormat="1" ht="15.75">
      <c r="A30" s="75">
        <f>A5+1</f>
        <v>16</v>
      </c>
      <c r="B30" s="76">
        <f>5+A30</f>
        <v>21</v>
      </c>
      <c r="C30" s="325" t="s">
        <v>62</v>
      </c>
      <c r="D30" s="73" t="str">
        <f ca="1">IF(A30="","",IF(INDIRECT(ADDRESS(B30,9,3,,"Διαμερίσματα"))="","",VLOOKUP(A30,Διαμερίσματα!$A$6:$N$27,9)))</f>
        <v>Ιδιοκτήτης-16</v>
      </c>
      <c r="E30" s="537"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Δ1</v>
      </c>
      <c r="B31" s="827"/>
      <c r="C31" s="77" t="str">
        <f ca="1">IF(A30="","",IF(INDIRECT(ADDRESS(B30,3,3,,"Διαμερίσματα"))="","",VLOOKUP(A30,Διαμερίσματα!$A$6:$N$27,3)))</f>
        <v/>
      </c>
      <c r="D31" s="77" t="s">
        <v>86</v>
      </c>
      <c r="E31" s="538" t="str">
        <f ca="1">IF(A30="","",IF(INDIRECT(ADDRESS(B30,4,3,,"Διαμερίσματα"))="","",VLOOKUP(A30,Διαμερίσματα!$A$6:$N$27,4)))</f>
        <v>4ος</v>
      </c>
      <c r="F31" s="78">
        <f ca="1">IF(A30="","",IF(INDIRECT(ADDRESS(B30,5,3,,"Διαμερίσματα"))="","",VLOOKUP(A30,Διαμερίσματα!$A$6:$N$27,5)))</f>
        <v>60</v>
      </c>
      <c r="G31" s="326" t="s">
        <v>60</v>
      </c>
    </row>
    <row r="32" spans="1:14" s="28" customFormat="1" ht="12.75">
      <c r="A32" s="534" t="s">
        <v>24</v>
      </c>
      <c r="B32" s="534" t="s">
        <v>40</v>
      </c>
      <c r="C32" s="534" t="s">
        <v>30</v>
      </c>
      <c r="D32" s="534" t="s">
        <v>32</v>
      </c>
      <c r="E32" s="534" t="s">
        <v>58</v>
      </c>
      <c r="F32" s="534" t="s">
        <v>33</v>
      </c>
      <c r="G32" s="534" t="s">
        <v>56</v>
      </c>
    </row>
    <row r="33" spans="1:7" s="28" customFormat="1" ht="12.75">
      <c r="A33" s="534">
        <v>1</v>
      </c>
      <c r="B33" s="534">
        <v>2</v>
      </c>
      <c r="C33" s="534">
        <v>3</v>
      </c>
      <c r="D33" s="534">
        <v>4</v>
      </c>
      <c r="E33" s="534">
        <v>5</v>
      </c>
      <c r="F33" s="534">
        <v>6</v>
      </c>
      <c r="G33" s="534">
        <v>7</v>
      </c>
    </row>
    <row r="34" spans="1:7" s="539" customFormat="1" ht="12.75">
      <c r="A34" s="536">
        <f>IF(B34="","",1)</f>
        <v>1</v>
      </c>
      <c r="B34" s="79" t="str">
        <f>Δαπάνες!$B$9</f>
        <v>Α1</v>
      </c>
      <c r="C34" s="813" t="str">
        <f>Δαπάνες!$C$9</f>
        <v>Γενικά Κοινόχρηστα</v>
      </c>
      <c r="D34" s="535" t="str">
        <f>Δαπάνες!$D$9</f>
        <v>ΔΕΗ Κοινόχρηστων Χώρων</v>
      </c>
      <c r="E34" s="80">
        <f>IF(Δαπάνες!$F$9="","",Δαπάνες!$F$9)</f>
        <v>100</v>
      </c>
      <c r="F34" s="81">
        <f ca="1">IF(E34="","",IF($A$30="","",IF(INDIRECT(ADDRESS($B$30,14,3,,"Διαμερίσματα"))="","",VLOOKUP($A$30,Διαμερίσματα!$A$6:$N$27,Δαπάνες!E9))))</f>
        <v>33.401608739251955</v>
      </c>
      <c r="G34" s="82">
        <f ca="1">IF(E34="","",E34*F34/1000)</f>
        <v>3.3401608739251958</v>
      </c>
    </row>
    <row r="35" spans="1:7" s="539" customFormat="1" ht="12.75">
      <c r="A35" s="536">
        <f>IF(B35="","",A34+1)</f>
        <v>2</v>
      </c>
      <c r="B35" s="79" t="str">
        <f>Δαπάνες!$B$10</f>
        <v>Α2</v>
      </c>
      <c r="C35" s="814"/>
      <c r="D35" s="535" t="str">
        <f>Δαπάνες!$D$10</f>
        <v>Καθαρισμός Κοινόχρηστων Χώρων</v>
      </c>
      <c r="E35" s="80">
        <f>IF(Δαπάνες!$F$10="","",Δαπάνες!$F$10)</f>
        <v>70</v>
      </c>
      <c r="F35" s="81">
        <f ca="1">IF(E35="","",IF($A$30="","",IF(INDIRECT(ADDRESS($B$30,14,3,,"Διαμερίσματα"))="","",VLOOKUP($A$30,Διαμερίσματα!$A$6:$N$27,Δαπάνες!E10))))</f>
        <v>33.401608739251955</v>
      </c>
      <c r="G35" s="82">
        <f ca="1">IF(E35="","",E35*F35/1000)</f>
        <v>2.3381126117476367</v>
      </c>
    </row>
    <row r="36" spans="1:7" s="539" customFormat="1" ht="12.75">
      <c r="A36" s="536">
        <f t="shared" ref="A36:A45" si="2">IF(B36="","",A35+1)</f>
        <v>3</v>
      </c>
      <c r="B36" s="79" t="str">
        <f>Δαπάνες!$B$11</f>
        <v>Α3</v>
      </c>
      <c r="C36" s="815"/>
      <c r="D36" s="535" t="str">
        <f>Δαπάνες!$D$11</f>
        <v>Υλικά Αναλώσιμα (Λάμπες κλπ)</v>
      </c>
      <c r="E36" s="80">
        <f>IF(Δαπάνες!$F$11="","",Δαπάνες!$F$11)</f>
        <v>10</v>
      </c>
      <c r="F36" s="81">
        <f ca="1">IF(E36="","",IF($A$30="","",IF(INDIRECT(ADDRESS($B$30,14,3,,"Διαμερίσματα"))="","",VLOOKUP($A$30,Διαμερίσματα!$A$6:$N$27,Δαπάνες!E11))))</f>
        <v>33.401608739251955</v>
      </c>
      <c r="G36" s="82">
        <f t="shared" ref="G36:G39" ca="1" si="3">IF(E36="","",E36*F36/1000)</f>
        <v>0.33401608739251959</v>
      </c>
    </row>
    <row r="37" spans="1:7" s="539" customFormat="1" ht="12.75">
      <c r="A37" s="536">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33.401608739251955</v>
      </c>
      <c r="G37" s="85">
        <f t="shared" ca="1" si="3"/>
        <v>1.6700804369625979</v>
      </c>
    </row>
    <row r="38" spans="1:7" s="539" customFormat="1" ht="12.75">
      <c r="A38" s="536">
        <f t="shared" si="2"/>
        <v>5</v>
      </c>
      <c r="B38" s="86" t="str">
        <f>Δαπάνες!$B$13</f>
        <v>Γ1</v>
      </c>
      <c r="C38" s="822" t="str">
        <f>Δαπάνες!$C$13</f>
        <v>Έξοδα Κήπου</v>
      </c>
      <c r="D38" s="535" t="str">
        <f>Δαπάνες!$D$13</f>
        <v>Συντήρηση Κήπου</v>
      </c>
      <c r="E38" s="80">
        <f>IF(Δαπάνες!$F$13="","",Δαπάνες!$F$13)</f>
        <v>60</v>
      </c>
      <c r="F38" s="81">
        <f ca="1">IF(E38="","",IF($A$30="","",IF(INDIRECT(ADDRESS($B$30,13,3,,"Διαμερίσματα"))="","",VLOOKUP($A$30,Διαμερίσματα!$A$6:$N$27,Δαπάνες!E13))))</f>
        <v>33.401608739251955</v>
      </c>
      <c r="G38" s="82">
        <f t="shared" ca="1" si="3"/>
        <v>2.0040965243551172</v>
      </c>
    </row>
    <row r="39" spans="1:7" s="539" customFormat="1" ht="12.75">
      <c r="A39" s="536">
        <f t="shared" si="2"/>
        <v>6</v>
      </c>
      <c r="B39" s="86" t="str">
        <f>Δαπάνες!$B$14</f>
        <v>Γ2</v>
      </c>
      <c r="C39" s="823"/>
      <c r="D39" s="535" t="str">
        <f>Δαπάνες!$D$14</f>
        <v>ΕΥΔΑΠ (Νερό) Κοινόχρηστων Χώρων</v>
      </c>
      <c r="E39" s="80">
        <f>IF(Δαπάνες!$F$14="","",Δαπάνες!$F$14)</f>
        <v>20</v>
      </c>
      <c r="F39" s="81">
        <f ca="1">IF(E39="","",IF($A$30="","",IF(INDIRECT(ADDRESS($B$30,13,3,,"Διαμερίσματα"))="","",VLOOKUP($A$30,Διαμερίσματα!$A$6:$N$27,Δαπάνες!E14))))</f>
        <v>33.401608739251955</v>
      </c>
      <c r="G39" s="82">
        <f t="shared" ca="1" si="3"/>
        <v>0.66803217478503918</v>
      </c>
    </row>
    <row r="40" spans="1:7" s="539" customFormat="1" ht="12.75">
      <c r="A40" s="536">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0</v>
      </c>
      <c r="G40" s="85">
        <f ca="1">IF(A30="","",IF(INDIRECT(ADDRESS(A29,16,3,,"Θέρμανση"))="","",VLOOKUP(A30,Θέρμανση!$A$5:$R$26,18)))</f>
        <v>0</v>
      </c>
    </row>
    <row r="41" spans="1:7" s="539" customFormat="1" ht="12.75">
      <c r="A41" s="536">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33.201665421159376</v>
      </c>
      <c r="G41" s="85">
        <f t="shared" ref="G41:G45" ca="1" si="4">IF(E41="","",E41*F41/1000)</f>
        <v>2.3241165794811565</v>
      </c>
    </row>
    <row r="42" spans="1:7" s="539" customFormat="1" ht="12.75">
      <c r="A42" s="536">
        <f t="shared" si="2"/>
        <v>9</v>
      </c>
      <c r="B42" s="535" t="str">
        <f>Δαπάνες!$B$17</f>
        <v>Ε1</v>
      </c>
      <c r="C42" s="535" t="str">
        <f>Δαπάνες!$C$17</f>
        <v>Έξοδα Ιδιοκτητών</v>
      </c>
      <c r="D42" s="535" t="str">
        <f>Δαπάνες!$D$17</f>
        <v>Συντήρηση Πολυκατοικίας</v>
      </c>
      <c r="E42" s="80">
        <f>IF(Δαπάνες!$F$17="","",Δαπάνες!$F$17)</f>
        <v>100</v>
      </c>
      <c r="F42" s="81">
        <f ca="1">IF(E42="","",IF($A$30="","",IF(INDIRECT(ADDRESS($B$30,13,3,,"Διαμερίσματα"))="","",VLOOKUP($A$30,Διαμερίσματα!$A$6:$N$27,Δαπάνες!E17))))</f>
        <v>33.401608739251955</v>
      </c>
      <c r="G42" s="82">
        <f t="shared" ca="1" si="4"/>
        <v>3.3401608739251958</v>
      </c>
    </row>
    <row r="43" spans="1:7" s="539" customFormat="1" ht="12.75">
      <c r="A43" s="536">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33.401608739251955</v>
      </c>
      <c r="G43" s="85">
        <f t="shared" ca="1" si="4"/>
        <v>6.6803217478503916</v>
      </c>
    </row>
    <row r="44" spans="1:7" s="539" customFormat="1" ht="12.75">
      <c r="A44" s="536">
        <f t="shared" si="2"/>
        <v>11</v>
      </c>
      <c r="B44" s="79" t="str">
        <f>Δαπάνες!$B$19</f>
        <v>Η1</v>
      </c>
      <c r="C44" s="822" t="str">
        <f>Δαπάνες!$C$19</f>
        <v>Διαχείριση</v>
      </c>
      <c r="D44" s="535" t="str">
        <f>Δαπάνες!$D$19</f>
        <v>Αμοιβή Διαχειριστή</v>
      </c>
      <c r="E44" s="80">
        <f>IF(Δαπάνες!$F$19="","",Δαπάνες!$F$19)</f>
        <v>80</v>
      </c>
      <c r="F44" s="81">
        <f ca="1">IF(E44="","",IF($A$30="","",IF(INDIRECT(ADDRESS($B$30,13,3,,"Διαμερίσματα"))="","",VLOOKUP($A$30,Διαμερίσματα!$A$6:$N$27,Δαπάνες!E19))))</f>
        <v>33.401608739251955</v>
      </c>
      <c r="G44" s="82">
        <f t="shared" ca="1" si="4"/>
        <v>2.6721286991401567</v>
      </c>
    </row>
    <row r="45" spans="1:7" s="539" customFormat="1" ht="12.75">
      <c r="A45" s="536">
        <f t="shared" si="2"/>
        <v>12</v>
      </c>
      <c r="B45" s="79" t="str">
        <f>Δαπάνες!$B$20</f>
        <v>Η2</v>
      </c>
      <c r="C45" s="823"/>
      <c r="D45" s="535" t="str">
        <f>Δαπάνες!$D$20</f>
        <v>Έκδοση Κοινοχρήστων</v>
      </c>
      <c r="E45" s="80">
        <f>IF(Δαπάνες!$F$20="","",Δαπάνες!$F$20)</f>
        <v>20</v>
      </c>
      <c r="F45" s="81">
        <f>IF(E45="","",IF(Διαμερίσματα!C21="",1000/Διαμερίσματα!$D$28,Διαμερίσματα!$B$30*10/Διαμερίσματα!$D$28))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26.37122660956501</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1" spans="4:4">
      <c r="D51" s="91"/>
    </row>
  </sheetData>
  <sheetProtection password="E4A3" sheet="1" objects="1" scenarios="1" selectLockedCells="1"/>
  <mergeCells count="34">
    <mergeCell ref="C44:C45"/>
    <mergeCell ref="A46:D46"/>
    <mergeCell ref="A47:G47"/>
    <mergeCell ref="A48:G48"/>
    <mergeCell ref="F29:G29"/>
    <mergeCell ref="F30:G30"/>
    <mergeCell ref="A31:B31"/>
    <mergeCell ref="C34:C36"/>
    <mergeCell ref="C38:C39"/>
    <mergeCell ref="C40:C41"/>
    <mergeCell ref="D26:E26"/>
    <mergeCell ref="F26:G26"/>
    <mergeCell ref="A27:B27"/>
    <mergeCell ref="E27:G27"/>
    <mergeCell ref="A28:C28"/>
    <mergeCell ref="E28:G28"/>
    <mergeCell ref="E25:G25"/>
    <mergeCell ref="F4:G4"/>
    <mergeCell ref="F5:G5"/>
    <mergeCell ref="A6:B6"/>
    <mergeCell ref="C9:C11"/>
    <mergeCell ref="C13:C14"/>
    <mergeCell ref="C15:C16"/>
    <mergeCell ref="C19:C20"/>
    <mergeCell ref="A21:D21"/>
    <mergeCell ref="A22:G22"/>
    <mergeCell ref="A23:G23"/>
    <mergeCell ref="A24:G24"/>
    <mergeCell ref="D1:E1"/>
    <mergeCell ref="F1:G1"/>
    <mergeCell ref="A2:B2"/>
    <mergeCell ref="E2:G2"/>
    <mergeCell ref="A3:C3"/>
    <mergeCell ref="E3:G3"/>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drawing r:id="rId4"/>
</worksheet>
</file>

<file path=xl/worksheets/sheet18.xml><?xml version="1.0" encoding="utf-8"?>
<worksheet xmlns="http://schemas.openxmlformats.org/spreadsheetml/2006/main" xmlns:r="http://schemas.openxmlformats.org/officeDocument/2006/relationships">
  <sheetPr>
    <tabColor rgb="FF0070C0"/>
  </sheetPr>
  <dimension ref="A1:N51"/>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9" width="9.140625" style="9"/>
    <col min="10" max="10" width="9.140625" style="9" customWidth="1"/>
    <col min="11"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21</v>
      </c>
      <c r="B4" s="324"/>
      <c r="C4" s="77" t="s">
        <v>61</v>
      </c>
      <c r="D4" s="538" t="str">
        <f ca="1">IF(A5="","",IF(INDIRECT(ADDRESS(B5,6,3,,"Διαμερίσματα"))="","",VLOOKUP(A5,Διαμερίσματα!$A$6:$N$27,6)))</f>
        <v>Ιδιοκτήτης-17</v>
      </c>
      <c r="E4" s="538" t="s">
        <v>59</v>
      </c>
      <c r="F4" s="816" t="str">
        <f ca="1">IF(A5="","",IF(INDIRECT(ADDRESS(B5,7,3,,"Διαμερίσματα"))="","",VLOOKUP(A5,Διαμερίσματα!$A$6:$N$27,7)))</f>
        <v/>
      </c>
      <c r="G4" s="817"/>
    </row>
    <row r="5" spans="1:14" s="38" customFormat="1" ht="15.75">
      <c r="A5" s="75">
        <f>Διαμερίσματα!$A$22</f>
        <v>17</v>
      </c>
      <c r="B5" s="76">
        <f>5+A5</f>
        <v>22</v>
      </c>
      <c r="C5" s="325" t="s">
        <v>62</v>
      </c>
      <c r="D5" s="73" t="str">
        <f ca="1">IF(A5="","",IF(INDIRECT(ADDRESS(B5,9,3,,"Διαμερίσματα"))="","",VLOOKUP(A5,Διαμερίσματα!$A$6:$N$27,9)))</f>
        <v>Ιδιοκτήτης-17</v>
      </c>
      <c r="E5" s="537"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Δ2</v>
      </c>
      <c r="B6" s="827"/>
      <c r="C6" s="77" t="str">
        <f ca="1">IF(A5="","",IF(INDIRECT(ADDRESS(B5,3,3,,"Διαμερίσματα"))="","",VLOOKUP(A5,Διαμερίσματα!$A$6:$N$27,3)))</f>
        <v/>
      </c>
      <c r="D6" s="77" t="s">
        <v>86</v>
      </c>
      <c r="E6" s="538" t="str">
        <f ca="1">IF(A5="","",IF(INDIRECT(ADDRESS(B5,4,3,,"Διαμερίσματα"))="","",VLOOKUP(A5,Διαμερίσματα!$A$6:$N$27,4)))</f>
        <v>4ος</v>
      </c>
      <c r="F6" s="78">
        <f ca="1">IF(A5="","",IF(INDIRECT(ADDRESS(B5,5,3,,"Διαμερίσματα"))="","",VLOOKUP(A5,Διαμερίσματα!$A$6:$N$27,5)))</f>
        <v>50</v>
      </c>
      <c r="G6" s="326" t="s">
        <v>60</v>
      </c>
    </row>
    <row r="7" spans="1:14" s="28" customFormat="1" ht="12.75">
      <c r="A7" s="534" t="s">
        <v>24</v>
      </c>
      <c r="B7" s="534" t="s">
        <v>40</v>
      </c>
      <c r="C7" s="534" t="s">
        <v>30</v>
      </c>
      <c r="D7" s="534" t="s">
        <v>32</v>
      </c>
      <c r="E7" s="534" t="s">
        <v>58</v>
      </c>
      <c r="F7" s="534" t="s">
        <v>33</v>
      </c>
      <c r="G7" s="534" t="s">
        <v>56</v>
      </c>
    </row>
    <row r="8" spans="1:14" s="28" customFormat="1" ht="12.75">
      <c r="A8" s="534">
        <v>1</v>
      </c>
      <c r="B8" s="534">
        <v>2</v>
      </c>
      <c r="C8" s="534">
        <v>3</v>
      </c>
      <c r="D8" s="534">
        <v>4</v>
      </c>
      <c r="E8" s="534">
        <v>5</v>
      </c>
      <c r="F8" s="534">
        <v>6</v>
      </c>
      <c r="G8" s="534">
        <v>7</v>
      </c>
    </row>
    <row r="9" spans="1:14" s="539" customFormat="1" ht="12.75">
      <c r="A9" s="536">
        <f>IF(B9="","",1)</f>
        <v>1</v>
      </c>
      <c r="B9" s="79" t="str">
        <f>Δαπάνες!$B$9</f>
        <v>Α1</v>
      </c>
      <c r="C9" s="813" t="str">
        <f>Δαπάνες!$C$9</f>
        <v>Γενικά Κοινόχρηστα</v>
      </c>
      <c r="D9" s="535" t="str">
        <f>Δαπάνες!$D$9</f>
        <v>ΔΕΗ Κοινόχρηστων Χώρων</v>
      </c>
      <c r="E9" s="80">
        <f>IF(Δαπάνες!$F$9="","",Δαπάνες!$F$9)</f>
        <v>100</v>
      </c>
      <c r="F9" s="81">
        <f ca="1">IF(E9="","",IF($A$5="","",IF(INDIRECT(ADDRESS($B$5,14,3,,"Διαμερίσματα"))="","",VLOOKUP($A$5,Διαμερίσματα!$A$6:$N$27,Δαπάνες!E9))))</f>
        <v>33.401608739251955</v>
      </c>
      <c r="G9" s="82">
        <f ca="1">IF(E9="","",E9*F9/1000)</f>
        <v>3.3401608739251958</v>
      </c>
    </row>
    <row r="10" spans="1:14" s="539" customFormat="1" ht="12.75">
      <c r="A10" s="536">
        <f>IF(B10="","",A9+1)</f>
        <v>2</v>
      </c>
      <c r="B10" s="79" t="str">
        <f>Δαπάνες!$B$10</f>
        <v>Α2</v>
      </c>
      <c r="C10" s="814"/>
      <c r="D10" s="535" t="str">
        <f>Δαπάνες!$D$10</f>
        <v>Καθαρισμός Κοινόχρηστων Χώρων</v>
      </c>
      <c r="E10" s="80">
        <f>IF(Δαπάνες!$F$10="","",Δαπάνες!$F$10)</f>
        <v>70</v>
      </c>
      <c r="F10" s="81">
        <f ca="1">IF(E10="","",IF($A$5="","",IF(INDIRECT(ADDRESS($B$5,14,3,,"Διαμερίσματα"))="","",VLOOKUP($A$5,Διαμερίσματα!$A$6:$N$27,Δαπάνες!E10))))</f>
        <v>33.401608739251955</v>
      </c>
      <c r="G10" s="82">
        <f ca="1">IF(E10="","",E10*F10/1000)</f>
        <v>2.3381126117476367</v>
      </c>
    </row>
    <row r="11" spans="1:14" s="539" customFormat="1" ht="12.75">
      <c r="A11" s="536">
        <f t="shared" ref="A11:A20" si="0">IF(B11="","",A10+1)</f>
        <v>3</v>
      </c>
      <c r="B11" s="79" t="str">
        <f>Δαπάνες!$B$11</f>
        <v>Α3</v>
      </c>
      <c r="C11" s="815"/>
      <c r="D11" s="535" t="str">
        <f>Δαπάνες!$D$11</f>
        <v>Υλικά Αναλώσιμα (Λάμπες κλπ)</v>
      </c>
      <c r="E11" s="80">
        <f>IF(Δαπάνες!$F$11="","",Δαπάνες!$F$11)</f>
        <v>10</v>
      </c>
      <c r="F11" s="81">
        <f ca="1">IF(E11="","",IF($A$5="","",IF(INDIRECT(ADDRESS($B$5,14,3,,"Διαμερίσματα"))="","",VLOOKUP($A$5,Διαμερίσματα!$A$6:$N$27,Δαπάνες!E11))))</f>
        <v>33.401608739251955</v>
      </c>
      <c r="G11" s="82">
        <f t="shared" ref="G11:G20" ca="1" si="1">IF(E11="","",E11*F11/1000)</f>
        <v>0.33401608739251959</v>
      </c>
    </row>
    <row r="12" spans="1:14" s="539" customFormat="1" ht="12.75">
      <c r="A12" s="536">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33.401608739251955</v>
      </c>
      <c r="G12" s="85">
        <f t="shared" ca="1" si="1"/>
        <v>1.6700804369625979</v>
      </c>
    </row>
    <row r="13" spans="1:14" s="539" customFormat="1" ht="12.75">
      <c r="A13" s="536">
        <f t="shared" si="0"/>
        <v>5</v>
      </c>
      <c r="B13" s="86" t="str">
        <f>Δαπάνες!$B$13</f>
        <v>Γ1</v>
      </c>
      <c r="C13" s="822" t="str">
        <f>Δαπάνες!$C$13</f>
        <v>Έξοδα Κήπου</v>
      </c>
      <c r="D13" s="535" t="str">
        <f>Δαπάνες!$D$13</f>
        <v>Συντήρηση Κήπου</v>
      </c>
      <c r="E13" s="80">
        <f>IF(Δαπάνες!$F$13="","",Δαπάνες!$F$13)</f>
        <v>60</v>
      </c>
      <c r="F13" s="81">
        <f ca="1">IF(E13="","",IF($A$5="","",IF(INDIRECT(ADDRESS($B$5,13,3,,"Διαμερίσματα"))="","",VLOOKUP($A$5,Διαμερίσματα!$A$6:$N$27,Δαπάνες!E13))))</f>
        <v>33.401608739251955</v>
      </c>
      <c r="G13" s="82">
        <f t="shared" ca="1" si="1"/>
        <v>2.0040965243551172</v>
      </c>
    </row>
    <row r="14" spans="1:14" s="539" customFormat="1" ht="12.75">
      <c r="A14" s="536">
        <f t="shared" si="0"/>
        <v>6</v>
      </c>
      <c r="B14" s="86" t="str">
        <f>Δαπάνες!$B$14</f>
        <v>Γ2</v>
      </c>
      <c r="C14" s="823"/>
      <c r="D14" s="535" t="str">
        <f>Δαπάνες!$D$14</f>
        <v>ΕΥΔΑΠ (Νερό) Κοινόχρηστων Χώρων</v>
      </c>
      <c r="E14" s="80">
        <f>IF(Δαπάνες!$F$14="","",Δαπάνες!$F$14)</f>
        <v>20</v>
      </c>
      <c r="F14" s="81">
        <f ca="1">IF(E14="","",IF($A$5="","",IF(INDIRECT(ADDRESS($B$5,13,3,,"Διαμερίσματα"))="","",VLOOKUP($A$5,Διαμερίσματα!$A$6:$N$27,Δαπάνες!E14))))</f>
        <v>33.401608739251955</v>
      </c>
      <c r="G14" s="82">
        <f t="shared" ca="1" si="1"/>
        <v>0.66803217478503918</v>
      </c>
    </row>
    <row r="15" spans="1:14" s="539" customFormat="1" ht="12.75">
      <c r="A15" s="536">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0</v>
      </c>
      <c r="G15" s="85">
        <f ca="1">IF(A5="","",IF(INDIRECT(ADDRESS(A4,16,3,,"Θέρμανση"))="","",VLOOKUP(A5,Θέρμανση!$A$5:$R$26,18)))</f>
        <v>0</v>
      </c>
    </row>
    <row r="16" spans="1:14" s="539" customFormat="1" ht="12.75">
      <c r="A16" s="536">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33.201665421159376</v>
      </c>
      <c r="G16" s="85">
        <f t="shared" ca="1" si="1"/>
        <v>2.3241165794811565</v>
      </c>
    </row>
    <row r="17" spans="1:14" s="539" customFormat="1" ht="12.75">
      <c r="A17" s="536">
        <f t="shared" si="0"/>
        <v>9</v>
      </c>
      <c r="B17" s="535" t="str">
        <f>Δαπάνες!$B$17</f>
        <v>Ε1</v>
      </c>
      <c r="C17" s="535" t="str">
        <f>Δαπάνες!$C$17</f>
        <v>Έξοδα Ιδιοκτητών</v>
      </c>
      <c r="D17" s="535" t="str">
        <f>Δαπάνες!$D$17</f>
        <v>Συντήρηση Πολυκατοικίας</v>
      </c>
      <c r="E17" s="80">
        <f>IF(Δαπάνες!$F$17="","",Δαπάνες!$F$17)</f>
        <v>100</v>
      </c>
      <c r="F17" s="81">
        <f ca="1">IF(E17="","",IF($A$5="","",IF(INDIRECT(ADDRESS($B$5,13,3,,"Διαμερίσματα"))="","",VLOOKUP($A$5,Διαμερίσματα!$A$6:$N$27,Δαπάνες!E17))))</f>
        <v>33.401608739251955</v>
      </c>
      <c r="G17" s="82">
        <f t="shared" ca="1" si="1"/>
        <v>3.3401608739251958</v>
      </c>
    </row>
    <row r="18" spans="1:14" s="539" customFormat="1" ht="12.75">
      <c r="A18" s="536">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33.401608739251955</v>
      </c>
      <c r="G18" s="85">
        <f t="shared" ca="1" si="1"/>
        <v>6.6803217478503916</v>
      </c>
    </row>
    <row r="19" spans="1:14" s="539" customFormat="1" ht="12.75">
      <c r="A19" s="536">
        <f t="shared" si="0"/>
        <v>11</v>
      </c>
      <c r="B19" s="79" t="str">
        <f>Δαπάνες!$B$19</f>
        <v>Η1</v>
      </c>
      <c r="C19" s="822" t="str">
        <f>Δαπάνες!$C$19</f>
        <v>Διαχείριση</v>
      </c>
      <c r="D19" s="535" t="str">
        <f>Δαπάνες!$D$19</f>
        <v>Αμοιβή Διαχειριστή</v>
      </c>
      <c r="E19" s="80">
        <f>IF(Δαπάνες!$F$19="","",Δαπάνες!$F$19)</f>
        <v>80</v>
      </c>
      <c r="F19" s="81">
        <f ca="1">IF(E19="","",IF($A$5="","",IF(INDIRECT(ADDRESS($B$5,13,3,,"Διαμερίσματα"))="","",VLOOKUP($A$5,Διαμερίσματα!$A$6:$N$27,Δαπάνες!E19))))</f>
        <v>33.401608739251955</v>
      </c>
      <c r="G19" s="82">
        <f t="shared" ca="1" si="1"/>
        <v>2.6721286991401567</v>
      </c>
    </row>
    <row r="20" spans="1:14" s="539" customFormat="1" ht="12.75">
      <c r="A20" s="536">
        <f t="shared" si="0"/>
        <v>12</v>
      </c>
      <c r="B20" s="79" t="str">
        <f>Δαπάνες!$B$20</f>
        <v>Η2</v>
      </c>
      <c r="C20" s="823"/>
      <c r="D20" s="535" t="str">
        <f>Δαπάνες!$D$20</f>
        <v>Έκδοση Κοινοχρήστων</v>
      </c>
      <c r="E20" s="80">
        <f>IF(Δαπάνες!$F$20="","",Δαπάνες!$F$20)</f>
        <v>20</v>
      </c>
      <c r="F20" s="81">
        <f>IF(E20="","",IF(Διαμερίσματα!C22="",1000/Διαμερίσματα!$D$28,Διαμερίσματα!$B$30*10/Διαμερίσματα!$D$28))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26.37122660956501</v>
      </c>
    </row>
    <row r="22" spans="1:14" s="39" customFormat="1" ht="18.95" customHeight="1">
      <c r="A22" s="830" t="str">
        <f>'1-2'!$A$22:$G$22</f>
        <v>Έγινε συντήρηση του καυστήρα.</v>
      </c>
      <c r="B22" s="831"/>
      <c r="C22" s="831"/>
      <c r="D22" s="831"/>
      <c r="E22" s="831"/>
      <c r="F22" s="831"/>
      <c r="G22" s="831"/>
    </row>
    <row r="23" spans="1:14" s="39" customFormat="1" ht="18.95" customHeight="1">
      <c r="A23" s="832" t="str">
        <f>'1-2'!$A$23:$G$23</f>
        <v>Η συντήρηση του Ανελκυστήρα, από 55€*12μήνες, έγινε 55€*8μήνες.</v>
      </c>
      <c r="B23" s="832"/>
      <c r="C23" s="832"/>
      <c r="D23" s="832"/>
      <c r="E23" s="832"/>
      <c r="F23" s="832"/>
      <c r="G23" s="832"/>
      <c r="I23" s="9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22</v>
      </c>
      <c r="B29" s="324"/>
      <c r="C29" s="77" t="s">
        <v>61</v>
      </c>
      <c r="D29" s="538" t="str">
        <f ca="1">IF(A30="","",IF(INDIRECT(ADDRESS(B30,6,3,,"Διαμερίσματα"))="","",VLOOKUP(A30,Διαμερίσματα!$A$6:$N$27,6)))</f>
        <v>Ιδιοκτήτης-18</v>
      </c>
      <c r="E29" s="538" t="s">
        <v>59</v>
      </c>
      <c r="F29" s="816" t="str">
        <f ca="1">IF(A30="","",IF(INDIRECT(ADDRESS(B30,7,3,,"Διαμερίσματα"))="","",VLOOKUP(A30,Διαμερίσματα!$A$6:$N$27,7)))</f>
        <v/>
      </c>
      <c r="G29" s="817"/>
    </row>
    <row r="30" spans="1:14" s="38" customFormat="1" ht="15.75">
      <c r="A30" s="75">
        <f>A5+1</f>
        <v>18</v>
      </c>
      <c r="B30" s="76">
        <f>5+A30</f>
        <v>23</v>
      </c>
      <c r="C30" s="325" t="s">
        <v>62</v>
      </c>
      <c r="D30" s="73" t="str">
        <f ca="1">IF(A30="","",IF(INDIRECT(ADDRESS(B30,9,3,,"Διαμερίσματα"))="","",VLOOKUP(A30,Διαμερίσματα!$A$6:$N$27,9)))</f>
        <v>Ιδιοκτήτης-18</v>
      </c>
      <c r="E30" s="537"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Δ3</v>
      </c>
      <c r="B31" s="827"/>
      <c r="C31" s="77" t="str">
        <f ca="1">IF(A30="","",IF(INDIRECT(ADDRESS(B30,3,3,,"Διαμερίσματα"))="","",VLOOKUP(A30,Διαμερίσματα!$A$6:$N$27,3)))</f>
        <v/>
      </c>
      <c r="D31" s="77" t="s">
        <v>86</v>
      </c>
      <c r="E31" s="538" t="str">
        <f ca="1">IF(A30="","",IF(INDIRECT(ADDRESS(B30,4,3,,"Διαμερίσματα"))="","",VLOOKUP(A30,Διαμερίσματα!$A$6:$N$27,4)))</f>
        <v>4ος</v>
      </c>
      <c r="F31" s="78">
        <f ca="1">IF(A30="","",IF(INDIRECT(ADDRESS(B30,5,3,,"Διαμερίσματα"))="","",VLOOKUP(A30,Διαμερίσματα!$A$6:$N$27,5)))</f>
        <v>60</v>
      </c>
      <c r="G31" s="326" t="s">
        <v>60</v>
      </c>
    </row>
    <row r="32" spans="1:14" s="28" customFormat="1" ht="12.75">
      <c r="A32" s="534" t="s">
        <v>24</v>
      </c>
      <c r="B32" s="534" t="s">
        <v>40</v>
      </c>
      <c r="C32" s="534" t="s">
        <v>30</v>
      </c>
      <c r="D32" s="534" t="s">
        <v>32</v>
      </c>
      <c r="E32" s="534" t="s">
        <v>58</v>
      </c>
      <c r="F32" s="534" t="s">
        <v>33</v>
      </c>
      <c r="G32" s="534" t="s">
        <v>56</v>
      </c>
    </row>
    <row r="33" spans="1:7" s="28" customFormat="1" ht="12.75">
      <c r="A33" s="534">
        <v>1</v>
      </c>
      <c r="B33" s="534">
        <v>2</v>
      </c>
      <c r="C33" s="534">
        <v>3</v>
      </c>
      <c r="D33" s="534">
        <v>4</v>
      </c>
      <c r="E33" s="534">
        <v>5</v>
      </c>
      <c r="F33" s="534">
        <v>6</v>
      </c>
      <c r="G33" s="534">
        <v>7</v>
      </c>
    </row>
    <row r="34" spans="1:7" s="539" customFormat="1" ht="12.75">
      <c r="A34" s="536">
        <f>IF(B34="","",1)</f>
        <v>1</v>
      </c>
      <c r="B34" s="79" t="str">
        <f>Δαπάνες!$B$9</f>
        <v>Α1</v>
      </c>
      <c r="C34" s="813" t="str">
        <f>Δαπάνες!$C$9</f>
        <v>Γενικά Κοινόχρηστα</v>
      </c>
      <c r="D34" s="535" t="str">
        <f>Δαπάνες!$D$9</f>
        <v>ΔΕΗ Κοινόχρηστων Χώρων</v>
      </c>
      <c r="E34" s="80">
        <f>IF(Δαπάνες!$F$9="","",Δαπάνες!$F$9)</f>
        <v>100</v>
      </c>
      <c r="F34" s="81">
        <f ca="1">IF(E34="","",IF($A$30="","",IF(INDIRECT(ADDRESS($B$30,14,3,,"Διαμερίσματα"))="","",VLOOKUP($A$30,Διαμερίσματα!$A$6:$N$27,Δαπάνες!E9))))</f>
        <v>33.61496938274766</v>
      </c>
      <c r="G34" s="82">
        <f ca="1">IF(E34="","",E34*F34/1000)</f>
        <v>3.3614969382747657</v>
      </c>
    </row>
    <row r="35" spans="1:7" s="539" customFormat="1" ht="12.75">
      <c r="A35" s="536">
        <f>IF(B35="","",A34+1)</f>
        <v>2</v>
      </c>
      <c r="B35" s="79" t="str">
        <f>Δαπάνες!$B$10</f>
        <v>Α2</v>
      </c>
      <c r="C35" s="814"/>
      <c r="D35" s="535" t="str">
        <f>Δαπάνες!$D$10</f>
        <v>Καθαρισμός Κοινόχρηστων Χώρων</v>
      </c>
      <c r="E35" s="80">
        <f>IF(Δαπάνες!$F$10="","",Δαπάνες!$F$10)</f>
        <v>70</v>
      </c>
      <c r="F35" s="81">
        <f ca="1">IF(E35="","",IF($A$30="","",IF(INDIRECT(ADDRESS($B$30,14,3,,"Διαμερίσματα"))="","",VLOOKUP($A$30,Διαμερίσματα!$A$6:$N$27,Δαπάνες!E10))))</f>
        <v>33.61496938274766</v>
      </c>
      <c r="G35" s="82">
        <f ca="1">IF(E35="","",E35*F35/1000)</f>
        <v>2.3530478567923359</v>
      </c>
    </row>
    <row r="36" spans="1:7" s="539" customFormat="1" ht="12.75">
      <c r="A36" s="536">
        <f t="shared" ref="A36:A45" si="2">IF(B36="","",A35+1)</f>
        <v>3</v>
      </c>
      <c r="B36" s="79" t="str">
        <f>Δαπάνες!$B$11</f>
        <v>Α3</v>
      </c>
      <c r="C36" s="815"/>
      <c r="D36" s="535" t="str">
        <f>Δαπάνες!$D$11</f>
        <v>Υλικά Αναλώσιμα (Λάμπες κλπ)</v>
      </c>
      <c r="E36" s="80">
        <f>IF(Δαπάνες!$F$11="","",Δαπάνες!$F$11)</f>
        <v>10</v>
      </c>
      <c r="F36" s="81">
        <f ca="1">IF(E36="","",IF($A$30="","",IF(INDIRECT(ADDRESS($B$30,14,3,,"Διαμερίσματα"))="","",VLOOKUP($A$30,Διαμερίσματα!$A$6:$N$27,Δαπάνες!E11))))</f>
        <v>33.61496938274766</v>
      </c>
      <c r="G36" s="82">
        <f t="shared" ref="G36:G39" ca="1" si="3">IF(E36="","",E36*F36/1000)</f>
        <v>0.33614969382747661</v>
      </c>
    </row>
    <row r="37" spans="1:7" s="539" customFormat="1" ht="12.75">
      <c r="A37" s="536">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33.61496938274766</v>
      </c>
      <c r="G37" s="85">
        <f t="shared" ca="1" si="3"/>
        <v>1.6807484691373829</v>
      </c>
    </row>
    <row r="38" spans="1:7" s="539" customFormat="1" ht="12.75">
      <c r="A38" s="536">
        <f t="shared" si="2"/>
        <v>5</v>
      </c>
      <c r="B38" s="86" t="str">
        <f>Δαπάνες!$B$13</f>
        <v>Γ1</v>
      </c>
      <c r="C38" s="822" t="str">
        <f>Δαπάνες!$C$13</f>
        <v>Έξοδα Κήπου</v>
      </c>
      <c r="D38" s="535" t="str">
        <f>Δαπάνες!$D$13</f>
        <v>Συντήρηση Κήπου</v>
      </c>
      <c r="E38" s="80">
        <f>IF(Δαπάνες!$F$13="","",Δαπάνες!$F$13)</f>
        <v>60</v>
      </c>
      <c r="F38" s="81">
        <f ca="1">IF(E38="","",IF($A$30="","",IF(INDIRECT(ADDRESS($B$30,13,3,,"Διαμερίσματα"))="","",VLOOKUP($A$30,Διαμερίσματα!$A$6:$N$27,Δαπάνες!E13))))</f>
        <v>33.61496938274766</v>
      </c>
      <c r="G38" s="82">
        <f t="shared" ca="1" si="3"/>
        <v>2.0168981629648597</v>
      </c>
    </row>
    <row r="39" spans="1:7" s="539" customFormat="1" ht="12.75">
      <c r="A39" s="536">
        <f t="shared" si="2"/>
        <v>6</v>
      </c>
      <c r="B39" s="86" t="str">
        <f>Δαπάνες!$B$14</f>
        <v>Γ2</v>
      </c>
      <c r="C39" s="823"/>
      <c r="D39" s="535" t="str">
        <f>Δαπάνες!$D$14</f>
        <v>ΕΥΔΑΠ (Νερό) Κοινόχρηστων Χώρων</v>
      </c>
      <c r="E39" s="80">
        <f>IF(Δαπάνες!$F$14="","",Δαπάνες!$F$14)</f>
        <v>20</v>
      </c>
      <c r="F39" s="81">
        <f ca="1">IF(E39="","",IF($A$30="","",IF(INDIRECT(ADDRESS($B$30,13,3,,"Διαμερίσματα"))="","",VLOOKUP($A$30,Διαμερίσματα!$A$6:$N$27,Δαπάνες!E14))))</f>
        <v>33.61496938274766</v>
      </c>
      <c r="G39" s="82">
        <f t="shared" ca="1" si="3"/>
        <v>0.67229938765495323</v>
      </c>
    </row>
    <row r="40" spans="1:7" s="539" customFormat="1" ht="12.75">
      <c r="A40" s="536">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0</v>
      </c>
      <c r="G40" s="85">
        <f ca="1">IF(A30="","",IF(INDIRECT(ADDRESS(A29,16,3,,"Θέρμανση"))="","",VLOOKUP(A30,Θέρμανση!$A$5:$R$26,18)))</f>
        <v>0</v>
      </c>
    </row>
    <row r="41" spans="1:7" s="539" customFormat="1" ht="12.75">
      <c r="A41" s="536">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33.201665421159376</v>
      </c>
      <c r="G41" s="85">
        <f t="shared" ref="G41:G45" ca="1" si="4">IF(E41="","",E41*F41/1000)</f>
        <v>2.3241165794811565</v>
      </c>
    </row>
    <row r="42" spans="1:7" s="539" customFormat="1" ht="12.75">
      <c r="A42" s="536">
        <f t="shared" si="2"/>
        <v>9</v>
      </c>
      <c r="B42" s="535" t="str">
        <f>Δαπάνες!$B$17</f>
        <v>Ε1</v>
      </c>
      <c r="C42" s="535" t="str">
        <f>Δαπάνες!$C$17</f>
        <v>Έξοδα Ιδιοκτητών</v>
      </c>
      <c r="D42" s="535" t="str">
        <f>Δαπάνες!$D$17</f>
        <v>Συντήρηση Πολυκατοικίας</v>
      </c>
      <c r="E42" s="80">
        <f>IF(Δαπάνες!$F$17="","",Δαπάνες!$F$17)</f>
        <v>100</v>
      </c>
      <c r="F42" s="81">
        <f ca="1">IF(E42="","",IF($A$30="","",IF(INDIRECT(ADDRESS($B$30,13,3,,"Διαμερίσματα"))="","",VLOOKUP($A$30,Διαμερίσματα!$A$6:$N$27,Δαπάνες!E17))))</f>
        <v>33.61496938274766</v>
      </c>
      <c r="G42" s="82">
        <f t="shared" ca="1" si="4"/>
        <v>3.3614969382747657</v>
      </c>
    </row>
    <row r="43" spans="1:7" s="539" customFormat="1" ht="12.75">
      <c r="A43" s="536">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33.61496938274766</v>
      </c>
      <c r="G43" s="85">
        <f t="shared" ca="1" si="4"/>
        <v>6.7229938765495314</v>
      </c>
    </row>
    <row r="44" spans="1:7" s="539" customFormat="1" ht="12.75">
      <c r="A44" s="536">
        <f t="shared" si="2"/>
        <v>11</v>
      </c>
      <c r="B44" s="79" t="str">
        <f>Δαπάνες!$B$19</f>
        <v>Η1</v>
      </c>
      <c r="C44" s="822" t="str">
        <f>Δαπάνες!$C$19</f>
        <v>Διαχείριση</v>
      </c>
      <c r="D44" s="535" t="str">
        <f>Δαπάνες!$D$19</f>
        <v>Αμοιβή Διαχειριστή</v>
      </c>
      <c r="E44" s="80">
        <f>IF(Δαπάνες!$F$19="","",Δαπάνες!$F$19)</f>
        <v>80</v>
      </c>
      <c r="F44" s="81">
        <f ca="1">IF(E44="","",IF($A$30="","",IF(INDIRECT(ADDRESS($B$30,13,3,,"Διαμερίσματα"))="","",VLOOKUP($A$30,Διαμερίσματα!$A$6:$N$27,Δαπάνες!E19))))</f>
        <v>33.61496938274766</v>
      </c>
      <c r="G44" s="82">
        <f t="shared" ca="1" si="4"/>
        <v>2.6891975506198129</v>
      </c>
    </row>
    <row r="45" spans="1:7" s="539" customFormat="1" ht="12.75">
      <c r="A45" s="536">
        <f t="shared" si="2"/>
        <v>12</v>
      </c>
      <c r="B45" s="79" t="str">
        <f>Δαπάνες!$B$20</f>
        <v>Η2</v>
      </c>
      <c r="C45" s="823"/>
      <c r="D45" s="535" t="str">
        <f>Δαπάνες!$D$20</f>
        <v>Έκδοση Κοινοχρήστων</v>
      </c>
      <c r="E45" s="80">
        <f>IF(Δαπάνες!$F$20="","",Δαπάνες!$F$20)</f>
        <v>20</v>
      </c>
      <c r="F45" s="81">
        <f>IF(E45="","",IF(Διαμερίσματα!C23="",1000/Διαμερίσματα!$D$28,Διαμερίσματα!$B$30*10/Διαμερίσματα!$D$28))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26.518445453577037</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1" spans="4:4">
      <c r="D51" s="91"/>
    </row>
  </sheetData>
  <sheetProtection password="E4A3" sheet="1" objects="1" scenarios="1" selectLockedCells="1"/>
  <mergeCells count="34">
    <mergeCell ref="C44:C45"/>
    <mergeCell ref="A46:D46"/>
    <mergeCell ref="A47:G47"/>
    <mergeCell ref="A48:G48"/>
    <mergeCell ref="F29:G29"/>
    <mergeCell ref="F30:G30"/>
    <mergeCell ref="A31:B31"/>
    <mergeCell ref="C34:C36"/>
    <mergeCell ref="C38:C39"/>
    <mergeCell ref="C40:C41"/>
    <mergeCell ref="D26:E26"/>
    <mergeCell ref="F26:G26"/>
    <mergeCell ref="A27:B27"/>
    <mergeCell ref="E27:G27"/>
    <mergeCell ref="A28:C28"/>
    <mergeCell ref="E28:G28"/>
    <mergeCell ref="E25:G25"/>
    <mergeCell ref="F4:G4"/>
    <mergeCell ref="F5:G5"/>
    <mergeCell ref="A6:B6"/>
    <mergeCell ref="C9:C11"/>
    <mergeCell ref="C13:C14"/>
    <mergeCell ref="C15:C16"/>
    <mergeCell ref="C19:C20"/>
    <mergeCell ref="A21:D21"/>
    <mergeCell ref="A22:G22"/>
    <mergeCell ref="A23:G23"/>
    <mergeCell ref="A24:G24"/>
    <mergeCell ref="D1:E1"/>
    <mergeCell ref="F1:G1"/>
    <mergeCell ref="A2:B2"/>
    <mergeCell ref="E2:G2"/>
    <mergeCell ref="A3:C3"/>
    <mergeCell ref="E3:G3"/>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drawing r:id="rId4"/>
</worksheet>
</file>

<file path=xl/worksheets/sheet19.xml><?xml version="1.0" encoding="utf-8"?>
<worksheet xmlns="http://schemas.openxmlformats.org/spreadsheetml/2006/main" xmlns:r="http://schemas.openxmlformats.org/officeDocument/2006/relationships">
  <sheetPr>
    <tabColor rgb="FF0070C0"/>
  </sheetPr>
  <dimension ref="A1:N51"/>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9" width="9.140625" style="9"/>
    <col min="10" max="10" width="9.140625" style="9" customWidth="1"/>
    <col min="11"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23</v>
      </c>
      <c r="B4" s="324"/>
      <c r="C4" s="77" t="s">
        <v>61</v>
      </c>
      <c r="D4" s="538" t="str">
        <f ca="1">IF(A5="","",IF(INDIRECT(ADDRESS(B5,6,3,,"Διαμερίσματα"))="","",VLOOKUP(A5,Διαμερίσματα!$A$6:$N$27,6)))</f>
        <v>Ιδιοκτήτης-19</v>
      </c>
      <c r="E4" s="538" t="s">
        <v>59</v>
      </c>
      <c r="F4" s="816" t="str">
        <f ca="1">IF(A5="","",IF(INDIRECT(ADDRESS(B5,7,3,,"Διαμερίσματα"))="","",VLOOKUP(A5,Διαμερίσματα!$A$6:$N$27,7)))</f>
        <v/>
      </c>
      <c r="G4" s="817"/>
    </row>
    <row r="5" spans="1:14" s="38" customFormat="1" ht="15.75">
      <c r="A5" s="75">
        <f>Διαμερίσματα!$A$24</f>
        <v>19</v>
      </c>
      <c r="B5" s="76">
        <f>5+A5</f>
        <v>24</v>
      </c>
      <c r="C5" s="325" t="s">
        <v>62</v>
      </c>
      <c r="D5" s="73" t="str">
        <f ca="1">IF(A5="","",IF(INDIRECT(ADDRESS(B5,9,3,,"Διαμερίσματα"))="","",VLOOKUP(A5,Διαμερίσματα!$A$6:$N$27,9)))</f>
        <v>Ιδιοκτήτης-19</v>
      </c>
      <c r="E5" s="537"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Δ4</v>
      </c>
      <c r="B6" s="827"/>
      <c r="C6" s="77" t="str">
        <f ca="1">IF(A5="","",IF(INDIRECT(ADDRESS(B5,3,3,,"Διαμερίσματα"))="","",VLOOKUP(A5,Διαμερίσματα!$A$6:$N$27,3)))</f>
        <v/>
      </c>
      <c r="D6" s="77" t="s">
        <v>86</v>
      </c>
      <c r="E6" s="538" t="str">
        <f ca="1">IF(A5="","",IF(INDIRECT(ADDRESS(B5,4,3,,"Διαμερίσματα"))="","",VLOOKUP(A5,Διαμερίσματα!$A$6:$N$27,4)))</f>
        <v>4ος</v>
      </c>
      <c r="F6" s="78">
        <f ca="1">IF(A5="","",IF(INDIRECT(ADDRESS(B5,5,3,,"Διαμερίσματα"))="","",VLOOKUP(A5,Διαμερίσματα!$A$6:$N$27,5)))</f>
        <v>50</v>
      </c>
      <c r="G6" s="326" t="s">
        <v>60</v>
      </c>
    </row>
    <row r="7" spans="1:14" s="28" customFormat="1" ht="12.75">
      <c r="A7" s="534" t="s">
        <v>24</v>
      </c>
      <c r="B7" s="534" t="s">
        <v>40</v>
      </c>
      <c r="C7" s="534" t="s">
        <v>30</v>
      </c>
      <c r="D7" s="534" t="s">
        <v>32</v>
      </c>
      <c r="E7" s="534" t="s">
        <v>58</v>
      </c>
      <c r="F7" s="534" t="s">
        <v>33</v>
      </c>
      <c r="G7" s="534" t="s">
        <v>56</v>
      </c>
    </row>
    <row r="8" spans="1:14" s="28" customFormat="1" ht="12.75">
      <c r="A8" s="534">
        <v>1</v>
      </c>
      <c r="B8" s="534">
        <v>2</v>
      </c>
      <c r="C8" s="534">
        <v>3</v>
      </c>
      <c r="D8" s="534">
        <v>4</v>
      </c>
      <c r="E8" s="534">
        <v>5</v>
      </c>
      <c r="F8" s="534">
        <v>6</v>
      </c>
      <c r="G8" s="534">
        <v>7</v>
      </c>
    </row>
    <row r="9" spans="1:14" s="539" customFormat="1" ht="12.75">
      <c r="A9" s="536">
        <f>IF(B9="","",1)</f>
        <v>1</v>
      </c>
      <c r="B9" s="79" t="str">
        <f>Δαπάνες!$B$9</f>
        <v>Α1</v>
      </c>
      <c r="C9" s="813" t="str">
        <f>Δαπάνες!$C$9</f>
        <v>Γενικά Κοινόχρηστα</v>
      </c>
      <c r="D9" s="535" t="str">
        <f>Δαπάνες!$D$9</f>
        <v>ΔΕΗ Κοινόχρηστων Χώρων</v>
      </c>
      <c r="E9" s="80">
        <f>IF(Δαπάνες!$F$9="","",Δαπάνες!$F$9)</f>
        <v>100</v>
      </c>
      <c r="F9" s="81">
        <f ca="1">IF(E9="","",IF($A$5="","",IF(INDIRECT(ADDRESS($B$5,14,3,,"Διαμερίσματα"))="","",VLOOKUP($A$5,Διαμερίσματα!$A$6:$N$27,Δαπάνες!E9))))</f>
        <v>33.401608739251955</v>
      </c>
      <c r="G9" s="82">
        <f ca="1">IF(E9="","",E9*F9/1000)</f>
        <v>3.3401608739251958</v>
      </c>
    </row>
    <row r="10" spans="1:14" s="539" customFormat="1" ht="12.75">
      <c r="A10" s="536">
        <f>IF(B10="","",A9+1)</f>
        <v>2</v>
      </c>
      <c r="B10" s="79" t="str">
        <f>Δαπάνες!$B$10</f>
        <v>Α2</v>
      </c>
      <c r="C10" s="814"/>
      <c r="D10" s="535" t="str">
        <f>Δαπάνες!$D$10</f>
        <v>Καθαρισμός Κοινόχρηστων Χώρων</v>
      </c>
      <c r="E10" s="80">
        <f>IF(Δαπάνες!$F$10="","",Δαπάνες!$F$10)</f>
        <v>70</v>
      </c>
      <c r="F10" s="81">
        <f ca="1">IF(E10="","",IF($A$5="","",IF(INDIRECT(ADDRESS($B$5,14,3,,"Διαμερίσματα"))="","",VLOOKUP($A$5,Διαμερίσματα!$A$6:$N$27,Δαπάνες!E10))))</f>
        <v>33.401608739251955</v>
      </c>
      <c r="G10" s="82">
        <f ca="1">IF(E10="","",E10*F10/1000)</f>
        <v>2.3381126117476367</v>
      </c>
    </row>
    <row r="11" spans="1:14" s="539" customFormat="1" ht="12.75">
      <c r="A11" s="536">
        <f t="shared" ref="A11:A20" si="0">IF(B11="","",A10+1)</f>
        <v>3</v>
      </c>
      <c r="B11" s="79" t="str">
        <f>Δαπάνες!$B$11</f>
        <v>Α3</v>
      </c>
      <c r="C11" s="815"/>
      <c r="D11" s="535" t="str">
        <f>Δαπάνες!$D$11</f>
        <v>Υλικά Αναλώσιμα (Λάμπες κλπ)</v>
      </c>
      <c r="E11" s="80">
        <f>IF(Δαπάνες!$F$11="","",Δαπάνες!$F$11)</f>
        <v>10</v>
      </c>
      <c r="F11" s="81">
        <f ca="1">IF(E11="","",IF($A$5="","",IF(INDIRECT(ADDRESS($B$5,14,3,,"Διαμερίσματα"))="","",VLOOKUP($A$5,Διαμερίσματα!$A$6:$N$27,Δαπάνες!E11))))</f>
        <v>33.401608739251955</v>
      </c>
      <c r="G11" s="82">
        <f t="shared" ref="G11:G20" ca="1" si="1">IF(E11="","",E11*F11/1000)</f>
        <v>0.33401608739251959</v>
      </c>
    </row>
    <row r="12" spans="1:14" s="539" customFormat="1" ht="12.75">
      <c r="A12" s="536">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33.401608739251955</v>
      </c>
      <c r="G12" s="85">
        <f t="shared" ca="1" si="1"/>
        <v>1.6700804369625979</v>
      </c>
    </row>
    <row r="13" spans="1:14" s="539" customFormat="1" ht="12.75">
      <c r="A13" s="536">
        <f t="shared" si="0"/>
        <v>5</v>
      </c>
      <c r="B13" s="86" t="str">
        <f>Δαπάνες!$B$13</f>
        <v>Γ1</v>
      </c>
      <c r="C13" s="822" t="str">
        <f>Δαπάνες!$C$13</f>
        <v>Έξοδα Κήπου</v>
      </c>
      <c r="D13" s="535" t="str">
        <f>Δαπάνες!$D$13</f>
        <v>Συντήρηση Κήπου</v>
      </c>
      <c r="E13" s="80">
        <f>IF(Δαπάνες!$F$13="","",Δαπάνες!$F$13)</f>
        <v>60</v>
      </c>
      <c r="F13" s="81">
        <f ca="1">IF(E13="","",IF($A$5="","",IF(INDIRECT(ADDRESS($B$5,13,3,,"Διαμερίσματα"))="","",VLOOKUP($A$5,Διαμερίσματα!$A$6:$N$27,Δαπάνες!E13))))</f>
        <v>33.401608739251955</v>
      </c>
      <c r="G13" s="82">
        <f t="shared" ca="1" si="1"/>
        <v>2.0040965243551172</v>
      </c>
    </row>
    <row r="14" spans="1:14" s="539" customFormat="1" ht="12.75">
      <c r="A14" s="536">
        <f t="shared" si="0"/>
        <v>6</v>
      </c>
      <c r="B14" s="86" t="str">
        <f>Δαπάνες!$B$14</f>
        <v>Γ2</v>
      </c>
      <c r="C14" s="823"/>
      <c r="D14" s="535" t="str">
        <f>Δαπάνες!$D$14</f>
        <v>ΕΥΔΑΠ (Νερό) Κοινόχρηστων Χώρων</v>
      </c>
      <c r="E14" s="80">
        <f>IF(Δαπάνες!$F$14="","",Δαπάνες!$F$14)</f>
        <v>20</v>
      </c>
      <c r="F14" s="81">
        <f ca="1">IF(E14="","",IF($A$5="","",IF(INDIRECT(ADDRESS($B$5,13,3,,"Διαμερίσματα"))="","",VLOOKUP($A$5,Διαμερίσματα!$A$6:$N$27,Δαπάνες!E14))))</f>
        <v>33.401608739251955</v>
      </c>
      <c r="G14" s="82">
        <f t="shared" ca="1" si="1"/>
        <v>0.66803217478503918</v>
      </c>
    </row>
    <row r="15" spans="1:14" s="539" customFormat="1" ht="12.75">
      <c r="A15" s="536">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0</v>
      </c>
      <c r="G15" s="85">
        <f ca="1">IF(A5="","",IF(INDIRECT(ADDRESS(A4,16,3,,"Θέρμανση"))="","",VLOOKUP(A5,Θέρμανση!$A$5:$R$26,18)))</f>
        <v>0</v>
      </c>
    </row>
    <row r="16" spans="1:14" s="539" customFormat="1" ht="12.75">
      <c r="A16" s="536">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33.201665421159376</v>
      </c>
      <c r="G16" s="85">
        <f t="shared" ca="1" si="1"/>
        <v>2.3241165794811565</v>
      </c>
    </row>
    <row r="17" spans="1:14" s="539" customFormat="1" ht="12.75">
      <c r="A17" s="536">
        <f t="shared" si="0"/>
        <v>9</v>
      </c>
      <c r="B17" s="535" t="str">
        <f>Δαπάνες!$B$17</f>
        <v>Ε1</v>
      </c>
      <c r="C17" s="535" t="str">
        <f>Δαπάνες!$C$17</f>
        <v>Έξοδα Ιδιοκτητών</v>
      </c>
      <c r="D17" s="535" t="str">
        <f>Δαπάνες!$D$17</f>
        <v>Συντήρηση Πολυκατοικίας</v>
      </c>
      <c r="E17" s="80">
        <f>IF(Δαπάνες!$F$17="","",Δαπάνες!$F$17)</f>
        <v>100</v>
      </c>
      <c r="F17" s="81">
        <f ca="1">IF(E17="","",IF($A$5="","",IF(INDIRECT(ADDRESS($B$5,13,3,,"Διαμερίσματα"))="","",VLOOKUP($A$5,Διαμερίσματα!$A$6:$N$27,Δαπάνες!E17))))</f>
        <v>33.401608739251955</v>
      </c>
      <c r="G17" s="82">
        <f t="shared" ca="1" si="1"/>
        <v>3.3401608739251958</v>
      </c>
    </row>
    <row r="18" spans="1:14" s="539" customFormat="1" ht="12.75">
      <c r="A18" s="536">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33.401608739251955</v>
      </c>
      <c r="G18" s="85">
        <f t="shared" ca="1" si="1"/>
        <v>6.6803217478503916</v>
      </c>
    </row>
    <row r="19" spans="1:14" s="539" customFormat="1" ht="12.75">
      <c r="A19" s="536">
        <f t="shared" si="0"/>
        <v>11</v>
      </c>
      <c r="B19" s="79" t="str">
        <f>Δαπάνες!$B$19</f>
        <v>Η1</v>
      </c>
      <c r="C19" s="822" t="str">
        <f>Δαπάνες!$C$19</f>
        <v>Διαχείριση</v>
      </c>
      <c r="D19" s="535" t="str">
        <f>Δαπάνες!$D$19</f>
        <v>Αμοιβή Διαχειριστή</v>
      </c>
      <c r="E19" s="80">
        <f>IF(Δαπάνες!$F$19="","",Δαπάνες!$F$19)</f>
        <v>80</v>
      </c>
      <c r="F19" s="81">
        <f ca="1">IF(E19="","",IF($A$5="","",IF(INDIRECT(ADDRESS($B$5,13,3,,"Διαμερίσματα"))="","",VLOOKUP($A$5,Διαμερίσματα!$A$6:$N$27,Δαπάνες!E19))))</f>
        <v>33.401608739251955</v>
      </c>
      <c r="G19" s="82">
        <f t="shared" ca="1" si="1"/>
        <v>2.6721286991401567</v>
      </c>
    </row>
    <row r="20" spans="1:14" s="539" customFormat="1" ht="12.75">
      <c r="A20" s="536">
        <f t="shared" si="0"/>
        <v>12</v>
      </c>
      <c r="B20" s="79" t="str">
        <f>Δαπάνες!$B$20</f>
        <v>Η2</v>
      </c>
      <c r="C20" s="823"/>
      <c r="D20" s="535" t="str">
        <f>Δαπάνες!$D$20</f>
        <v>Έκδοση Κοινοχρήστων</v>
      </c>
      <c r="E20" s="80">
        <f>IF(Δαπάνες!$F$20="","",Δαπάνες!$F$20)</f>
        <v>20</v>
      </c>
      <c r="F20" s="81">
        <f>IF(E20="","",IF(Διαμερίσματα!C24="",1000/Διαμερίσματα!$D$28,Διαμερίσματα!$B$30*10/Διαμερίσματα!$D$28))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26.37122660956501</v>
      </c>
    </row>
    <row r="22" spans="1:14" s="39" customFormat="1" ht="18.95" customHeight="1">
      <c r="A22" s="830" t="str">
        <f>'1-2'!$A$22:$G$22</f>
        <v>Έγινε συντήρηση του καυστήρα.</v>
      </c>
      <c r="B22" s="831"/>
      <c r="C22" s="831"/>
      <c r="D22" s="831"/>
      <c r="E22" s="831"/>
      <c r="F22" s="831"/>
      <c r="G22" s="831"/>
    </row>
    <row r="23" spans="1:14" s="39" customFormat="1" ht="18.95" customHeight="1">
      <c r="A23" s="832" t="str">
        <f>'1-2'!$A$23:$G$23</f>
        <v>Η συντήρηση του Ανελκυστήρα, από 55€*12μήνες, έγινε 55€*8μήνες.</v>
      </c>
      <c r="B23" s="832"/>
      <c r="C23" s="832"/>
      <c r="D23" s="832"/>
      <c r="E23" s="832"/>
      <c r="F23" s="832"/>
      <c r="G23" s="832"/>
      <c r="I23" s="9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24</v>
      </c>
      <c r="B29" s="324"/>
      <c r="C29" s="77" t="s">
        <v>61</v>
      </c>
      <c r="D29" s="538" t="str">
        <f ca="1">IF(A30="","",IF(INDIRECT(ADDRESS(B30,6,3,,"Διαμερίσματα"))="","",VLOOKUP(A30,Διαμερίσματα!$A$6:$N$27,6)))</f>
        <v>Ιδιοκτήτης-20</v>
      </c>
      <c r="E29" s="538" t="s">
        <v>59</v>
      </c>
      <c r="F29" s="816" t="str">
        <f ca="1">IF(A30="","",IF(INDIRECT(ADDRESS(B30,7,3,,"Διαμερίσματα"))="","",VLOOKUP(A30,Διαμερίσματα!$A$6:$N$27,7)))</f>
        <v/>
      </c>
      <c r="G29" s="817"/>
    </row>
    <row r="30" spans="1:14" s="38" customFormat="1" ht="15.75">
      <c r="A30" s="75">
        <f>A5+1</f>
        <v>20</v>
      </c>
      <c r="B30" s="76">
        <f>5+A30</f>
        <v>25</v>
      </c>
      <c r="C30" s="325" t="s">
        <v>62</v>
      </c>
      <c r="D30" s="73" t="str">
        <f ca="1">IF(A30="","",IF(INDIRECT(ADDRESS(B30,9,3,,"Διαμερίσματα"))="","",VLOOKUP(A30,Διαμερίσματα!$A$6:$N$27,9)))</f>
        <v>Ιδιοκτήτης-20</v>
      </c>
      <c r="E30" s="537"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Ε1</v>
      </c>
      <c r="B31" s="827"/>
      <c r="C31" s="77" t="str">
        <f ca="1">IF(A30="","",IF(INDIRECT(ADDRESS(B30,3,3,,"Διαμερίσματα"))="","",VLOOKUP(A30,Διαμερίσματα!$A$6:$N$27,3)))</f>
        <v/>
      </c>
      <c r="D31" s="77" t="s">
        <v>86</v>
      </c>
      <c r="E31" s="538" t="str">
        <f ca="1">IF(A30="","",IF(INDIRECT(ADDRESS(B30,4,3,,"Διαμερίσματα"))="","",VLOOKUP(A30,Διαμερίσματα!$A$6:$N$27,4)))</f>
        <v>5ος</v>
      </c>
      <c r="F31" s="78">
        <f ca="1">IF(A30="","",IF(INDIRECT(ADDRESS(B30,5,3,,"Διαμερίσματα"))="","",VLOOKUP(A30,Διαμερίσματα!$A$6:$N$27,5)))</f>
        <v>60</v>
      </c>
      <c r="G31" s="326" t="s">
        <v>60</v>
      </c>
    </row>
    <row r="32" spans="1:14" s="28" customFormat="1" ht="12.75">
      <c r="A32" s="534" t="s">
        <v>24</v>
      </c>
      <c r="B32" s="534" t="s">
        <v>40</v>
      </c>
      <c r="C32" s="534" t="s">
        <v>30</v>
      </c>
      <c r="D32" s="534" t="s">
        <v>32</v>
      </c>
      <c r="E32" s="534" t="s">
        <v>58</v>
      </c>
      <c r="F32" s="534" t="s">
        <v>33</v>
      </c>
      <c r="G32" s="534" t="s">
        <v>56</v>
      </c>
    </row>
    <row r="33" spans="1:7" s="28" customFormat="1" ht="12.75">
      <c r="A33" s="534">
        <v>1</v>
      </c>
      <c r="B33" s="534">
        <v>2</v>
      </c>
      <c r="C33" s="534">
        <v>3</v>
      </c>
      <c r="D33" s="534">
        <v>4</v>
      </c>
      <c r="E33" s="534">
        <v>5</v>
      </c>
      <c r="F33" s="534">
        <v>6</v>
      </c>
      <c r="G33" s="534">
        <v>7</v>
      </c>
    </row>
    <row r="34" spans="1:7" s="539" customFormat="1" ht="12.75">
      <c r="A34" s="536">
        <f>IF(B34="","",1)</f>
        <v>1</v>
      </c>
      <c r="B34" s="79" t="str">
        <f>Δαπάνες!$B$9</f>
        <v>Α1</v>
      </c>
      <c r="C34" s="813" t="str">
        <f>Δαπάνες!$C$9</f>
        <v>Γενικά Κοινόχρηστα</v>
      </c>
      <c r="D34" s="535" t="str">
        <f>Δαπάνες!$D$9</f>
        <v>ΔΕΗ Κοινόχρηστων Χώρων</v>
      </c>
      <c r="E34" s="80">
        <f>IF(Δαπάνες!$F$9="","",Δαπάνες!$F$9)</f>
        <v>100</v>
      </c>
      <c r="F34" s="81">
        <f ca="1">IF(E34="","",IF($A$30="","",IF(INDIRECT(ADDRESS($B$30,14,3,,"Διαμερίσματα"))="","",VLOOKUP($A$30,Διαμερίσματα!$A$6:$N$27,Δαπάνες!E9))))</f>
        <v>33.401608739251955</v>
      </c>
      <c r="G34" s="82">
        <f ca="1">IF(E34="","",E34*F34/1000)</f>
        <v>3.3401608739251958</v>
      </c>
    </row>
    <row r="35" spans="1:7" s="539" customFormat="1" ht="12.75">
      <c r="A35" s="536">
        <f>IF(B35="","",A34+1)</f>
        <v>2</v>
      </c>
      <c r="B35" s="79" t="str">
        <f>Δαπάνες!$B$10</f>
        <v>Α2</v>
      </c>
      <c r="C35" s="814"/>
      <c r="D35" s="535" t="str">
        <f>Δαπάνες!$D$10</f>
        <v>Καθαρισμός Κοινόχρηστων Χώρων</v>
      </c>
      <c r="E35" s="80">
        <f>IF(Δαπάνες!$F$10="","",Δαπάνες!$F$10)</f>
        <v>70</v>
      </c>
      <c r="F35" s="81">
        <f ca="1">IF(E35="","",IF($A$30="","",IF(INDIRECT(ADDRESS($B$30,14,3,,"Διαμερίσματα"))="","",VLOOKUP($A$30,Διαμερίσματα!$A$6:$N$27,Δαπάνες!E10))))</f>
        <v>33.401608739251955</v>
      </c>
      <c r="G35" s="82">
        <f ca="1">IF(E35="","",E35*F35/1000)</f>
        <v>2.3381126117476367</v>
      </c>
    </row>
    <row r="36" spans="1:7" s="539" customFormat="1" ht="12.75">
      <c r="A36" s="536">
        <f t="shared" ref="A36:A45" si="2">IF(B36="","",A35+1)</f>
        <v>3</v>
      </c>
      <c r="B36" s="79" t="str">
        <f>Δαπάνες!$B$11</f>
        <v>Α3</v>
      </c>
      <c r="C36" s="815"/>
      <c r="D36" s="535" t="str">
        <f>Δαπάνες!$D$11</f>
        <v>Υλικά Αναλώσιμα (Λάμπες κλπ)</v>
      </c>
      <c r="E36" s="80">
        <f>IF(Δαπάνες!$F$11="","",Δαπάνες!$F$11)</f>
        <v>10</v>
      </c>
      <c r="F36" s="81">
        <f ca="1">IF(E36="","",IF($A$30="","",IF(INDIRECT(ADDRESS($B$30,14,3,,"Διαμερίσματα"))="","",VLOOKUP($A$30,Διαμερίσματα!$A$6:$N$27,Δαπάνες!E11))))</f>
        <v>33.401608739251955</v>
      </c>
      <c r="G36" s="82">
        <f t="shared" ref="G36:G39" ca="1" si="3">IF(E36="","",E36*F36/1000)</f>
        <v>0.33401608739251959</v>
      </c>
    </row>
    <row r="37" spans="1:7" s="539" customFormat="1" ht="12.75">
      <c r="A37" s="536">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33.401608739251955</v>
      </c>
      <c r="G37" s="85">
        <f t="shared" ca="1" si="3"/>
        <v>1.6700804369625979</v>
      </c>
    </row>
    <row r="38" spans="1:7" s="539" customFormat="1" ht="12.75">
      <c r="A38" s="536">
        <f t="shared" si="2"/>
        <v>5</v>
      </c>
      <c r="B38" s="86" t="str">
        <f>Δαπάνες!$B$13</f>
        <v>Γ1</v>
      </c>
      <c r="C38" s="822" t="str">
        <f>Δαπάνες!$C$13</f>
        <v>Έξοδα Κήπου</v>
      </c>
      <c r="D38" s="535" t="str">
        <f>Δαπάνες!$D$13</f>
        <v>Συντήρηση Κήπου</v>
      </c>
      <c r="E38" s="80">
        <f>IF(Δαπάνες!$F$13="","",Δαπάνες!$F$13)</f>
        <v>60</v>
      </c>
      <c r="F38" s="81">
        <f ca="1">IF(E38="","",IF($A$30="","",IF(INDIRECT(ADDRESS($B$30,13,3,,"Διαμερίσματα"))="","",VLOOKUP($A$30,Διαμερίσματα!$A$6:$N$27,Δαπάνες!E13))))</f>
        <v>33.401608739251955</v>
      </c>
      <c r="G38" s="82">
        <f t="shared" ca="1" si="3"/>
        <v>2.0040965243551172</v>
      </c>
    </row>
    <row r="39" spans="1:7" s="539" customFormat="1" ht="12.75">
      <c r="A39" s="536">
        <f t="shared" si="2"/>
        <v>6</v>
      </c>
      <c r="B39" s="86" t="str">
        <f>Δαπάνες!$B$14</f>
        <v>Γ2</v>
      </c>
      <c r="C39" s="823"/>
      <c r="D39" s="535" t="str">
        <f>Δαπάνες!$D$14</f>
        <v>ΕΥΔΑΠ (Νερό) Κοινόχρηστων Χώρων</v>
      </c>
      <c r="E39" s="80">
        <f>IF(Δαπάνες!$F$14="","",Δαπάνες!$F$14)</f>
        <v>20</v>
      </c>
      <c r="F39" s="81">
        <f ca="1">IF(E39="","",IF($A$30="","",IF(INDIRECT(ADDRESS($B$30,13,3,,"Διαμερίσματα"))="","",VLOOKUP($A$30,Διαμερίσματα!$A$6:$N$27,Δαπάνες!E14))))</f>
        <v>33.401608739251955</v>
      </c>
      <c r="G39" s="82">
        <f t="shared" ca="1" si="3"/>
        <v>0.66803217478503918</v>
      </c>
    </row>
    <row r="40" spans="1:7" s="539" customFormat="1" ht="12.75">
      <c r="A40" s="536">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0</v>
      </c>
      <c r="G40" s="85">
        <f ca="1">IF(A30="","",IF(INDIRECT(ADDRESS(A29,16,3,,"Θέρμανση"))="","",VLOOKUP(A30,Θέρμανση!$A$5:$R$26,18)))</f>
        <v>0</v>
      </c>
    </row>
    <row r="41" spans="1:7" s="539" customFormat="1" ht="12.75">
      <c r="A41" s="536">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33.201665421159376</v>
      </c>
      <c r="G41" s="85">
        <f t="shared" ref="G41:G45" ca="1" si="4">IF(E41="","",E41*F41/1000)</f>
        <v>2.3241165794811565</v>
      </c>
    </row>
    <row r="42" spans="1:7" s="539" customFormat="1" ht="12.75">
      <c r="A42" s="536">
        <f t="shared" si="2"/>
        <v>9</v>
      </c>
      <c r="B42" s="535" t="str">
        <f>Δαπάνες!$B$17</f>
        <v>Ε1</v>
      </c>
      <c r="C42" s="535" t="str">
        <f>Δαπάνες!$C$17</f>
        <v>Έξοδα Ιδιοκτητών</v>
      </c>
      <c r="D42" s="535" t="str">
        <f>Δαπάνες!$D$17</f>
        <v>Συντήρηση Πολυκατοικίας</v>
      </c>
      <c r="E42" s="80">
        <f>IF(Δαπάνες!$F$17="","",Δαπάνες!$F$17)</f>
        <v>100</v>
      </c>
      <c r="F42" s="81">
        <f ca="1">IF(E42="","",IF($A$30="","",IF(INDIRECT(ADDRESS($B$30,13,3,,"Διαμερίσματα"))="","",VLOOKUP($A$30,Διαμερίσματα!$A$6:$N$27,Δαπάνες!E17))))</f>
        <v>33.401608739251955</v>
      </c>
      <c r="G42" s="82">
        <f t="shared" ca="1" si="4"/>
        <v>3.3401608739251958</v>
      </c>
    </row>
    <row r="43" spans="1:7" s="539" customFormat="1" ht="12.75">
      <c r="A43" s="536">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33.401608739251955</v>
      </c>
      <c r="G43" s="85">
        <f t="shared" ca="1" si="4"/>
        <v>6.6803217478503916</v>
      </c>
    </row>
    <row r="44" spans="1:7" s="539" customFormat="1" ht="12.75">
      <c r="A44" s="536">
        <f t="shared" si="2"/>
        <v>11</v>
      </c>
      <c r="B44" s="79" t="str">
        <f>Δαπάνες!$B$19</f>
        <v>Η1</v>
      </c>
      <c r="C44" s="822" t="str">
        <f>Δαπάνες!$C$19</f>
        <v>Διαχείριση</v>
      </c>
      <c r="D44" s="535" t="str">
        <f>Δαπάνες!$D$19</f>
        <v>Αμοιβή Διαχειριστή</v>
      </c>
      <c r="E44" s="80">
        <f>IF(Δαπάνες!$F$19="","",Δαπάνες!$F$19)</f>
        <v>80</v>
      </c>
      <c r="F44" s="81">
        <f ca="1">IF(E44="","",IF($A$30="","",IF(INDIRECT(ADDRESS($B$30,13,3,,"Διαμερίσματα"))="","",VLOOKUP($A$30,Διαμερίσματα!$A$6:$N$27,Δαπάνες!E19))))</f>
        <v>33.401608739251955</v>
      </c>
      <c r="G44" s="82">
        <f t="shared" ca="1" si="4"/>
        <v>2.6721286991401567</v>
      </c>
    </row>
    <row r="45" spans="1:7" s="539" customFormat="1" ht="12.75">
      <c r="A45" s="536">
        <f t="shared" si="2"/>
        <v>12</v>
      </c>
      <c r="B45" s="79" t="str">
        <f>Δαπάνες!$B$20</f>
        <v>Η2</v>
      </c>
      <c r="C45" s="823"/>
      <c r="D45" s="535" t="str">
        <f>Δαπάνες!$D$20</f>
        <v>Έκδοση Κοινοχρήστων</v>
      </c>
      <c r="E45" s="80">
        <f>IF(Δαπάνες!$F$20="","",Δαπάνες!$F$20)</f>
        <v>20</v>
      </c>
      <c r="F45" s="81">
        <f>IF(E45="","",IF(Διαμερίσματα!C25="",1000/Διαμερίσματα!$D$28,Διαμερίσματα!$B$30*10/Διαμερίσματα!$D$28))</f>
        <v>50</v>
      </c>
      <c r="G45" s="82">
        <f t="shared" si="4"/>
        <v>1</v>
      </c>
    </row>
    <row r="46" spans="1:7" s="29" customFormat="1" ht="15.75">
      <c r="A46" s="745" t="s">
        <v>454</v>
      </c>
      <c r="B46" s="745"/>
      <c r="C46" s="745"/>
      <c r="D46" s="745"/>
      <c r="E46" s="52">
        <f>SUM(E34:E45)</f>
        <v>1480</v>
      </c>
      <c r="F46" s="327"/>
      <c r="G46" s="234">
        <f ca="1">SUM(G34:G45)</f>
        <v>26.37122660956501</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1" spans="4:4">
      <c r="D51" s="91"/>
    </row>
  </sheetData>
  <sheetProtection password="E4A3" sheet="1" objects="1" scenarios="1" selectLockedCells="1"/>
  <mergeCells count="34">
    <mergeCell ref="C44:C45"/>
    <mergeCell ref="A46:D46"/>
    <mergeCell ref="A47:G47"/>
    <mergeCell ref="A48:G48"/>
    <mergeCell ref="F29:G29"/>
    <mergeCell ref="F30:G30"/>
    <mergeCell ref="A31:B31"/>
    <mergeCell ref="C34:C36"/>
    <mergeCell ref="C38:C39"/>
    <mergeCell ref="C40:C41"/>
    <mergeCell ref="D26:E26"/>
    <mergeCell ref="F26:G26"/>
    <mergeCell ref="A27:B27"/>
    <mergeCell ref="E27:G27"/>
    <mergeCell ref="A28:C28"/>
    <mergeCell ref="E28:G28"/>
    <mergeCell ref="E25:G25"/>
    <mergeCell ref="F4:G4"/>
    <mergeCell ref="F5:G5"/>
    <mergeCell ref="A6:B6"/>
    <mergeCell ref="C9:C11"/>
    <mergeCell ref="C13:C14"/>
    <mergeCell ref="C15:C16"/>
    <mergeCell ref="C19:C20"/>
    <mergeCell ref="A21:D21"/>
    <mergeCell ref="A22:G22"/>
    <mergeCell ref="A23:G23"/>
    <mergeCell ref="A24:G24"/>
    <mergeCell ref="D1:E1"/>
    <mergeCell ref="F1:G1"/>
    <mergeCell ref="A2:B2"/>
    <mergeCell ref="E2:G2"/>
    <mergeCell ref="A3:C3"/>
    <mergeCell ref="E3:G3"/>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drawing r:id="rId4"/>
</worksheet>
</file>

<file path=xl/worksheets/sheet20.xml><?xml version="1.0" encoding="utf-8"?>
<worksheet xmlns="http://schemas.openxmlformats.org/spreadsheetml/2006/main" xmlns:r="http://schemas.openxmlformats.org/officeDocument/2006/relationships">
  <sheetPr>
    <tabColor rgb="FF0070C0"/>
  </sheetPr>
  <dimension ref="A1:N51"/>
  <sheetViews>
    <sheetView zoomScaleNormal="100" workbookViewId="0">
      <selection activeCell="H4" sqref="H4"/>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7.85546875" style="9" bestFit="1" customWidth="1"/>
    <col min="7" max="7" width="13.5703125" style="9" bestFit="1" customWidth="1"/>
    <col min="8" max="9" width="9.140625" style="9"/>
    <col min="10" max="10" width="9.140625" style="9" customWidth="1"/>
    <col min="11" max="16384" width="9.140625" style="9"/>
  </cols>
  <sheetData>
    <row r="1" spans="1:14" s="14" customFormat="1" ht="62.25" customHeight="1">
      <c r="B1" s="15"/>
      <c r="C1" s="15"/>
      <c r="D1" s="807" t="str">
        <f>ΣΤΟΙΧΕΙΑ!$C$3</f>
        <v>Κ Ο Ι Ν Ο Χ Ρ Η Σ Τ Α :</v>
      </c>
      <c r="E1" s="807"/>
      <c r="F1" s="806">
        <f>ΣΤΟΙΧΕΙΑ!$C$11</f>
        <v>40878</v>
      </c>
      <c r="G1" s="806"/>
      <c r="H1" s="19"/>
      <c r="I1" s="19"/>
      <c r="J1" s="19"/>
      <c r="L1" s="20"/>
      <c r="M1" s="20"/>
      <c r="N1" s="20"/>
    </row>
    <row r="2" spans="1:14" s="16" customFormat="1" ht="15.75">
      <c r="A2" s="768"/>
      <c r="B2" s="769"/>
      <c r="C2" s="72" t="str">
        <f>ΣΤΟΙΧΕΙΑ!$C$2</f>
        <v>Πολυκατοικία :</v>
      </c>
      <c r="D2" s="73" t="str">
        <f>ΣΤΟΙΧΕΙΑ!$C$12</f>
        <v>Διευθύνση 123</v>
      </c>
      <c r="E2" s="789" t="str">
        <f>ΣΤΟΙΧΕΙΑ!$C$13</f>
        <v>Νεάπολη - ΑΤΤΙΚΗΣ.</v>
      </c>
      <c r="F2" s="789"/>
      <c r="G2" s="790"/>
    </row>
    <row r="3" spans="1:14" s="21" customFormat="1">
      <c r="A3" s="808" t="str">
        <f>ΣΤΟΙΧΕΙΑ!$C$7</f>
        <v>Επεξεργασία: Φ.Τσιρίδης, 6977-66.66.99</v>
      </c>
      <c r="B3" s="809"/>
      <c r="C3" s="810"/>
      <c r="D3" s="621">
        <f ca="1">IF(A5="","",IF(INDIRECT(ADDRESS(B5,9,3,,"Διαμερίσματα"))="","",(VLOOKUP(A5,Θέρμανση!$A$5:$H$26,8))*E15))</f>
        <v>0</v>
      </c>
      <c r="E3" s="811" t="str">
        <f>ΣΤΟΙΧΕΙΑ!$C$8</f>
        <v>Διαχειριστής: Φ.Διαχειριστίδης, 697-1234567</v>
      </c>
      <c r="F3" s="811"/>
      <c r="G3" s="812"/>
    </row>
    <row r="4" spans="1:14" s="38" customFormat="1" ht="15.75">
      <c r="A4" s="74">
        <f>4+A5</f>
        <v>25</v>
      </c>
      <c r="B4" s="324"/>
      <c r="C4" s="77" t="s">
        <v>61</v>
      </c>
      <c r="D4" s="538" t="str">
        <f ca="1">IF(A5="","",IF(INDIRECT(ADDRESS(B5,6,3,,"Διαμερίσματα"))="","",VLOOKUP(A5,Διαμερίσματα!$A$6:$N$27,6)))</f>
        <v>Ιδιοκτήτης-21</v>
      </c>
      <c r="E4" s="538" t="s">
        <v>59</v>
      </c>
      <c r="F4" s="816" t="str">
        <f ca="1">IF(A5="","",IF(INDIRECT(ADDRESS(B5,7,3,,"Διαμερίσματα"))="","",VLOOKUP(A5,Διαμερίσματα!$A$6:$N$27,7)))</f>
        <v/>
      </c>
      <c r="G4" s="817"/>
    </row>
    <row r="5" spans="1:14" s="38" customFormat="1" ht="15.75">
      <c r="A5" s="75">
        <f>Διαμερίσματα!$A$26</f>
        <v>21</v>
      </c>
      <c r="B5" s="76">
        <f>5+A5</f>
        <v>26</v>
      </c>
      <c r="C5" s="325" t="s">
        <v>62</v>
      </c>
      <c r="D5" s="73" t="str">
        <f ca="1">IF(A5="","",IF(INDIRECT(ADDRESS(B5,9,3,,"Διαμερίσματα"))="","",VLOOKUP(A5,Διαμερίσματα!$A$6:$N$27,9)))</f>
        <v>Ιδιοκτήτης-21</v>
      </c>
      <c r="E5" s="537" t="s">
        <v>59</v>
      </c>
      <c r="F5" s="818" t="str">
        <f ca="1">IF(A5="","",IF(INDIRECT(ADDRESS(B5,10,3,,"Διαμερίσματα"))="","",VLOOKUP(A5,Διαμερίσματα!$A$6:$N$27,10)))</f>
        <v/>
      </c>
      <c r="G5" s="819"/>
    </row>
    <row r="6" spans="1:14" s="38" customFormat="1" ht="15.75">
      <c r="A6" s="826" t="str">
        <f ca="1">IF(A5="","",IF(INDIRECT(ADDRESS(B5,2,3,,"Διαμερίσματα"))="","",VLOOKUP(A5,Διαμερίσματα!$A$6:$N$27,2)))</f>
        <v>Ε2</v>
      </c>
      <c r="B6" s="827"/>
      <c r="C6" s="77" t="str">
        <f ca="1">IF(A5="","",IF(INDIRECT(ADDRESS(B5,3,3,,"Διαμερίσματα"))="","",VLOOKUP(A5,Διαμερίσματα!$A$6:$N$27,3)))</f>
        <v/>
      </c>
      <c r="D6" s="77" t="s">
        <v>86</v>
      </c>
      <c r="E6" s="538" t="str">
        <f ca="1">IF(A5="","",IF(INDIRECT(ADDRESS(B5,4,3,,"Διαμερίσματα"))="","",VLOOKUP(A5,Διαμερίσματα!$A$6:$N$27,4)))</f>
        <v>5ος</v>
      </c>
      <c r="F6" s="78">
        <f ca="1">IF(A5="","",IF(INDIRECT(ADDRESS(B5,5,3,,"Διαμερίσματα"))="","",VLOOKUP(A5,Διαμερίσματα!$A$6:$N$27,5)))</f>
        <v>50</v>
      </c>
      <c r="G6" s="326" t="s">
        <v>60</v>
      </c>
    </row>
    <row r="7" spans="1:14" s="28" customFormat="1" ht="12.75">
      <c r="A7" s="534" t="s">
        <v>24</v>
      </c>
      <c r="B7" s="534" t="s">
        <v>40</v>
      </c>
      <c r="C7" s="534" t="s">
        <v>30</v>
      </c>
      <c r="D7" s="534" t="s">
        <v>32</v>
      </c>
      <c r="E7" s="534" t="s">
        <v>58</v>
      </c>
      <c r="F7" s="534" t="s">
        <v>33</v>
      </c>
      <c r="G7" s="534" t="s">
        <v>56</v>
      </c>
    </row>
    <row r="8" spans="1:14" s="28" customFormat="1" ht="12.75">
      <c r="A8" s="534">
        <v>1</v>
      </c>
      <c r="B8" s="534">
        <v>2</v>
      </c>
      <c r="C8" s="534">
        <v>3</v>
      </c>
      <c r="D8" s="534">
        <v>4</v>
      </c>
      <c r="E8" s="534">
        <v>5</v>
      </c>
      <c r="F8" s="534">
        <v>6</v>
      </c>
      <c r="G8" s="534">
        <v>7</v>
      </c>
    </row>
    <row r="9" spans="1:14" s="539" customFormat="1" ht="12.75">
      <c r="A9" s="536">
        <f>IF(B9="","",1)</f>
        <v>1</v>
      </c>
      <c r="B9" s="79" t="str">
        <f>Δαπάνες!$B$9</f>
        <v>Α1</v>
      </c>
      <c r="C9" s="813" t="str">
        <f>Δαπάνες!$C$9</f>
        <v>Γενικά Κοινόχρηστα</v>
      </c>
      <c r="D9" s="535" t="str">
        <f>Δαπάνες!$D$9</f>
        <v>ΔΕΗ Κοινόχρηστων Χώρων</v>
      </c>
      <c r="E9" s="80">
        <f>IF(Δαπάνες!$F$9="","",Δαπάνες!$F$9)</f>
        <v>100</v>
      </c>
      <c r="F9" s="81">
        <f ca="1">IF(E9="","",IF($A$5="","",IF(INDIRECT(ADDRESS($B$5,14,3,,"Διαμερίσματα"))="","",VLOOKUP($A$5,Διαμερίσματα!$A$6:$N$27,Δαπάνες!E9))))</f>
        <v>33.401608739251955</v>
      </c>
      <c r="G9" s="82">
        <f ca="1">IF(E9="","",E9*F9/1000)</f>
        <v>3.3401608739251958</v>
      </c>
    </row>
    <row r="10" spans="1:14" s="539" customFormat="1" ht="12.75">
      <c r="A10" s="536">
        <f>IF(B10="","",A9+1)</f>
        <v>2</v>
      </c>
      <c r="B10" s="79" t="str">
        <f>Δαπάνες!$B$10</f>
        <v>Α2</v>
      </c>
      <c r="C10" s="814"/>
      <c r="D10" s="535" t="str">
        <f>Δαπάνες!$D$10</f>
        <v>Καθαρισμός Κοινόχρηστων Χώρων</v>
      </c>
      <c r="E10" s="80">
        <f>IF(Δαπάνες!$F$10="","",Δαπάνες!$F$10)</f>
        <v>70</v>
      </c>
      <c r="F10" s="81">
        <f ca="1">IF(E10="","",IF($A$5="","",IF(INDIRECT(ADDRESS($B$5,14,3,,"Διαμερίσματα"))="","",VLOOKUP($A$5,Διαμερίσματα!$A$6:$N$27,Δαπάνες!E10))))</f>
        <v>33.401608739251955</v>
      </c>
      <c r="G10" s="82">
        <f ca="1">IF(E10="","",E10*F10/1000)</f>
        <v>2.3381126117476367</v>
      </c>
    </row>
    <row r="11" spans="1:14" s="539" customFormat="1" ht="12.75">
      <c r="A11" s="536">
        <f t="shared" ref="A11:A20" si="0">IF(B11="","",A10+1)</f>
        <v>3</v>
      </c>
      <c r="B11" s="79" t="str">
        <f>Δαπάνες!$B$11</f>
        <v>Α3</v>
      </c>
      <c r="C11" s="815"/>
      <c r="D11" s="535" t="str">
        <f>Δαπάνες!$D$11</f>
        <v>Υλικά Αναλώσιμα (Λάμπες κλπ)</v>
      </c>
      <c r="E11" s="80">
        <f>IF(Δαπάνες!$F$11="","",Δαπάνες!$F$11)</f>
        <v>10</v>
      </c>
      <c r="F11" s="81">
        <f ca="1">IF(E11="","",IF($A$5="","",IF(INDIRECT(ADDRESS($B$5,14,3,,"Διαμερίσματα"))="","",VLOOKUP($A$5,Διαμερίσματα!$A$6:$N$27,Δαπάνες!E11))))</f>
        <v>33.401608739251955</v>
      </c>
      <c r="G11" s="82">
        <f t="shared" ref="G11:G20" ca="1" si="1">IF(E11="","",E11*F11/1000)</f>
        <v>0.33401608739251959</v>
      </c>
    </row>
    <row r="12" spans="1:14" s="539" customFormat="1" ht="12.75">
      <c r="A12" s="536">
        <f t="shared" si="0"/>
        <v>4</v>
      </c>
      <c r="B12" s="83" t="str">
        <f>Δαπάνες!$B$12</f>
        <v>Β1</v>
      </c>
      <c r="C12" s="83" t="str">
        <f>Δαπάνες!$C$12</f>
        <v>Ανελκυστήρας</v>
      </c>
      <c r="D12" s="83" t="str">
        <f>Δαπάνες!$D$12</f>
        <v>Συντήρηση Ανελκυστήρα</v>
      </c>
      <c r="E12" s="84">
        <f>IF(Δαπάνες!$F$12="","",Δαπάνες!$F$12)</f>
        <v>50</v>
      </c>
      <c r="F12" s="42">
        <f ca="1">IF(E12="","",IF($A$5="","",IF(INDIRECT(ADDRESS($B$5,12,3,,"Διαμερίσματα"))="","",VLOOKUP($A$5,Διαμερίσματα!$A$6:$N$27,Δαπάνες!E12))))</f>
        <v>33.401608739251955</v>
      </c>
      <c r="G12" s="85">
        <f t="shared" ca="1" si="1"/>
        <v>1.6700804369625979</v>
      </c>
    </row>
    <row r="13" spans="1:14" s="539" customFormat="1" ht="12.75">
      <c r="A13" s="536">
        <f t="shared" si="0"/>
        <v>5</v>
      </c>
      <c r="B13" s="86" t="str">
        <f>Δαπάνες!$B$13</f>
        <v>Γ1</v>
      </c>
      <c r="C13" s="822" t="str">
        <f>Δαπάνες!$C$13</f>
        <v>Έξοδα Κήπου</v>
      </c>
      <c r="D13" s="535" t="str">
        <f>Δαπάνες!$D$13</f>
        <v>Συντήρηση Κήπου</v>
      </c>
      <c r="E13" s="80">
        <f>IF(Δαπάνες!$F$13="","",Δαπάνες!$F$13)</f>
        <v>60</v>
      </c>
      <c r="F13" s="81">
        <f ca="1">IF(E13="","",IF($A$5="","",IF(INDIRECT(ADDRESS($B$5,13,3,,"Διαμερίσματα"))="","",VLOOKUP($A$5,Διαμερίσματα!$A$6:$N$27,Δαπάνες!E13))))</f>
        <v>33.401608739251955</v>
      </c>
      <c r="G13" s="82">
        <f t="shared" ca="1" si="1"/>
        <v>2.0040965243551172</v>
      </c>
    </row>
    <row r="14" spans="1:14" s="539" customFormat="1" ht="12.75">
      <c r="A14" s="536">
        <f t="shared" si="0"/>
        <v>6</v>
      </c>
      <c r="B14" s="86" t="str">
        <f>Δαπάνες!$B$14</f>
        <v>Γ2</v>
      </c>
      <c r="C14" s="823"/>
      <c r="D14" s="535" t="str">
        <f>Δαπάνες!$D$14</f>
        <v>ΕΥΔΑΠ (Νερό) Κοινόχρηστων Χώρων</v>
      </c>
      <c r="E14" s="80">
        <f>IF(Δαπάνες!$F$14="","",Δαπάνες!$F$14)</f>
        <v>20</v>
      </c>
      <c r="F14" s="81">
        <f ca="1">IF(E14="","",IF($A$5="","",IF(INDIRECT(ADDRESS($B$5,13,3,,"Διαμερίσματα"))="","",VLOOKUP($A$5,Διαμερίσματα!$A$6:$N$27,Δαπάνες!E14))))</f>
        <v>33.401608739251955</v>
      </c>
      <c r="G14" s="82">
        <f t="shared" ca="1" si="1"/>
        <v>0.66803217478503918</v>
      </c>
    </row>
    <row r="15" spans="1:14" s="539" customFormat="1" ht="12.75">
      <c r="A15" s="536">
        <f t="shared" si="0"/>
        <v>7</v>
      </c>
      <c r="B15" s="87" t="str">
        <f>Δαπάνες!$B$15</f>
        <v>Δ1</v>
      </c>
      <c r="C15" s="820" t="str">
        <f>Δαπάνες!$C$15</f>
        <v>Θέρμανση</v>
      </c>
      <c r="D15" s="106" t="str">
        <f>Δαπάνες!$D$15</f>
        <v>Πετρέλαιο Αυτόνομης Θέρμανσης</v>
      </c>
      <c r="E15" s="88">
        <f>IF(Δαπάνες!$F$15="","",Δαπάνες!$F$15)</f>
        <v>700</v>
      </c>
      <c r="F15" s="107">
        <f ca="1">IF(E15="","",IF(A5="","",IF(HLOOKUP($F$1,Ώρες!$A$29:$P$52,A5+2)="","",HLOOKUP($F$1,Ώρες!$A$29:$P$52,A5+2))))</f>
        <v>0</v>
      </c>
      <c r="G15" s="85">
        <f ca="1">IF(A5="","",IF(INDIRECT(ADDRESS(A4,16,3,,"Θέρμανση"))="","",VLOOKUP(A5,Θέρμανση!$A$5:$R$26,18)))</f>
        <v>0</v>
      </c>
    </row>
    <row r="16" spans="1:14" s="539" customFormat="1" ht="12.75">
      <c r="A16" s="536">
        <f t="shared" si="0"/>
        <v>8</v>
      </c>
      <c r="B16" s="87" t="str">
        <f>Δαπάνες!$B$16</f>
        <v>Δ2</v>
      </c>
      <c r="C16" s="821"/>
      <c r="D16" s="83" t="str">
        <f>Δαπάνες!$D$16</f>
        <v>Συντήρηση Καυστήρα</v>
      </c>
      <c r="E16" s="84">
        <f>IF(Δαπάνες!$F$16="","",Δαπάνες!$F$16)</f>
        <v>70</v>
      </c>
      <c r="F16" s="42">
        <f ca="1">IF(E16="","",IF($A$5="","",IF(INDIRECT(ADDRESS($B$5,16,3,,"Διαμερίσματα"))="","",VLOOKUP($A$5,Διαμερίσματα!$A$6:$P$27,Δαπάνες!E16))))</f>
        <v>33.201665421159376</v>
      </c>
      <c r="G16" s="85">
        <f t="shared" ca="1" si="1"/>
        <v>2.3241165794811565</v>
      </c>
    </row>
    <row r="17" spans="1:14" s="539" customFormat="1" ht="12.75">
      <c r="A17" s="536">
        <f t="shared" si="0"/>
        <v>9</v>
      </c>
      <c r="B17" s="535" t="str">
        <f>Δαπάνες!$B$17</f>
        <v>Ε1</v>
      </c>
      <c r="C17" s="535" t="str">
        <f>Δαπάνες!$C$17</f>
        <v>Έξοδα Ιδιοκτητών</v>
      </c>
      <c r="D17" s="535" t="str">
        <f>Δαπάνες!$D$17</f>
        <v>Συντήρηση Πολυκατοικίας</v>
      </c>
      <c r="E17" s="80">
        <f>IF(Δαπάνες!$F$17="","",Δαπάνες!$F$17)</f>
        <v>100</v>
      </c>
      <c r="F17" s="81">
        <f ca="1">IF(E17="","",IF($A$5="","",IF(INDIRECT(ADDRESS($B$5,13,3,,"Διαμερίσματα"))="","",VLOOKUP($A$5,Διαμερίσματα!$A$6:$N$27,Δαπάνες!E17))))</f>
        <v>33.401608739251955</v>
      </c>
      <c r="G17" s="82">
        <f t="shared" ca="1" si="1"/>
        <v>3.3401608739251958</v>
      </c>
    </row>
    <row r="18" spans="1:14" s="539" customFormat="1" ht="12.75">
      <c r="A18" s="536">
        <f t="shared" si="0"/>
        <v>10</v>
      </c>
      <c r="B18" s="89" t="str">
        <f>Δαπάνες!$B$18</f>
        <v>Ζ1</v>
      </c>
      <c r="C18" s="83" t="str">
        <f>Δαπάνες!$C$18</f>
        <v>Λοιπά Έξοδα</v>
      </c>
      <c r="D18" s="83" t="str">
        <f>Δαπάνες!$D$18</f>
        <v>Πάγιο Αποθεματικό</v>
      </c>
      <c r="E18" s="84">
        <f>IF(Δαπάνες!$F$18="","",Δαπάνες!$F$18)</f>
        <v>200</v>
      </c>
      <c r="F18" s="42">
        <f ca="1">IF(E18="","",IF($A$5="","",IF(INDIRECT(ADDRESS($B$5,13,3,,"Διαμερίσματα"))="","",VLOOKUP($A$5,Διαμερίσματα!$A$6:$N$27,Δαπάνες!E18))))</f>
        <v>33.401608739251955</v>
      </c>
      <c r="G18" s="85">
        <f t="shared" ca="1" si="1"/>
        <v>6.6803217478503916</v>
      </c>
    </row>
    <row r="19" spans="1:14" s="539" customFormat="1" ht="12.75">
      <c r="A19" s="536">
        <f t="shared" si="0"/>
        <v>11</v>
      </c>
      <c r="B19" s="79" t="str">
        <f>Δαπάνες!$B$19</f>
        <v>Η1</v>
      </c>
      <c r="C19" s="822" t="str">
        <f>Δαπάνες!$C$19</f>
        <v>Διαχείριση</v>
      </c>
      <c r="D19" s="535" t="str">
        <f>Δαπάνες!$D$19</f>
        <v>Αμοιβή Διαχειριστή</v>
      </c>
      <c r="E19" s="80">
        <f>IF(Δαπάνες!$F$19="","",Δαπάνες!$F$19)</f>
        <v>80</v>
      </c>
      <c r="F19" s="81">
        <f ca="1">IF(E19="","",IF($A$5="","",IF(INDIRECT(ADDRESS($B$5,13,3,,"Διαμερίσματα"))="","",VLOOKUP($A$5,Διαμερίσματα!$A$6:$N$27,Δαπάνες!E19))))</f>
        <v>33.401608739251955</v>
      </c>
      <c r="G19" s="82">
        <f t="shared" ca="1" si="1"/>
        <v>2.6721286991401567</v>
      </c>
    </row>
    <row r="20" spans="1:14" s="539" customFormat="1" ht="12.75">
      <c r="A20" s="536">
        <f t="shared" si="0"/>
        <v>12</v>
      </c>
      <c r="B20" s="79" t="str">
        <f>Δαπάνες!$B$20</f>
        <v>Η2</v>
      </c>
      <c r="C20" s="823"/>
      <c r="D20" s="535" t="str">
        <f>Δαπάνες!$D$20</f>
        <v>Έκδοση Κοινοχρήστων</v>
      </c>
      <c r="E20" s="80">
        <f>IF(Δαπάνες!$F$20="","",Δαπάνες!$F$20)</f>
        <v>20</v>
      </c>
      <c r="F20" s="81">
        <f>IF(E20="","",IF(Διαμερίσματα!C26="",1000/Διαμερίσματα!$D$28,Διαμερίσματα!$B$30*10/Διαμερίσματα!$D$28))</f>
        <v>50</v>
      </c>
      <c r="G20" s="82">
        <f t="shared" si="1"/>
        <v>1</v>
      </c>
    </row>
    <row r="21" spans="1:14" s="29" customFormat="1" ht="15.75">
      <c r="A21" s="745" t="s">
        <v>454</v>
      </c>
      <c r="B21" s="745"/>
      <c r="C21" s="745"/>
      <c r="D21" s="745"/>
      <c r="E21" s="52">
        <f>SUM(E9:E20)</f>
        <v>1480</v>
      </c>
      <c r="F21" s="327"/>
      <c r="G21" s="234">
        <f ca="1">SUM(G9:G20)</f>
        <v>26.37122660956501</v>
      </c>
    </row>
    <row r="22" spans="1:14" s="39" customFormat="1" ht="18.95" customHeight="1">
      <c r="A22" s="830" t="str">
        <f>'1-2'!$A$22:$G$22</f>
        <v>Έγινε συντήρηση του καυστήρα.</v>
      </c>
      <c r="B22" s="831"/>
      <c r="C22" s="831"/>
      <c r="D22" s="831"/>
      <c r="E22" s="831"/>
      <c r="F22" s="831"/>
      <c r="G22" s="831"/>
    </row>
    <row r="23" spans="1:14" s="39" customFormat="1" ht="18.95" customHeight="1">
      <c r="A23" s="832" t="str">
        <f>'1-2'!$A$23:$G$23</f>
        <v>Η συντήρηση του Ανελκυστήρα, από 55€*12μήνες, έγινε 55€*8μήνες.</v>
      </c>
      <c r="B23" s="832"/>
      <c r="C23" s="832"/>
      <c r="D23" s="832"/>
      <c r="E23" s="832"/>
      <c r="F23" s="832"/>
      <c r="G23" s="832"/>
      <c r="I23" s="92"/>
    </row>
    <row r="24" spans="1:14" s="39" customFormat="1" ht="24.95" customHeight="1">
      <c r="A24" s="828"/>
      <c r="B24" s="828"/>
      <c r="C24" s="828"/>
      <c r="D24" s="828"/>
      <c r="E24" s="828"/>
      <c r="F24" s="828"/>
      <c r="G24" s="828"/>
    </row>
    <row r="25" spans="1:14" ht="30" customHeight="1">
      <c r="E25" s="829" t="s">
        <v>225</v>
      </c>
      <c r="F25" s="829"/>
      <c r="G25" s="829"/>
    </row>
    <row r="26" spans="1:14" s="14" customFormat="1" ht="62.25" customHeight="1">
      <c r="B26" s="15"/>
      <c r="C26" s="15"/>
      <c r="D26" s="807" t="str">
        <f>ΣΤΟΙΧΕΙΑ!$C$3</f>
        <v>Κ Ο Ι Ν Ο Χ Ρ Η Σ Τ Α :</v>
      </c>
      <c r="E26" s="807"/>
      <c r="F26" s="806">
        <f>ΣΤΟΙΧΕΙΑ!$C$11</f>
        <v>40878</v>
      </c>
      <c r="G26" s="806"/>
      <c r="H26" s="19"/>
      <c r="I26" s="19"/>
      <c r="J26" s="19"/>
      <c r="L26" s="20"/>
      <c r="M26" s="20"/>
      <c r="N26" s="20"/>
    </row>
    <row r="27" spans="1:14" s="16" customFormat="1" ht="15.75">
      <c r="A27" s="768"/>
      <c r="B27" s="769"/>
      <c r="C27" s="72" t="str">
        <f>ΣΤΟΙΧΕΙΑ!$C$2</f>
        <v>Πολυκατοικία :</v>
      </c>
      <c r="D27" s="73" t="str">
        <f>ΣΤΟΙΧΕΙΑ!$C$12</f>
        <v>Διευθύνση 123</v>
      </c>
      <c r="E27" s="789" t="str">
        <f>ΣΤΟΙΧΕΙΑ!$C$13</f>
        <v>Νεάπολη - ΑΤΤΙΚΗΣ.</v>
      </c>
      <c r="F27" s="789"/>
      <c r="G27" s="790"/>
    </row>
    <row r="28" spans="1:14" s="21" customFormat="1">
      <c r="A28" s="808" t="str">
        <f>ΣΤΟΙΧΕΙΑ!$C$7</f>
        <v>Επεξεργασία: Φ.Τσιρίδης, 6977-66.66.99</v>
      </c>
      <c r="B28" s="809"/>
      <c r="C28" s="810"/>
      <c r="D28" s="621">
        <f ca="1">IF(A30="","",IF(INDIRECT(ADDRESS(B30,9,3,,"Διαμερίσματα"))="","",(VLOOKUP(A30,Θέρμανση!$A$5:$H$26,8))*E40))</f>
        <v>0</v>
      </c>
      <c r="E28" s="811" t="str">
        <f>ΣΤΟΙΧΕΙΑ!$C$8</f>
        <v>Διαχειριστής: Φ.Διαχειριστίδης, 697-1234567</v>
      </c>
      <c r="F28" s="811"/>
      <c r="G28" s="812"/>
    </row>
    <row r="29" spans="1:14" s="38" customFormat="1" ht="15.75">
      <c r="A29" s="74">
        <f>4+A30</f>
        <v>26</v>
      </c>
      <c r="B29" s="324"/>
      <c r="C29" s="77" t="s">
        <v>61</v>
      </c>
      <c r="D29" s="538" t="str">
        <f ca="1">IF(A30="","",IF(INDIRECT(ADDRESS(B30,6,3,,"Διαμερίσματα"))="","",VLOOKUP(A30,Διαμερίσματα!$A$6:$N$27,6)))</f>
        <v>Ιδιοκτήτης-22</v>
      </c>
      <c r="E29" s="538" t="s">
        <v>59</v>
      </c>
      <c r="F29" s="816" t="str">
        <f ca="1">IF(A30="","",IF(INDIRECT(ADDRESS(B30,7,3,,"Διαμερίσματα"))="","",VLOOKUP(A30,Διαμερίσματα!$A$6:$N$27,7)))</f>
        <v/>
      </c>
      <c r="G29" s="817"/>
    </row>
    <row r="30" spans="1:14" s="38" customFormat="1" ht="15.75">
      <c r="A30" s="75">
        <f>A5+1</f>
        <v>22</v>
      </c>
      <c r="B30" s="76">
        <f>5+A30</f>
        <v>27</v>
      </c>
      <c r="C30" s="325" t="s">
        <v>62</v>
      </c>
      <c r="D30" s="73" t="str">
        <f ca="1">IF(A30="","",IF(INDIRECT(ADDRESS(B30,9,3,,"Διαμερίσματα"))="","",VLOOKUP(A30,Διαμερίσματα!$A$6:$N$27,9)))</f>
        <v>Ιδιοκτήτης-22</v>
      </c>
      <c r="E30" s="537" t="s">
        <v>59</v>
      </c>
      <c r="F30" s="818" t="str">
        <f ca="1">IF(A30="","",IF(INDIRECT(ADDRESS(B30,10,3,,"Διαμερίσματα"))="","",VLOOKUP(A30,Διαμερίσματα!$A$6:$N$27,10)))</f>
        <v/>
      </c>
      <c r="G30" s="819"/>
    </row>
    <row r="31" spans="1:14" s="38" customFormat="1" ht="15.75">
      <c r="A31" s="826" t="str">
        <f ca="1">IF(A30="","",IF(INDIRECT(ADDRESS(B30,2,3,,"Διαμερίσματα"))="","",VLOOKUP(A30,Διαμερίσματα!$A$6:$N$27,2)))</f>
        <v>Ε3</v>
      </c>
      <c r="B31" s="827"/>
      <c r="C31" s="77" t="str">
        <f ca="1">IF(A30="","",IF(INDIRECT(ADDRESS(B30,3,3,,"Διαμερίσματα"))="","",VLOOKUP(A30,Διαμερίσματα!$A$6:$N$27,3)))</f>
        <v>ΝΑΙ</v>
      </c>
      <c r="D31" s="77" t="s">
        <v>86</v>
      </c>
      <c r="E31" s="538" t="str">
        <f ca="1">IF(A30="","",IF(INDIRECT(ADDRESS(B30,4,3,,"Διαμερίσματα"))="","",VLOOKUP(A30,Διαμερίσματα!$A$6:$N$27,4)))</f>
        <v>5ος</v>
      </c>
      <c r="F31" s="78">
        <f ca="1">IF(A30="","",IF(INDIRECT(ADDRESS(B30,5,3,,"Διαμερίσματα"))="","",VLOOKUP(A30,Διαμερίσματα!$A$6:$N$27,5)))</f>
        <v>60</v>
      </c>
      <c r="G31" s="326" t="s">
        <v>60</v>
      </c>
    </row>
    <row r="32" spans="1:14" s="28" customFormat="1" ht="12.75">
      <c r="A32" s="534" t="s">
        <v>24</v>
      </c>
      <c r="B32" s="534" t="s">
        <v>40</v>
      </c>
      <c r="C32" s="534" t="s">
        <v>30</v>
      </c>
      <c r="D32" s="534" t="s">
        <v>32</v>
      </c>
      <c r="E32" s="534" t="s">
        <v>58</v>
      </c>
      <c r="F32" s="534" t="s">
        <v>33</v>
      </c>
      <c r="G32" s="534" t="s">
        <v>56</v>
      </c>
    </row>
    <row r="33" spans="1:7" s="28" customFormat="1" ht="12.75">
      <c r="A33" s="534">
        <v>1</v>
      </c>
      <c r="B33" s="534">
        <v>2</v>
      </c>
      <c r="C33" s="534">
        <v>3</v>
      </c>
      <c r="D33" s="534">
        <v>4</v>
      </c>
      <c r="E33" s="534">
        <v>5</v>
      </c>
      <c r="F33" s="534">
        <v>6</v>
      </c>
      <c r="G33" s="534">
        <v>7</v>
      </c>
    </row>
    <row r="34" spans="1:7" s="539" customFormat="1" ht="12.75">
      <c r="A34" s="536">
        <f>IF(B34="","",1)</f>
        <v>1</v>
      </c>
      <c r="B34" s="79" t="str">
        <f>Δαπάνες!$B$9</f>
        <v>Α1</v>
      </c>
      <c r="C34" s="813" t="str">
        <f>Δαπάνες!$C$9</f>
        <v>Γενικά Κοινόχρηστα</v>
      </c>
      <c r="D34" s="535" t="str">
        <f>Δαπάνες!$D$9</f>
        <v>ΔΕΗ Κοινόχρηστων Χώρων</v>
      </c>
      <c r="E34" s="80">
        <f>IF(Δαπάνες!$F$9="","",Δαπάνες!$F$9)</f>
        <v>100</v>
      </c>
      <c r="F34" s="81">
        <f ca="1">IF(E34="","",IF($A$30="","",IF(INDIRECT(ADDRESS($B$30,14,3,,"Διαμερίσματα"))="","",VLOOKUP($A$30,Διαμερίσματα!$A$6:$N$27,Δαπάνες!E9))))</f>
        <v>0</v>
      </c>
      <c r="G34" s="82">
        <f ca="1">IF(E34="","",E34*F34/1000)</f>
        <v>0</v>
      </c>
    </row>
    <row r="35" spans="1:7" s="539" customFormat="1" ht="12.75">
      <c r="A35" s="536">
        <f>IF(B35="","",A34+1)</f>
        <v>2</v>
      </c>
      <c r="B35" s="79" t="str">
        <f>Δαπάνες!$B$10</f>
        <v>Α2</v>
      </c>
      <c r="C35" s="814"/>
      <c r="D35" s="535" t="str">
        <f>Δαπάνες!$D$10</f>
        <v>Καθαρισμός Κοινόχρηστων Χώρων</v>
      </c>
      <c r="E35" s="80">
        <f>IF(Δαπάνες!$F$10="","",Δαπάνες!$F$10)</f>
        <v>70</v>
      </c>
      <c r="F35" s="81">
        <f ca="1">IF(E35="","",IF($A$30="","",IF(INDIRECT(ADDRESS($B$30,14,3,,"Διαμερίσματα"))="","",VLOOKUP($A$30,Διαμερίσματα!$A$6:$N$27,Δαπάνες!E10))))</f>
        <v>0</v>
      </c>
      <c r="G35" s="82">
        <f ca="1">IF(E35="","",E35*F35/1000)</f>
        <v>0</v>
      </c>
    </row>
    <row r="36" spans="1:7" s="539" customFormat="1" ht="12.75">
      <c r="A36" s="536">
        <f t="shared" ref="A36:A45" si="2">IF(B36="","",A35+1)</f>
        <v>3</v>
      </c>
      <c r="B36" s="79" t="str">
        <f>Δαπάνες!$B$11</f>
        <v>Α3</v>
      </c>
      <c r="C36" s="815"/>
      <c r="D36" s="535" t="str">
        <f>Δαπάνες!$D$11</f>
        <v>Υλικά Αναλώσιμα (Λάμπες κλπ)</v>
      </c>
      <c r="E36" s="80">
        <f>IF(Δαπάνες!$F$11="","",Δαπάνες!$F$11)</f>
        <v>10</v>
      </c>
      <c r="F36" s="81">
        <f ca="1">IF(E36="","",IF($A$30="","",IF(INDIRECT(ADDRESS($B$30,14,3,,"Διαμερίσματα"))="","",VLOOKUP($A$30,Διαμερίσματα!$A$6:$N$27,Δαπάνες!E11))))</f>
        <v>0</v>
      </c>
      <c r="G36" s="82">
        <f t="shared" ref="G36:G39" ca="1" si="3">IF(E36="","",E36*F36/1000)</f>
        <v>0</v>
      </c>
    </row>
    <row r="37" spans="1:7" s="539" customFormat="1" ht="12.75">
      <c r="A37" s="536">
        <f t="shared" si="2"/>
        <v>4</v>
      </c>
      <c r="B37" s="83" t="str">
        <f>Δαπάνες!$B$12</f>
        <v>Β1</v>
      </c>
      <c r="C37" s="83" t="str">
        <f>Δαπάνες!$C$12</f>
        <v>Ανελκυστήρας</v>
      </c>
      <c r="D37" s="83" t="str">
        <f>Δαπάνες!$D$12</f>
        <v>Συντήρηση Ανελκυστήρα</v>
      </c>
      <c r="E37" s="84">
        <f>IF(Δαπάνες!$F$12="","",Δαπάνες!$F$12)</f>
        <v>50</v>
      </c>
      <c r="F37" s="42">
        <f ca="1">IF(E37="","",IF($A$30="","",IF(INDIRECT(ADDRESS($B$30,12,3,,"Διαμερίσματα"))="","",VLOOKUP($A$30,Διαμερίσματα!$A$6:$N$27,Δαπάνες!E12))))</f>
        <v>0</v>
      </c>
      <c r="G37" s="85">
        <f t="shared" ca="1" si="3"/>
        <v>0</v>
      </c>
    </row>
    <row r="38" spans="1:7" s="539" customFormat="1" ht="12.75">
      <c r="A38" s="536">
        <f t="shared" si="2"/>
        <v>5</v>
      </c>
      <c r="B38" s="86" t="str">
        <f>Δαπάνες!$B$13</f>
        <v>Γ1</v>
      </c>
      <c r="C38" s="822" t="str">
        <f>Δαπάνες!$C$13</f>
        <v>Έξοδα Κήπου</v>
      </c>
      <c r="D38" s="535" t="str">
        <f>Δαπάνες!$D$13</f>
        <v>Συντήρηση Κήπου</v>
      </c>
      <c r="E38" s="80">
        <f>IF(Δαπάνες!$F$13="","",Δαπάνες!$F$13)</f>
        <v>60</v>
      </c>
      <c r="F38" s="81">
        <f ca="1">IF(E38="","",IF($A$30="","",IF(INDIRECT(ADDRESS($B$30,13,3,,"Διαμερίσματα"))="","",VLOOKUP($A$30,Διαμερίσματα!$A$6:$N$27,Δαπάνες!E13))))</f>
        <v>0</v>
      </c>
      <c r="G38" s="82">
        <f t="shared" ca="1" si="3"/>
        <v>0</v>
      </c>
    </row>
    <row r="39" spans="1:7" s="539" customFormat="1" ht="12.75">
      <c r="A39" s="536">
        <f t="shared" si="2"/>
        <v>6</v>
      </c>
      <c r="B39" s="86" t="str">
        <f>Δαπάνες!$B$14</f>
        <v>Γ2</v>
      </c>
      <c r="C39" s="823"/>
      <c r="D39" s="535" t="str">
        <f>Δαπάνες!$D$14</f>
        <v>ΕΥΔΑΠ (Νερό) Κοινόχρηστων Χώρων</v>
      </c>
      <c r="E39" s="80">
        <f>IF(Δαπάνες!$F$14="","",Δαπάνες!$F$14)</f>
        <v>20</v>
      </c>
      <c r="F39" s="81">
        <f ca="1">IF(E39="","",IF($A$30="","",IF(INDIRECT(ADDRESS($B$30,13,3,,"Διαμερίσματα"))="","",VLOOKUP($A$30,Διαμερίσματα!$A$6:$N$27,Δαπάνες!E14))))</f>
        <v>0</v>
      </c>
      <c r="G39" s="82">
        <f t="shared" ca="1" si="3"/>
        <v>0</v>
      </c>
    </row>
    <row r="40" spans="1:7" s="539" customFormat="1" ht="12.75">
      <c r="A40" s="536">
        <f t="shared" si="2"/>
        <v>7</v>
      </c>
      <c r="B40" s="87" t="str">
        <f>Δαπάνες!$B$15</f>
        <v>Δ1</v>
      </c>
      <c r="C40" s="820" t="str">
        <f>Δαπάνες!$C$15</f>
        <v>Θέρμανση</v>
      </c>
      <c r="D40" s="106" t="str">
        <f>Δαπάνες!$D$15</f>
        <v>Πετρέλαιο Αυτόνομης Θέρμανσης</v>
      </c>
      <c r="E40" s="88">
        <f>IF(Δαπάνες!$F$15="","",Δαπάνες!$F$15)</f>
        <v>700</v>
      </c>
      <c r="F40" s="107">
        <f ca="1">IF(E40="","",IF(A30="","",IF(HLOOKUP($F$1,Ώρες!$A$29:$P$52,A30+2)="","",HLOOKUP($F$1,Ώρες!$A$29:$P$52,A30+2))))</f>
        <v>0</v>
      </c>
      <c r="G40" s="85">
        <f ca="1">IF(A30="","",IF(INDIRECT(ADDRESS(A29,16,3,,"Θέρμανση"))="","",VLOOKUP(A30,Θέρμανση!$A$5:$R$26,18)))</f>
        <v>0</v>
      </c>
    </row>
    <row r="41" spans="1:7" s="539" customFormat="1" ht="12.75">
      <c r="A41" s="536">
        <f t="shared" si="2"/>
        <v>8</v>
      </c>
      <c r="B41" s="87" t="str">
        <f>Δαπάνες!$B$16</f>
        <v>Δ2</v>
      </c>
      <c r="C41" s="821"/>
      <c r="D41" s="83" t="str">
        <f>Δαπάνες!$D$16</f>
        <v>Συντήρηση Καυστήρα</v>
      </c>
      <c r="E41" s="84">
        <f>IF(Δαπάνες!$F$16="","",Δαπάνες!$F$16)</f>
        <v>70</v>
      </c>
      <c r="F41" s="42">
        <f ca="1">IF(E41="","",IF($A$30="","",IF(INDIRECT(ADDRESS($B$30,16,3,,"Διαμερίσματα"))="","",VLOOKUP($A$30,Διαμερίσματα!$A$6:$P$27,Δαπάνες!E16))))</f>
        <v>0</v>
      </c>
      <c r="G41" s="85">
        <f t="shared" ref="G41:G45" ca="1" si="4">IF(E41="","",E41*F41/1000)</f>
        <v>0</v>
      </c>
    </row>
    <row r="42" spans="1:7" s="539" customFormat="1" ht="12.75">
      <c r="A42" s="536">
        <f t="shared" si="2"/>
        <v>9</v>
      </c>
      <c r="B42" s="535" t="str">
        <f>Δαπάνες!$B$17</f>
        <v>Ε1</v>
      </c>
      <c r="C42" s="535" t="str">
        <f>Δαπάνες!$C$17</f>
        <v>Έξοδα Ιδιοκτητών</v>
      </c>
      <c r="D42" s="535" t="str">
        <f>Δαπάνες!$D$17</f>
        <v>Συντήρηση Πολυκατοικίας</v>
      </c>
      <c r="E42" s="80">
        <f>IF(Δαπάνες!$F$17="","",Δαπάνες!$F$17)</f>
        <v>100</v>
      </c>
      <c r="F42" s="81">
        <f ca="1">IF(E42="","",IF($A$30="","",IF(INDIRECT(ADDRESS($B$30,13,3,,"Διαμερίσματα"))="","",VLOOKUP($A$30,Διαμερίσματα!$A$6:$N$27,Δαπάνες!E17))))</f>
        <v>0</v>
      </c>
      <c r="G42" s="82">
        <f t="shared" ca="1" si="4"/>
        <v>0</v>
      </c>
    </row>
    <row r="43" spans="1:7" s="539" customFormat="1" ht="12.75">
      <c r="A43" s="536">
        <f t="shared" si="2"/>
        <v>10</v>
      </c>
      <c r="B43" s="89" t="str">
        <f>Δαπάνες!$B$18</f>
        <v>Ζ1</v>
      </c>
      <c r="C43" s="83" t="str">
        <f>Δαπάνες!$C$18</f>
        <v>Λοιπά Έξοδα</v>
      </c>
      <c r="D43" s="83" t="str">
        <f>Δαπάνες!$D$18</f>
        <v>Πάγιο Αποθεματικό</v>
      </c>
      <c r="E43" s="84">
        <f>IF(Δαπάνες!$F$18="","",Δαπάνες!$F$18)</f>
        <v>200</v>
      </c>
      <c r="F43" s="42">
        <f ca="1">IF(E43="","",IF($A$30="","",IF(INDIRECT(ADDRESS($B$30,13,3,,"Διαμερίσματα"))="","",VLOOKUP($A$30,Διαμερίσματα!$A$6:$N$27,Δαπάνες!E18))))</f>
        <v>0</v>
      </c>
      <c r="G43" s="85">
        <f t="shared" ca="1" si="4"/>
        <v>0</v>
      </c>
    </row>
    <row r="44" spans="1:7" s="539" customFormat="1" ht="12.75">
      <c r="A44" s="536">
        <f t="shared" si="2"/>
        <v>11</v>
      </c>
      <c r="B44" s="79" t="str">
        <f>Δαπάνες!$B$19</f>
        <v>Η1</v>
      </c>
      <c r="C44" s="822" t="str">
        <f>Δαπάνες!$C$19</f>
        <v>Διαχείριση</v>
      </c>
      <c r="D44" s="535" t="str">
        <f>Δαπάνες!$D$19</f>
        <v>Αμοιβή Διαχειριστή</v>
      </c>
      <c r="E44" s="80">
        <f>IF(Δαπάνες!$F$19="","",Δαπάνες!$F$19)</f>
        <v>80</v>
      </c>
      <c r="F44" s="81">
        <f ca="1">IF(E44="","",IF($A$30="","",IF(INDIRECT(ADDRESS($B$30,13,3,,"Διαμερίσματα"))="","",VLOOKUP($A$30,Διαμερίσματα!$A$6:$N$27,Δαπάνες!E19))))</f>
        <v>0</v>
      </c>
      <c r="G44" s="82">
        <f t="shared" ca="1" si="4"/>
        <v>0</v>
      </c>
    </row>
    <row r="45" spans="1:7" s="539" customFormat="1" ht="12.75">
      <c r="A45" s="536">
        <f t="shared" si="2"/>
        <v>12</v>
      </c>
      <c r="B45" s="79" t="str">
        <f>Δαπάνες!$B$20</f>
        <v>Η2</v>
      </c>
      <c r="C45" s="823"/>
      <c r="D45" s="535" t="str">
        <f>Δαπάνες!$D$20</f>
        <v>Έκδοση Κοινοχρήστων</v>
      </c>
      <c r="E45" s="80">
        <f>IF(Δαπάνες!$F$20="","",Δαπάνες!$F$20)</f>
        <v>20</v>
      </c>
      <c r="F45" s="81">
        <f>IF(E45="","",IF(Διαμερίσματα!C27="",1000/Διαμερίσματα!$D$28,Διαμερίσματα!$B$30*10/Διαμερίσματα!$D$28))</f>
        <v>0</v>
      </c>
      <c r="G45" s="82">
        <f t="shared" si="4"/>
        <v>0</v>
      </c>
    </row>
    <row r="46" spans="1:7" s="29" customFormat="1" ht="15.75">
      <c r="A46" s="745" t="s">
        <v>454</v>
      </c>
      <c r="B46" s="745"/>
      <c r="C46" s="745"/>
      <c r="D46" s="745"/>
      <c r="E46" s="52">
        <f>SUM(E34:E45)</f>
        <v>1480</v>
      </c>
      <c r="F46" s="327"/>
      <c r="G46" s="234">
        <f ca="1">SUM(G34:G45)</f>
        <v>0</v>
      </c>
    </row>
    <row r="47" spans="1:7" s="39" customFormat="1" ht="18.95" customHeight="1">
      <c r="A47" s="830" t="str">
        <f>'1-2'!$A$22:$G$22</f>
        <v>Έγινε συντήρηση του καυστήρα.</v>
      </c>
      <c r="B47" s="831"/>
      <c r="C47" s="831"/>
      <c r="D47" s="831"/>
      <c r="E47" s="831"/>
      <c r="F47" s="831"/>
      <c r="G47" s="831"/>
    </row>
    <row r="48" spans="1:7" s="39" customFormat="1" ht="18.95" customHeight="1">
      <c r="A48" s="832" t="str">
        <f>'1-2'!$A$23:$G$23</f>
        <v>Η συντήρηση του Ανελκυστήρα, από 55€*12μήνες, έγινε 55€*8μήνες.</v>
      </c>
      <c r="B48" s="832"/>
      <c r="C48" s="832"/>
      <c r="D48" s="832"/>
      <c r="E48" s="832"/>
      <c r="F48" s="832"/>
      <c r="G48" s="832"/>
    </row>
    <row r="51" spans="4:4">
      <c r="D51" s="91"/>
    </row>
  </sheetData>
  <sheetProtection password="E4A3" sheet="1" objects="1" scenarios="1" selectLockedCells="1"/>
  <mergeCells count="34">
    <mergeCell ref="C44:C45"/>
    <mergeCell ref="A46:D46"/>
    <mergeCell ref="A47:G47"/>
    <mergeCell ref="A48:G48"/>
    <mergeCell ref="F29:G29"/>
    <mergeCell ref="F30:G30"/>
    <mergeCell ref="A31:B31"/>
    <mergeCell ref="C34:C36"/>
    <mergeCell ref="C38:C39"/>
    <mergeCell ref="C40:C41"/>
    <mergeCell ref="D26:E26"/>
    <mergeCell ref="F26:G26"/>
    <mergeCell ref="A27:B27"/>
    <mergeCell ref="E27:G27"/>
    <mergeCell ref="A28:C28"/>
    <mergeCell ref="E28:G28"/>
    <mergeCell ref="E25:G25"/>
    <mergeCell ref="F4:G4"/>
    <mergeCell ref="F5:G5"/>
    <mergeCell ref="A6:B6"/>
    <mergeCell ref="C9:C11"/>
    <mergeCell ref="C13:C14"/>
    <mergeCell ref="C15:C16"/>
    <mergeCell ref="C19:C20"/>
    <mergeCell ref="A21:D21"/>
    <mergeCell ref="A22:G22"/>
    <mergeCell ref="A23:G23"/>
    <mergeCell ref="A24:G24"/>
    <mergeCell ref="D1:E1"/>
    <mergeCell ref="F1:G1"/>
    <mergeCell ref="A2:B2"/>
    <mergeCell ref="E2:G2"/>
    <mergeCell ref="A3:C3"/>
    <mergeCell ref="E3:G3"/>
  </mergeCells>
  <hyperlinks>
    <hyperlink ref="A23:G23" r:id="rId1" display="http://lavrio.web.officelive.com/kinohrista.aspx"/>
    <hyperlink ref="A48:G48" r:id="rId2" display="http://lavrio.web.officelive.com/kinohrista.aspx"/>
    <hyperlink ref="E25:G25" location="ΠΛΟΗΓΗΣΗ!A1" display="Επιστροφή   στην   ΠΛΟΗΓΗΣΗ"/>
  </hyperlinks>
  <pageMargins left="0.39370078740157483" right="0.39370078740157483" top="0.19685039370078741" bottom="0.39370078740157483" header="0.31496062992125984" footer="0.31496062992125984"/>
  <pageSetup paperSize="9" orientation="portrait" r:id="rId3"/>
  <drawing r:id="rId4"/>
</worksheet>
</file>

<file path=xl/worksheets/sheet21.xml><?xml version="1.0" encoding="utf-8"?>
<worksheet xmlns="http://schemas.openxmlformats.org/spreadsheetml/2006/main" xmlns:r="http://schemas.openxmlformats.org/officeDocument/2006/relationships">
  <sheetPr codeName="Φύλλο8">
    <tabColor rgb="FFFF0000"/>
  </sheetPr>
  <dimension ref="A1:J18"/>
  <sheetViews>
    <sheetView workbookViewId="0">
      <selection activeCell="D9" sqref="D9"/>
    </sheetView>
  </sheetViews>
  <sheetFormatPr defaultColWidth="9.140625" defaultRowHeight="15"/>
  <cols>
    <col min="1" max="1" width="7.85546875" style="101" bestFit="1" customWidth="1"/>
    <col min="2" max="2" width="57.85546875" style="101" bestFit="1" customWidth="1"/>
    <col min="3" max="3" width="54.5703125" style="101" bestFit="1" customWidth="1"/>
    <col min="4" max="4" width="92.28515625" style="101" customWidth="1"/>
    <col min="5" max="16384" width="9.140625" style="101"/>
  </cols>
  <sheetData>
    <row r="1" spans="1:10" ht="85.5" customHeight="1">
      <c r="A1" s="833" t="s">
        <v>317</v>
      </c>
      <c r="B1" s="834"/>
      <c r="C1" s="834"/>
      <c r="D1" s="834"/>
    </row>
    <row r="2" spans="1:10" s="104" customFormat="1">
      <c r="A2" s="323" t="s">
        <v>66</v>
      </c>
      <c r="B2" s="323" t="s">
        <v>291</v>
      </c>
      <c r="C2" s="323" t="s">
        <v>292</v>
      </c>
      <c r="D2" s="298" t="s">
        <v>293</v>
      </c>
    </row>
    <row r="3" spans="1:10" s="104" customFormat="1">
      <c r="A3" s="323">
        <v>1</v>
      </c>
      <c r="B3" s="323">
        <v>2</v>
      </c>
      <c r="C3" s="323">
        <v>3</v>
      </c>
      <c r="D3" s="298">
        <v>4</v>
      </c>
    </row>
    <row r="4" spans="1:10" s="39" customFormat="1" ht="30" customHeight="1">
      <c r="A4" s="322">
        <f>ΣΤΟΙΧΕΙΑ!F1</f>
        <v>40848</v>
      </c>
      <c r="B4" s="202" t="s">
        <v>285</v>
      </c>
      <c r="C4" s="319" t="s">
        <v>288</v>
      </c>
      <c r="D4" s="320" t="s">
        <v>310</v>
      </c>
      <c r="E4" s="321"/>
      <c r="F4" s="321"/>
      <c r="G4" s="321"/>
      <c r="H4" s="321"/>
      <c r="I4" s="321"/>
      <c r="J4" s="321"/>
    </row>
    <row r="5" spans="1:10" s="39" customFormat="1" ht="30" customHeight="1">
      <c r="A5" s="322">
        <f>ΣΤΟΙΧΕΙΑ!F2</f>
        <v>40878</v>
      </c>
      <c r="B5" s="202" t="s">
        <v>482</v>
      </c>
      <c r="C5" s="319" t="s">
        <v>289</v>
      </c>
      <c r="D5" s="320" t="s">
        <v>311</v>
      </c>
      <c r="E5" s="321"/>
      <c r="F5" s="321"/>
      <c r="G5" s="321"/>
      <c r="H5" s="321"/>
      <c r="I5" s="321"/>
      <c r="J5" s="321"/>
    </row>
    <row r="6" spans="1:10" s="39" customFormat="1" ht="30" customHeight="1">
      <c r="A6" s="322">
        <f>ΣΤΟΙΧΕΙΑ!F3</f>
        <v>40909</v>
      </c>
      <c r="B6" s="202" t="s">
        <v>168</v>
      </c>
      <c r="C6" s="319" t="s">
        <v>119</v>
      </c>
      <c r="D6" s="320" t="s">
        <v>312</v>
      </c>
      <c r="E6" s="321"/>
      <c r="F6" s="321"/>
      <c r="G6" s="321"/>
      <c r="H6" s="321"/>
      <c r="I6" s="321"/>
      <c r="J6" s="321"/>
    </row>
    <row r="7" spans="1:10" ht="30" customHeight="1">
      <c r="A7" s="322">
        <f>ΣΤΟΙΧΕΙΑ!F4</f>
        <v>40940</v>
      </c>
      <c r="B7" s="202" t="s">
        <v>287</v>
      </c>
      <c r="C7" s="319" t="s">
        <v>290</v>
      </c>
      <c r="D7" s="320" t="s">
        <v>313</v>
      </c>
    </row>
    <row r="8" spans="1:10" ht="30" customHeight="1">
      <c r="A8" s="322">
        <f>ΣΤΟΙΧΕΙΑ!F5</f>
        <v>40969</v>
      </c>
      <c r="B8" s="202"/>
      <c r="C8" s="319"/>
      <c r="D8" s="320" t="s">
        <v>314</v>
      </c>
    </row>
    <row r="9" spans="1:10" ht="30" customHeight="1">
      <c r="A9" s="322">
        <f>ΣΤΟΙΧΕΙΑ!F6</f>
        <v>41000</v>
      </c>
      <c r="B9" s="202"/>
      <c r="C9" s="319"/>
      <c r="D9" s="320" t="s">
        <v>315</v>
      </c>
    </row>
    <row r="10" spans="1:10" ht="30" customHeight="1">
      <c r="A10" s="322">
        <f>ΣΤΟΙΧΕΙΑ!F7</f>
        <v>41030</v>
      </c>
      <c r="B10" s="202" t="s">
        <v>301</v>
      </c>
      <c r="C10" s="319" t="s">
        <v>302</v>
      </c>
      <c r="D10" s="320" t="s">
        <v>316</v>
      </c>
    </row>
    <row r="11" spans="1:10" ht="30" customHeight="1">
      <c r="A11" s="322">
        <f>ΣΤΟΙΧΕΙΑ!F8</f>
        <v>41061</v>
      </c>
      <c r="B11" s="202" t="s">
        <v>303</v>
      </c>
      <c r="C11" s="319" t="s">
        <v>304</v>
      </c>
      <c r="D11" s="320" t="s">
        <v>468</v>
      </c>
    </row>
    <row r="12" spans="1:10" ht="30" customHeight="1">
      <c r="A12" s="322">
        <f>ΣΤΟΙΧΕΙΑ!F9</f>
        <v>41091</v>
      </c>
      <c r="B12" s="202" t="s">
        <v>305</v>
      </c>
      <c r="C12" s="319" t="s">
        <v>306</v>
      </c>
      <c r="D12" s="320" t="s">
        <v>469</v>
      </c>
    </row>
    <row r="13" spans="1:10" ht="30" customHeight="1">
      <c r="A13" s="322">
        <f>ΣΤΟΙΧΕΙΑ!F10</f>
        <v>41122</v>
      </c>
      <c r="B13" s="202" t="s">
        <v>307</v>
      </c>
      <c r="C13" s="319" t="s">
        <v>286</v>
      </c>
      <c r="D13" s="320"/>
    </row>
    <row r="14" spans="1:10" ht="30" customHeight="1">
      <c r="A14" s="322">
        <f>ΣΤΟΙΧΕΙΑ!F11</f>
        <v>41153</v>
      </c>
      <c r="B14" s="202" t="s">
        <v>308</v>
      </c>
      <c r="C14" s="319" t="s">
        <v>309</v>
      </c>
      <c r="D14" s="320" t="s">
        <v>282</v>
      </c>
    </row>
    <row r="15" spans="1:10" ht="30" customHeight="1">
      <c r="A15" s="322">
        <f>ΣΤΟΙΧΕΙΑ!F12</f>
        <v>41183</v>
      </c>
      <c r="B15" s="202"/>
      <c r="C15" s="319"/>
      <c r="D15" s="320" t="s">
        <v>283</v>
      </c>
    </row>
    <row r="16" spans="1:10" ht="30" customHeight="1">
      <c r="A16" s="322">
        <f>ΣΤΟΙΧΕΙΑ!F13</f>
        <v>41214</v>
      </c>
      <c r="B16" s="202"/>
      <c r="C16" s="319"/>
      <c r="D16" s="320" t="s">
        <v>284</v>
      </c>
    </row>
    <row r="18" spans="1:4" ht="36">
      <c r="A18" s="744" t="s">
        <v>225</v>
      </c>
      <c r="B18" s="744"/>
      <c r="C18" s="744"/>
      <c r="D18" s="744"/>
    </row>
  </sheetData>
  <sheetProtection password="E4A3" sheet="1" objects="1" scenarios="1"/>
  <mergeCells count="2">
    <mergeCell ref="A18:D18"/>
    <mergeCell ref="A1:D1"/>
  </mergeCells>
  <hyperlinks>
    <hyperlink ref="A18:C18" location="ΠΛΟΗΓΗΣΗ!A1" display="Επιστροφή   στην   ΠΛΟΗΓΗΣΗ"/>
  </hyperlinks>
  <pageMargins left="0.39370078740157483" right="0.39370078740157483" top="0.39370078740157483" bottom="0.39370078740157483" header="0.31496062992125984" footer="0.31496062992125984"/>
  <pageSetup paperSize="9" scale="65" orientation="landscape" r:id="rId1"/>
  <customProperties>
    <customPr name="DVSECTIONID" r:id="rId2"/>
  </customProperties>
  <legacyDrawing r:id="rId3"/>
</worksheet>
</file>

<file path=xl/worksheets/sheet22.xml><?xml version="1.0" encoding="utf-8"?>
<worksheet xmlns="http://schemas.openxmlformats.org/spreadsheetml/2006/main" xmlns:r="http://schemas.openxmlformats.org/officeDocument/2006/relationships">
  <sheetPr codeName="Φύλλο7">
    <tabColor rgb="FF0070C0"/>
  </sheetPr>
  <dimension ref="A1:N51"/>
  <sheetViews>
    <sheetView workbookViewId="0">
      <selection activeCell="A25" sqref="A25:G25"/>
    </sheetView>
  </sheetViews>
  <sheetFormatPr defaultColWidth="9.140625" defaultRowHeight="12"/>
  <cols>
    <col min="1" max="1" width="4.140625" style="9" bestFit="1" customWidth="1"/>
    <col min="2" max="2" width="7.42578125" style="9" bestFit="1" customWidth="1"/>
    <col min="3" max="3" width="17.85546875" style="9" customWidth="1"/>
    <col min="4" max="4" width="31.42578125" style="9" bestFit="1" customWidth="1"/>
    <col min="5" max="5" width="12.42578125" style="9" bestFit="1" customWidth="1"/>
    <col min="6" max="6" width="8.28515625" style="9" bestFit="1" customWidth="1"/>
    <col min="7" max="7" width="13.5703125" style="9" bestFit="1" customWidth="1"/>
    <col min="8" max="8" width="9.140625" style="9"/>
    <col min="9" max="9" width="11" style="9" bestFit="1" customWidth="1"/>
    <col min="10" max="16384" width="9.140625" style="9"/>
  </cols>
  <sheetData>
    <row r="1" spans="1:14" s="14" customFormat="1" ht="62.25" customHeight="1">
      <c r="A1" s="835" t="str">
        <f>IFERROR(VLOOKUP(A24,Σχόλια!$A$4:$D$16,4,FALSE),0)</f>
        <v>ΑΣΧΕΤΟ με τη Διαχείριση και τα Κοινόχρηστα:
Λόγω των προβλημάτων που παρουσιάστηκαν πέρυσι το Χειμώνα με τα Τζάκια, σε κάποια Διαμερίσματα, (κακό "τράβηγμα" μερικές φορές, κάπνισμα στο σαλόνι κλπ), ειδικά όταν είναι Νοτιάς, μετά από συζητήσεις με μερικούς ενοίκους και έρευνα, σκεφθήκαμε ότι πρέπει να βάλουμε το περιστρεφόμενο "καπέλο" στην κορυφή της καμινάδας.
Μάθαμε λοιπόν ότι για 1 "καπέλο" ανοξείδωτο, με 2 ρουλεμάν, με πατούρα, με προέκταση σωλήνα για να χωρέσει δίπλα στα άλλα, για αφαίρεση της υφιστάμενης πλάκας, κόψιμο των 4 τσιμεντένιων προεξοχών και τοποθέτησή του, χρειάζονται 70 € συνολικά χωρίς ΦΠΑ.
Αν και όποιος ενδιαφέρεται, μπορεί να ενημερώσει κατά την πληρωμή Κοινοχρήστων, για να τα παραγγείλουμε μαζικά και να τοποθετηθούν πριν το Χειμώνα.
Επαναλαμβάνω ότι, δεν έχει σχέση με τη Διαχείριση και τα Κοινόχρηστα και ο καθένας, που θέλει να συμμετάσχει, θα πληρώσει ξεχωριστά.</v>
      </c>
      <c r="B1" s="836"/>
      <c r="C1" s="836"/>
      <c r="D1" s="836"/>
      <c r="E1" s="836"/>
      <c r="F1" s="836"/>
      <c r="G1" s="837"/>
      <c r="H1" s="19"/>
      <c r="I1" s="19"/>
      <c r="J1" s="19"/>
      <c r="L1" s="20"/>
      <c r="M1" s="20"/>
      <c r="N1" s="20"/>
    </row>
    <row r="2" spans="1:14" s="16" customFormat="1" ht="15.75" customHeight="1">
      <c r="A2" s="838"/>
      <c r="B2" s="839"/>
      <c r="C2" s="839"/>
      <c r="D2" s="839"/>
      <c r="E2" s="839"/>
      <c r="F2" s="839"/>
      <c r="G2" s="840"/>
    </row>
    <row r="3" spans="1:14" s="21" customFormat="1">
      <c r="A3" s="838"/>
      <c r="B3" s="839"/>
      <c r="C3" s="839"/>
      <c r="D3" s="839"/>
      <c r="E3" s="839"/>
      <c r="F3" s="839"/>
      <c r="G3" s="840"/>
    </row>
    <row r="4" spans="1:14" s="38" customFormat="1" ht="15.75">
      <c r="A4" s="838"/>
      <c r="B4" s="839"/>
      <c r="C4" s="839"/>
      <c r="D4" s="839"/>
      <c r="E4" s="839"/>
      <c r="F4" s="839"/>
      <c r="G4" s="840"/>
    </row>
    <row r="5" spans="1:14" s="38" customFormat="1" ht="15.75">
      <c r="A5" s="838"/>
      <c r="B5" s="839"/>
      <c r="C5" s="839"/>
      <c r="D5" s="839"/>
      <c r="E5" s="839"/>
      <c r="F5" s="839"/>
      <c r="G5" s="840"/>
    </row>
    <row r="6" spans="1:14" s="38" customFormat="1" ht="15.75">
      <c r="A6" s="838"/>
      <c r="B6" s="839"/>
      <c r="C6" s="839"/>
      <c r="D6" s="839"/>
      <c r="E6" s="839"/>
      <c r="F6" s="839"/>
      <c r="G6" s="840"/>
    </row>
    <row r="7" spans="1:14" s="28" customFormat="1" ht="12.75">
      <c r="A7" s="838"/>
      <c r="B7" s="839"/>
      <c r="C7" s="839"/>
      <c r="D7" s="839"/>
      <c r="E7" s="839"/>
      <c r="F7" s="839"/>
      <c r="G7" s="840"/>
    </row>
    <row r="8" spans="1:14" s="28" customFormat="1" ht="12.75">
      <c r="A8" s="838"/>
      <c r="B8" s="839"/>
      <c r="C8" s="839"/>
      <c r="D8" s="839"/>
      <c r="E8" s="839"/>
      <c r="F8" s="839"/>
      <c r="G8" s="840"/>
    </row>
    <row r="9" spans="1:14" s="163" customFormat="1" ht="12.75">
      <c r="A9" s="838"/>
      <c r="B9" s="839"/>
      <c r="C9" s="839"/>
      <c r="D9" s="839"/>
      <c r="E9" s="839"/>
      <c r="F9" s="839"/>
      <c r="G9" s="840"/>
    </row>
    <row r="10" spans="1:14" s="163" customFormat="1" ht="12.75">
      <c r="A10" s="838"/>
      <c r="B10" s="839"/>
      <c r="C10" s="839"/>
      <c r="D10" s="839"/>
      <c r="E10" s="839"/>
      <c r="F10" s="839"/>
      <c r="G10" s="840"/>
    </row>
    <row r="11" spans="1:14" s="163" customFormat="1" ht="12.75">
      <c r="A11" s="838"/>
      <c r="B11" s="839"/>
      <c r="C11" s="839"/>
      <c r="D11" s="839"/>
      <c r="E11" s="839"/>
      <c r="F11" s="839"/>
      <c r="G11" s="840"/>
    </row>
    <row r="12" spans="1:14" s="163" customFormat="1" ht="12.75">
      <c r="A12" s="838"/>
      <c r="B12" s="839"/>
      <c r="C12" s="839"/>
      <c r="D12" s="839"/>
      <c r="E12" s="839"/>
      <c r="F12" s="839"/>
      <c r="G12" s="840"/>
    </row>
    <row r="13" spans="1:14" s="163" customFormat="1" ht="12.75">
      <c r="A13" s="838"/>
      <c r="B13" s="839"/>
      <c r="C13" s="839"/>
      <c r="D13" s="839"/>
      <c r="E13" s="839"/>
      <c r="F13" s="839"/>
      <c r="G13" s="840"/>
    </row>
    <row r="14" spans="1:14" s="163" customFormat="1" ht="12.75">
      <c r="A14" s="838"/>
      <c r="B14" s="839"/>
      <c r="C14" s="839"/>
      <c r="D14" s="839"/>
      <c r="E14" s="839"/>
      <c r="F14" s="839"/>
      <c r="G14" s="840"/>
    </row>
    <row r="15" spans="1:14" s="163" customFormat="1" ht="12.75">
      <c r="A15" s="838"/>
      <c r="B15" s="839"/>
      <c r="C15" s="839"/>
      <c r="D15" s="839"/>
      <c r="E15" s="839"/>
      <c r="F15" s="839"/>
      <c r="G15" s="840"/>
    </row>
    <row r="16" spans="1:14" s="163" customFormat="1" ht="12.75">
      <c r="A16" s="838"/>
      <c r="B16" s="839"/>
      <c r="C16" s="839"/>
      <c r="D16" s="839"/>
      <c r="E16" s="839"/>
      <c r="F16" s="839"/>
      <c r="G16" s="840"/>
    </row>
    <row r="17" spans="1:14" s="163" customFormat="1" ht="12.75">
      <c r="A17" s="838"/>
      <c r="B17" s="839"/>
      <c r="C17" s="839"/>
      <c r="D17" s="839"/>
      <c r="E17" s="839"/>
      <c r="F17" s="839"/>
      <c r="G17" s="840"/>
      <c r="H17" s="90"/>
    </row>
    <row r="18" spans="1:14" s="163" customFormat="1" ht="12.75">
      <c r="A18" s="838"/>
      <c r="B18" s="839"/>
      <c r="C18" s="839"/>
      <c r="D18" s="839"/>
      <c r="E18" s="839"/>
      <c r="F18" s="839"/>
      <c r="G18" s="840"/>
    </row>
    <row r="19" spans="1:14" s="163" customFormat="1" ht="12.75">
      <c r="A19" s="838"/>
      <c r="B19" s="839"/>
      <c r="C19" s="839"/>
      <c r="D19" s="839"/>
      <c r="E19" s="839"/>
      <c r="F19" s="839"/>
      <c r="G19" s="840"/>
    </row>
    <row r="20" spans="1:14" s="163" customFormat="1" ht="12.75">
      <c r="A20" s="838"/>
      <c r="B20" s="839"/>
      <c r="C20" s="839"/>
      <c r="D20" s="839"/>
      <c r="E20" s="839"/>
      <c r="F20" s="839"/>
      <c r="G20" s="840"/>
    </row>
    <row r="21" spans="1:14" s="29" customFormat="1" ht="15.75">
      <c r="A21" s="838"/>
      <c r="B21" s="839"/>
      <c r="C21" s="839"/>
      <c r="D21" s="839"/>
      <c r="E21" s="839"/>
      <c r="F21" s="839"/>
      <c r="G21" s="840"/>
    </row>
    <row r="22" spans="1:14" s="39" customFormat="1" ht="18.95" customHeight="1">
      <c r="A22" s="838"/>
      <c r="B22" s="839"/>
      <c r="C22" s="839"/>
      <c r="D22" s="839"/>
      <c r="E22" s="839"/>
      <c r="F22" s="839"/>
      <c r="G22" s="840"/>
    </row>
    <row r="23" spans="1:14" s="39" customFormat="1" ht="18.95" customHeight="1">
      <c r="A23" s="841"/>
      <c r="B23" s="842"/>
      <c r="C23" s="842"/>
      <c r="D23" s="842"/>
      <c r="E23" s="842"/>
      <c r="F23" s="842"/>
      <c r="G23" s="843"/>
    </row>
    <row r="24" spans="1:14" s="39" customFormat="1" ht="24.95" customHeight="1">
      <c r="A24" s="844">
        <f>ΣΤΟΙΧΕΙΑ!C11</f>
        <v>40878</v>
      </c>
      <c r="B24" s="844"/>
      <c r="C24" s="844"/>
      <c r="D24" s="844"/>
      <c r="E24" s="844"/>
      <c r="F24" s="844"/>
      <c r="G24" s="844"/>
    </row>
    <row r="25" spans="1:14" ht="30" customHeight="1">
      <c r="A25" s="854" t="s">
        <v>225</v>
      </c>
      <c r="B25" s="854"/>
      <c r="C25" s="854"/>
      <c r="D25" s="854"/>
      <c r="E25" s="854"/>
      <c r="F25" s="854"/>
      <c r="G25" s="854"/>
    </row>
    <row r="26" spans="1:14" s="14" customFormat="1" ht="62.25" customHeight="1">
      <c r="A26" s="845" t="str">
        <f>A1</f>
        <v>ΑΣΧΕΤΟ με τη Διαχείριση και τα Κοινόχρηστα:
Λόγω των προβλημάτων που παρουσιάστηκαν πέρυσι το Χειμώνα με τα Τζάκια, σε κάποια Διαμερίσματα, (κακό "τράβηγμα" μερικές φορές, κάπνισμα στο σαλόνι κλπ), ειδικά όταν είναι Νοτιάς, μετά από συζητήσεις με μερικούς ενοίκους και έρευνα, σκεφθήκαμε ότι πρέπει να βάλουμε το περιστρεφόμενο "καπέλο" στην κορυφή της καμινάδας.
Μάθαμε λοιπόν ότι για 1 "καπέλο" ανοξείδωτο, με 2 ρουλεμάν, με πατούρα, με προέκταση σωλήνα για να χωρέσει δίπλα στα άλλα, για αφαίρεση της υφιστάμενης πλάκας, κόψιμο των 4 τσιμεντένιων προεξοχών και τοποθέτησή του, χρειάζονται 70 € συνολικά χωρίς ΦΠΑ.
Αν και όποιος ενδιαφέρεται, μπορεί να ενημερώσει κατά την πληρωμή Κοινοχρήστων, για να τα παραγγείλουμε μαζικά και να τοποθετηθούν πριν το Χειμώνα.
Επαναλαμβάνω ότι, δεν έχει σχέση με τη Διαχείριση και τα Κοινόχρηστα και ο καθένας, που θέλει να συμμετάσχει, θα πληρώσει ξεχωριστά.</v>
      </c>
      <c r="B26" s="846"/>
      <c r="C26" s="846"/>
      <c r="D26" s="846"/>
      <c r="E26" s="846"/>
      <c r="F26" s="846"/>
      <c r="G26" s="847"/>
      <c r="H26" s="19"/>
      <c r="I26" s="19"/>
      <c r="J26" s="19"/>
      <c r="L26" s="20"/>
      <c r="M26" s="20"/>
      <c r="N26" s="20"/>
    </row>
    <row r="27" spans="1:14" s="16" customFormat="1" ht="15.75" customHeight="1">
      <c r="A27" s="848"/>
      <c r="B27" s="849"/>
      <c r="C27" s="849"/>
      <c r="D27" s="849"/>
      <c r="E27" s="849"/>
      <c r="F27" s="849"/>
      <c r="G27" s="850"/>
    </row>
    <row r="28" spans="1:14" s="21" customFormat="1">
      <c r="A28" s="848"/>
      <c r="B28" s="849"/>
      <c r="C28" s="849"/>
      <c r="D28" s="849"/>
      <c r="E28" s="849"/>
      <c r="F28" s="849"/>
      <c r="G28" s="850"/>
    </row>
    <row r="29" spans="1:14" s="38" customFormat="1" ht="15.75">
      <c r="A29" s="848"/>
      <c r="B29" s="849"/>
      <c r="C29" s="849"/>
      <c r="D29" s="849"/>
      <c r="E29" s="849"/>
      <c r="F29" s="849"/>
      <c r="G29" s="850"/>
    </row>
    <row r="30" spans="1:14" s="38" customFormat="1" ht="15.75">
      <c r="A30" s="848"/>
      <c r="B30" s="849"/>
      <c r="C30" s="849"/>
      <c r="D30" s="849"/>
      <c r="E30" s="849"/>
      <c r="F30" s="849"/>
      <c r="G30" s="850"/>
    </row>
    <row r="31" spans="1:14" s="38" customFormat="1" ht="15.75">
      <c r="A31" s="848"/>
      <c r="B31" s="849"/>
      <c r="C31" s="849"/>
      <c r="D31" s="849"/>
      <c r="E31" s="849"/>
      <c r="F31" s="849"/>
      <c r="G31" s="850"/>
    </row>
    <row r="32" spans="1:14" s="28" customFormat="1" ht="12.75">
      <c r="A32" s="848"/>
      <c r="B32" s="849"/>
      <c r="C32" s="849"/>
      <c r="D32" s="849"/>
      <c r="E32" s="849"/>
      <c r="F32" s="849"/>
      <c r="G32" s="850"/>
    </row>
    <row r="33" spans="1:7" s="28" customFormat="1" ht="12.75">
      <c r="A33" s="848"/>
      <c r="B33" s="849"/>
      <c r="C33" s="849"/>
      <c r="D33" s="849"/>
      <c r="E33" s="849"/>
      <c r="F33" s="849"/>
      <c r="G33" s="850"/>
    </row>
    <row r="34" spans="1:7" s="163" customFormat="1" ht="12.75">
      <c r="A34" s="848"/>
      <c r="B34" s="849"/>
      <c r="C34" s="849"/>
      <c r="D34" s="849"/>
      <c r="E34" s="849"/>
      <c r="F34" s="849"/>
      <c r="G34" s="850"/>
    </row>
    <row r="35" spans="1:7" s="163" customFormat="1" ht="12.75">
      <c r="A35" s="848"/>
      <c r="B35" s="849"/>
      <c r="C35" s="849"/>
      <c r="D35" s="849"/>
      <c r="E35" s="849"/>
      <c r="F35" s="849"/>
      <c r="G35" s="850"/>
    </row>
    <row r="36" spans="1:7" s="163" customFormat="1" ht="12.75">
      <c r="A36" s="848"/>
      <c r="B36" s="849"/>
      <c r="C36" s="849"/>
      <c r="D36" s="849"/>
      <c r="E36" s="849"/>
      <c r="F36" s="849"/>
      <c r="G36" s="850"/>
    </row>
    <row r="37" spans="1:7" s="163" customFormat="1" ht="12.75">
      <c r="A37" s="848"/>
      <c r="B37" s="849"/>
      <c r="C37" s="849"/>
      <c r="D37" s="849"/>
      <c r="E37" s="849"/>
      <c r="F37" s="849"/>
      <c r="G37" s="850"/>
    </row>
    <row r="38" spans="1:7" s="163" customFormat="1" ht="12.75">
      <c r="A38" s="848"/>
      <c r="B38" s="849"/>
      <c r="C38" s="849"/>
      <c r="D38" s="849"/>
      <c r="E38" s="849"/>
      <c r="F38" s="849"/>
      <c r="G38" s="850"/>
    </row>
    <row r="39" spans="1:7" s="163" customFormat="1" ht="12.75">
      <c r="A39" s="848"/>
      <c r="B39" s="849"/>
      <c r="C39" s="849"/>
      <c r="D39" s="849"/>
      <c r="E39" s="849"/>
      <c r="F39" s="849"/>
      <c r="G39" s="850"/>
    </row>
    <row r="40" spans="1:7" s="163" customFormat="1" ht="12.75">
      <c r="A40" s="848"/>
      <c r="B40" s="849"/>
      <c r="C40" s="849"/>
      <c r="D40" s="849"/>
      <c r="E40" s="849"/>
      <c r="F40" s="849"/>
      <c r="G40" s="850"/>
    </row>
    <row r="41" spans="1:7" s="163" customFormat="1" ht="12.75">
      <c r="A41" s="848"/>
      <c r="B41" s="849"/>
      <c r="C41" s="849"/>
      <c r="D41" s="849"/>
      <c r="E41" s="849"/>
      <c r="F41" s="849"/>
      <c r="G41" s="850"/>
    </row>
    <row r="42" spans="1:7" s="163" customFormat="1" ht="12.75">
      <c r="A42" s="848"/>
      <c r="B42" s="849"/>
      <c r="C42" s="849"/>
      <c r="D42" s="849"/>
      <c r="E42" s="849"/>
      <c r="F42" s="849"/>
      <c r="G42" s="850"/>
    </row>
    <row r="43" spans="1:7" s="163" customFormat="1" ht="12.75">
      <c r="A43" s="848"/>
      <c r="B43" s="849"/>
      <c r="C43" s="849"/>
      <c r="D43" s="849"/>
      <c r="E43" s="849"/>
      <c r="F43" s="849"/>
      <c r="G43" s="850"/>
    </row>
    <row r="44" spans="1:7" s="163" customFormat="1" ht="12.75">
      <c r="A44" s="848"/>
      <c r="B44" s="849"/>
      <c r="C44" s="849"/>
      <c r="D44" s="849"/>
      <c r="E44" s="849"/>
      <c r="F44" s="849"/>
      <c r="G44" s="850"/>
    </row>
    <row r="45" spans="1:7" s="163" customFormat="1" ht="12.75">
      <c r="A45" s="848"/>
      <c r="B45" s="849"/>
      <c r="C45" s="849"/>
      <c r="D45" s="849"/>
      <c r="E45" s="849"/>
      <c r="F45" s="849"/>
      <c r="G45" s="850"/>
    </row>
    <row r="46" spans="1:7" s="29" customFormat="1" ht="15.75">
      <c r="A46" s="848"/>
      <c r="B46" s="849"/>
      <c r="C46" s="849"/>
      <c r="D46" s="849"/>
      <c r="E46" s="849"/>
      <c r="F46" s="849"/>
      <c r="G46" s="850"/>
    </row>
    <row r="47" spans="1:7" s="39" customFormat="1" ht="18.95" customHeight="1">
      <c r="A47" s="848"/>
      <c r="B47" s="849"/>
      <c r="C47" s="849"/>
      <c r="D47" s="849"/>
      <c r="E47" s="849"/>
      <c r="F47" s="849"/>
      <c r="G47" s="850"/>
    </row>
    <row r="48" spans="1:7" s="39" customFormat="1" ht="18.95" customHeight="1">
      <c r="A48" s="851"/>
      <c r="B48" s="852"/>
      <c r="C48" s="852"/>
      <c r="D48" s="852"/>
      <c r="E48" s="852"/>
      <c r="F48" s="852"/>
      <c r="G48" s="853"/>
    </row>
    <row r="50" spans="3:4">
      <c r="C50" s="40"/>
    </row>
    <row r="51" spans="3:4">
      <c r="D51" s="91"/>
    </row>
  </sheetData>
  <sheetProtection password="E4A3" sheet="1" objects="1" scenarios="1"/>
  <mergeCells count="4">
    <mergeCell ref="A1:G23"/>
    <mergeCell ref="A24:G24"/>
    <mergeCell ref="A26:G48"/>
    <mergeCell ref="A25:G25"/>
  </mergeCells>
  <hyperlinks>
    <hyperlink ref="A25:G25" location="ΠΛΟΗΓΗΣΗ!A1" display="Επιστροφή   στην   ΠΛΟΗΓΗΣΗ"/>
  </hyperlinks>
  <pageMargins left="0.39370078740157483" right="0.39370078740157483" top="0" bottom="0" header="0" footer="0"/>
  <pageSetup paperSize="121" orientation="portrait" r:id="rId1"/>
  <customProperties>
    <customPr name="DVSECTIONID" r:id="rId2"/>
  </customProperties>
</worksheet>
</file>

<file path=xl/worksheets/sheet23.xml><?xml version="1.0" encoding="utf-8"?>
<worksheet xmlns="http://schemas.openxmlformats.org/spreadsheetml/2006/main" xmlns:r="http://schemas.openxmlformats.org/officeDocument/2006/relationships">
  <sheetPr codeName="Φύλλο17">
    <tabColor rgb="FFFF0000"/>
  </sheetPr>
  <dimension ref="A1:O190"/>
  <sheetViews>
    <sheetView workbookViewId="0">
      <pane ySplit="3" topLeftCell="A4" activePane="bottomLeft" state="frozen"/>
      <selection activeCell="J2" sqref="J2:P2"/>
      <selection pane="bottomLeft" activeCell="C32" sqref="C32"/>
    </sheetView>
  </sheetViews>
  <sheetFormatPr defaultColWidth="9.140625" defaultRowHeight="15" outlineLevelRow="1"/>
  <cols>
    <col min="1" max="1" width="3.7109375" style="262" bestFit="1" customWidth="1"/>
    <col min="2" max="2" width="9.140625" style="262" bestFit="1" customWidth="1"/>
    <col min="3" max="3" width="70.7109375" style="328" customWidth="1"/>
    <col min="4" max="4" width="6" style="262" bestFit="1" customWidth="1"/>
    <col min="5" max="5" width="7" style="262" bestFit="1" customWidth="1"/>
    <col min="6" max="6" width="8.7109375" style="329" bestFit="1" customWidth="1"/>
    <col min="7" max="7" width="8.7109375" style="262" customWidth="1"/>
    <col min="8" max="9" width="7" style="262" customWidth="1"/>
    <col min="10" max="10" width="8.7109375" style="262" bestFit="1" customWidth="1"/>
    <col min="11" max="16384" width="9.140625" style="262"/>
  </cols>
  <sheetData>
    <row r="1" spans="1:15" s="184" customFormat="1" ht="39.950000000000003" customHeight="1">
      <c r="A1" s="680" t="s">
        <v>318</v>
      </c>
      <c r="B1" s="680"/>
      <c r="C1" s="680"/>
      <c r="D1" s="681" t="str">
        <f>ΣΤΟΙΧΕΙΑ!C12</f>
        <v>Διευθύνση 123</v>
      </c>
      <c r="E1" s="681"/>
      <c r="F1" s="681"/>
      <c r="G1" s="681"/>
      <c r="H1" s="681"/>
      <c r="I1" s="681"/>
      <c r="J1" s="681"/>
    </row>
    <row r="2" spans="1:15" s="120" customFormat="1" ht="15" customHeight="1">
      <c r="A2" s="684" t="s">
        <v>24</v>
      </c>
      <c r="B2" s="684" t="s">
        <v>229</v>
      </c>
      <c r="C2" s="856" t="s">
        <v>453</v>
      </c>
      <c r="D2" s="688" t="s">
        <v>256</v>
      </c>
      <c r="E2" s="689"/>
      <c r="F2" s="690"/>
      <c r="G2" s="271" t="s">
        <v>257</v>
      </c>
      <c r="H2" s="688" t="s">
        <v>258</v>
      </c>
      <c r="I2" s="689"/>
      <c r="J2" s="690"/>
      <c r="L2" s="855" t="s">
        <v>225</v>
      </c>
      <c r="M2" s="855"/>
      <c r="N2" s="855"/>
      <c r="O2" s="855"/>
    </row>
    <row r="3" spans="1:15" s="120" customFormat="1" ht="15" customHeight="1">
      <c r="A3" s="685"/>
      <c r="B3" s="685"/>
      <c r="C3" s="857"/>
      <c r="D3" s="265" t="s">
        <v>174</v>
      </c>
      <c r="E3" s="266" t="s">
        <v>175</v>
      </c>
      <c r="F3" s="331" t="s">
        <v>176</v>
      </c>
      <c r="G3" s="272" t="s">
        <v>259</v>
      </c>
      <c r="H3" s="265" t="s">
        <v>174</v>
      </c>
      <c r="I3" s="266" t="s">
        <v>175</v>
      </c>
      <c r="J3" s="267" t="s">
        <v>176</v>
      </c>
      <c r="L3" s="855"/>
      <c r="M3" s="855"/>
      <c r="N3" s="855"/>
      <c r="O3" s="855"/>
    </row>
    <row r="4" spans="1:15" s="37" customFormat="1" ht="15" customHeight="1">
      <c r="A4" s="273">
        <v>1</v>
      </c>
      <c r="B4" s="187">
        <v>40138</v>
      </c>
      <c r="C4" s="213" t="s">
        <v>319</v>
      </c>
      <c r="D4" s="189"/>
      <c r="E4" s="190">
        <v>8.99</v>
      </c>
      <c r="F4" s="330">
        <f>D4-E4</f>
        <v>-8.99</v>
      </c>
      <c r="G4" s="191" t="s">
        <v>257</v>
      </c>
      <c r="H4" s="268" t="str">
        <f>IF(D4="","",IF($G4="","",IF($G4="ΟΧΙ","",D4)))</f>
        <v/>
      </c>
      <c r="I4" s="269">
        <f>IF(E4="","",IF($G4="","",IF($G4="ΟΧΙ","",E4)))</f>
        <v>8.99</v>
      </c>
      <c r="J4" s="270">
        <f>IF(AND(H4="",I4=""),0,IF(H4="",-I4,H4))</f>
        <v>-8.99</v>
      </c>
    </row>
    <row r="5" spans="1:15" s="37" customFormat="1" ht="15" customHeight="1">
      <c r="A5" s="273">
        <f>A4+1</f>
        <v>2</v>
      </c>
      <c r="B5" s="187">
        <v>40138</v>
      </c>
      <c r="C5" s="213" t="s">
        <v>320</v>
      </c>
      <c r="D5" s="189"/>
      <c r="E5" s="190">
        <v>8.19</v>
      </c>
      <c r="F5" s="330">
        <f>F4+D5-E5</f>
        <v>-17.18</v>
      </c>
      <c r="G5" s="191" t="s">
        <v>257</v>
      </c>
      <c r="H5" s="268" t="str">
        <f t="shared" ref="H5:I48" si="0">IF(D5="","",IF($G5="","",IF($G5="ΟΧΙ","",D5)))</f>
        <v/>
      </c>
      <c r="I5" s="269">
        <f>IF(E5="","",IF($G5="","",IF($G5="ΟΧΙ","",E5)))</f>
        <v>8.19</v>
      </c>
      <c r="J5" s="270">
        <f>IF(AND(H5="",I5=""),J4,IF(H5="",J4-I5,J4+H5))</f>
        <v>-17.18</v>
      </c>
    </row>
    <row r="6" spans="1:15" s="37" customFormat="1" ht="15" customHeight="1">
      <c r="A6" s="273">
        <f t="shared" ref="A6:A69" si="1">A5+1</f>
        <v>3</v>
      </c>
      <c r="B6" s="187">
        <v>40138</v>
      </c>
      <c r="C6" s="213" t="s">
        <v>321</v>
      </c>
      <c r="D6" s="189"/>
      <c r="E6" s="190">
        <v>4.5</v>
      </c>
      <c r="F6" s="330">
        <f t="shared" ref="F6:F69" si="2">F5+D6-E6</f>
        <v>-21.68</v>
      </c>
      <c r="G6" s="191" t="s">
        <v>257</v>
      </c>
      <c r="H6" s="268" t="str">
        <f t="shared" si="0"/>
        <v/>
      </c>
      <c r="I6" s="269">
        <f t="shared" si="0"/>
        <v>4.5</v>
      </c>
      <c r="J6" s="270">
        <f t="shared" ref="J6:J69" si="3">IF(AND(H6="",I6=""),J5,IF(H6="",J5-I6,J5+H6))</f>
        <v>-21.68</v>
      </c>
    </row>
    <row r="7" spans="1:15" s="37" customFormat="1" ht="15" customHeight="1">
      <c r="A7" s="273">
        <f t="shared" si="1"/>
        <v>4</v>
      </c>
      <c r="B7" s="187">
        <v>40148</v>
      </c>
      <c r="C7" s="213" t="s">
        <v>322</v>
      </c>
      <c r="D7" s="189"/>
      <c r="E7" s="190">
        <v>17.98</v>
      </c>
      <c r="F7" s="330">
        <f t="shared" si="2"/>
        <v>-39.659999999999997</v>
      </c>
      <c r="G7" s="191" t="s">
        <v>257</v>
      </c>
      <c r="H7" s="268" t="str">
        <f t="shared" si="0"/>
        <v/>
      </c>
      <c r="I7" s="269">
        <f t="shared" si="0"/>
        <v>17.98</v>
      </c>
      <c r="J7" s="270">
        <f t="shared" si="3"/>
        <v>-39.659999999999997</v>
      </c>
    </row>
    <row r="8" spans="1:15" s="37" customFormat="1" ht="15" customHeight="1">
      <c r="A8" s="273">
        <f t="shared" si="1"/>
        <v>5</v>
      </c>
      <c r="B8" s="187">
        <v>40140</v>
      </c>
      <c r="C8" s="213" t="s">
        <v>323</v>
      </c>
      <c r="D8" s="189"/>
      <c r="E8" s="190">
        <v>40</v>
      </c>
      <c r="F8" s="330">
        <f t="shared" si="2"/>
        <v>-79.66</v>
      </c>
      <c r="G8" s="191" t="s">
        <v>257</v>
      </c>
      <c r="H8" s="268" t="str">
        <f t="shared" si="0"/>
        <v/>
      </c>
      <c r="I8" s="269">
        <f t="shared" si="0"/>
        <v>40</v>
      </c>
      <c r="J8" s="270">
        <f t="shared" si="3"/>
        <v>-79.66</v>
      </c>
    </row>
    <row r="9" spans="1:15" s="37" customFormat="1" ht="15" customHeight="1">
      <c r="A9" s="273">
        <f t="shared" si="1"/>
        <v>6</v>
      </c>
      <c r="B9" s="187">
        <v>40141</v>
      </c>
      <c r="C9" s="213" t="s">
        <v>324</v>
      </c>
      <c r="D9" s="189"/>
      <c r="E9" s="190">
        <v>2</v>
      </c>
      <c r="F9" s="330">
        <f t="shared" si="2"/>
        <v>-81.66</v>
      </c>
      <c r="G9" s="191" t="s">
        <v>257</v>
      </c>
      <c r="H9" s="268" t="str">
        <f t="shared" si="0"/>
        <v/>
      </c>
      <c r="I9" s="269">
        <f t="shared" si="0"/>
        <v>2</v>
      </c>
      <c r="J9" s="270">
        <f t="shared" si="3"/>
        <v>-81.66</v>
      </c>
    </row>
    <row r="10" spans="1:15" s="37" customFormat="1" ht="15" customHeight="1">
      <c r="A10" s="273">
        <f t="shared" si="1"/>
        <v>7</v>
      </c>
      <c r="B10" s="187">
        <v>40140</v>
      </c>
      <c r="C10" s="213" t="s">
        <v>325</v>
      </c>
      <c r="D10" s="189"/>
      <c r="E10" s="190">
        <v>5</v>
      </c>
      <c r="F10" s="330">
        <f t="shared" si="2"/>
        <v>-86.66</v>
      </c>
      <c r="G10" s="191" t="s">
        <v>257</v>
      </c>
      <c r="H10" s="268" t="str">
        <f t="shared" si="0"/>
        <v/>
      </c>
      <c r="I10" s="269">
        <f t="shared" si="0"/>
        <v>5</v>
      </c>
      <c r="J10" s="270">
        <f t="shared" si="3"/>
        <v>-86.66</v>
      </c>
    </row>
    <row r="11" spans="1:15" s="37" customFormat="1" ht="15" customHeight="1">
      <c r="A11" s="273">
        <f t="shared" si="1"/>
        <v>8</v>
      </c>
      <c r="B11" s="187">
        <v>40129</v>
      </c>
      <c r="C11" s="213" t="s">
        <v>326</v>
      </c>
      <c r="D11" s="189"/>
      <c r="E11" s="190">
        <v>2</v>
      </c>
      <c r="F11" s="330">
        <f t="shared" si="2"/>
        <v>-88.66</v>
      </c>
      <c r="G11" s="191" t="s">
        <v>257</v>
      </c>
      <c r="H11" s="268" t="str">
        <f t="shared" si="0"/>
        <v/>
      </c>
      <c r="I11" s="269">
        <f t="shared" si="0"/>
        <v>2</v>
      </c>
      <c r="J11" s="270">
        <f t="shared" si="3"/>
        <v>-88.66</v>
      </c>
    </row>
    <row r="12" spans="1:15" s="37" customFormat="1" ht="15" customHeight="1">
      <c r="A12" s="273">
        <f t="shared" si="1"/>
        <v>9</v>
      </c>
      <c r="B12" s="187">
        <v>40130</v>
      </c>
      <c r="C12" s="213" t="s">
        <v>327</v>
      </c>
      <c r="D12" s="189"/>
      <c r="E12" s="190">
        <v>1.25</v>
      </c>
      <c r="F12" s="330">
        <f t="shared" si="2"/>
        <v>-89.91</v>
      </c>
      <c r="G12" s="191" t="s">
        <v>257</v>
      </c>
      <c r="H12" s="268" t="str">
        <f t="shared" si="0"/>
        <v/>
      </c>
      <c r="I12" s="269">
        <f t="shared" si="0"/>
        <v>1.25</v>
      </c>
      <c r="J12" s="270">
        <f t="shared" si="3"/>
        <v>-89.91</v>
      </c>
    </row>
    <row r="13" spans="1:15" s="37" customFormat="1" ht="15" customHeight="1">
      <c r="A13" s="273">
        <f t="shared" si="1"/>
        <v>10</v>
      </c>
      <c r="B13" s="187">
        <v>40139</v>
      </c>
      <c r="C13" s="213" t="s">
        <v>328</v>
      </c>
      <c r="D13" s="189"/>
      <c r="E13" s="190">
        <v>2.4</v>
      </c>
      <c r="F13" s="330">
        <f t="shared" si="2"/>
        <v>-92.31</v>
      </c>
      <c r="G13" s="191" t="s">
        <v>257</v>
      </c>
      <c r="H13" s="268" t="str">
        <f t="shared" si="0"/>
        <v/>
      </c>
      <c r="I13" s="269">
        <f t="shared" si="0"/>
        <v>2.4</v>
      </c>
      <c r="J13" s="270">
        <f t="shared" si="3"/>
        <v>-92.31</v>
      </c>
    </row>
    <row r="14" spans="1:15" s="37" customFormat="1" ht="15" customHeight="1">
      <c r="A14" s="273">
        <f t="shared" si="1"/>
        <v>11</v>
      </c>
      <c r="B14" s="187">
        <v>40138</v>
      </c>
      <c r="C14" s="213" t="s">
        <v>329</v>
      </c>
      <c r="D14" s="189"/>
      <c r="E14" s="190">
        <v>2.25</v>
      </c>
      <c r="F14" s="330">
        <f t="shared" si="2"/>
        <v>-94.56</v>
      </c>
      <c r="G14" s="191" t="s">
        <v>257</v>
      </c>
      <c r="H14" s="268" t="str">
        <f t="shared" si="0"/>
        <v/>
      </c>
      <c r="I14" s="269">
        <f t="shared" si="0"/>
        <v>2.25</v>
      </c>
      <c r="J14" s="270">
        <f t="shared" si="3"/>
        <v>-94.56</v>
      </c>
    </row>
    <row r="15" spans="1:15" s="37" customFormat="1" ht="15" customHeight="1">
      <c r="A15" s="273">
        <f t="shared" si="1"/>
        <v>12</v>
      </c>
      <c r="B15" s="187">
        <v>40120</v>
      </c>
      <c r="C15" s="213" t="s">
        <v>330</v>
      </c>
      <c r="D15" s="189"/>
      <c r="E15" s="190">
        <v>4.87</v>
      </c>
      <c r="F15" s="330">
        <f t="shared" si="2"/>
        <v>-99.43</v>
      </c>
      <c r="G15" s="191" t="s">
        <v>257</v>
      </c>
      <c r="H15" s="268" t="str">
        <f t="shared" si="0"/>
        <v/>
      </c>
      <c r="I15" s="269">
        <f t="shared" si="0"/>
        <v>4.87</v>
      </c>
      <c r="J15" s="270">
        <f t="shared" si="3"/>
        <v>-99.43</v>
      </c>
    </row>
    <row r="16" spans="1:15" s="37" customFormat="1" ht="15" customHeight="1">
      <c r="A16" s="273">
        <f t="shared" si="1"/>
        <v>13</v>
      </c>
      <c r="B16" s="187">
        <v>40138</v>
      </c>
      <c r="C16" s="213" t="s">
        <v>331</v>
      </c>
      <c r="D16" s="189"/>
      <c r="E16" s="190">
        <v>14</v>
      </c>
      <c r="F16" s="330">
        <f t="shared" si="2"/>
        <v>-113.43</v>
      </c>
      <c r="G16" s="191" t="s">
        <v>257</v>
      </c>
      <c r="H16" s="268" t="str">
        <f t="shared" si="0"/>
        <v/>
      </c>
      <c r="I16" s="269">
        <f t="shared" si="0"/>
        <v>14</v>
      </c>
      <c r="J16" s="270">
        <f t="shared" si="3"/>
        <v>-113.43</v>
      </c>
    </row>
    <row r="17" spans="1:10" s="37" customFormat="1" ht="15" customHeight="1">
      <c r="A17" s="273">
        <f t="shared" si="1"/>
        <v>14</v>
      </c>
      <c r="B17" s="187">
        <v>40147</v>
      </c>
      <c r="C17" s="213" t="s">
        <v>332</v>
      </c>
      <c r="D17" s="189">
        <v>113.43</v>
      </c>
      <c r="E17" s="190"/>
      <c r="F17" s="330">
        <f t="shared" si="2"/>
        <v>0</v>
      </c>
      <c r="G17" s="191" t="s">
        <v>257</v>
      </c>
      <c r="H17" s="268">
        <f t="shared" si="0"/>
        <v>113.43</v>
      </c>
      <c r="I17" s="269" t="str">
        <f t="shared" si="0"/>
        <v/>
      </c>
      <c r="J17" s="270">
        <f t="shared" si="3"/>
        <v>0</v>
      </c>
    </row>
    <row r="18" spans="1:10" s="37" customFormat="1" ht="15" customHeight="1">
      <c r="A18" s="273">
        <f t="shared" si="1"/>
        <v>15</v>
      </c>
      <c r="B18" s="187">
        <v>40151</v>
      </c>
      <c r="C18" s="213" t="s">
        <v>333</v>
      </c>
      <c r="D18" s="189"/>
      <c r="E18" s="190">
        <v>4.5</v>
      </c>
      <c r="F18" s="330">
        <f t="shared" si="2"/>
        <v>-4.5</v>
      </c>
      <c r="G18" s="191" t="s">
        <v>257</v>
      </c>
      <c r="H18" s="268" t="str">
        <f t="shared" si="0"/>
        <v/>
      </c>
      <c r="I18" s="269">
        <f t="shared" si="0"/>
        <v>4.5</v>
      </c>
      <c r="J18" s="270">
        <f t="shared" si="3"/>
        <v>-4.5</v>
      </c>
    </row>
    <row r="19" spans="1:10" s="37" customFormat="1" ht="15" customHeight="1">
      <c r="A19" s="273">
        <f t="shared" si="1"/>
        <v>16</v>
      </c>
      <c r="B19" s="187">
        <v>40159</v>
      </c>
      <c r="C19" s="213" t="s">
        <v>334</v>
      </c>
      <c r="D19" s="189"/>
      <c r="E19" s="190">
        <v>14.7</v>
      </c>
      <c r="F19" s="330">
        <f t="shared" si="2"/>
        <v>-19.2</v>
      </c>
      <c r="G19" s="191" t="s">
        <v>257</v>
      </c>
      <c r="H19" s="268" t="str">
        <f t="shared" si="0"/>
        <v/>
      </c>
      <c r="I19" s="269">
        <f t="shared" si="0"/>
        <v>14.7</v>
      </c>
      <c r="J19" s="270">
        <f t="shared" si="3"/>
        <v>-19.2</v>
      </c>
    </row>
    <row r="20" spans="1:10" s="37" customFormat="1" ht="15" customHeight="1">
      <c r="A20" s="273">
        <f t="shared" si="1"/>
        <v>17</v>
      </c>
      <c r="B20" s="187">
        <v>40159</v>
      </c>
      <c r="C20" s="213" t="s">
        <v>335</v>
      </c>
      <c r="D20" s="189"/>
      <c r="E20" s="190">
        <v>7.5</v>
      </c>
      <c r="F20" s="330">
        <f t="shared" si="2"/>
        <v>-26.7</v>
      </c>
      <c r="G20" s="191" t="s">
        <v>257</v>
      </c>
      <c r="H20" s="268" t="str">
        <f t="shared" si="0"/>
        <v/>
      </c>
      <c r="I20" s="269">
        <f t="shared" si="0"/>
        <v>7.5</v>
      </c>
      <c r="J20" s="270">
        <f t="shared" si="3"/>
        <v>-26.7</v>
      </c>
    </row>
    <row r="21" spans="1:10" s="37" customFormat="1" ht="15" customHeight="1">
      <c r="A21" s="273">
        <f t="shared" si="1"/>
        <v>18</v>
      </c>
      <c r="B21" s="187">
        <v>40169</v>
      </c>
      <c r="C21" s="213" t="s">
        <v>336</v>
      </c>
      <c r="D21" s="189"/>
      <c r="E21" s="190">
        <v>11.77</v>
      </c>
      <c r="F21" s="330">
        <f t="shared" si="2"/>
        <v>-38.47</v>
      </c>
      <c r="G21" s="191" t="s">
        <v>257</v>
      </c>
      <c r="H21" s="268" t="str">
        <f t="shared" si="0"/>
        <v/>
      </c>
      <c r="I21" s="269">
        <f t="shared" si="0"/>
        <v>11.77</v>
      </c>
      <c r="J21" s="270">
        <f t="shared" si="3"/>
        <v>-38.47</v>
      </c>
    </row>
    <row r="22" spans="1:10" s="37" customFormat="1" ht="15" customHeight="1">
      <c r="A22" s="273">
        <f t="shared" si="1"/>
        <v>19</v>
      </c>
      <c r="B22" s="187">
        <v>40543</v>
      </c>
      <c r="C22" s="213" t="s">
        <v>337</v>
      </c>
      <c r="D22" s="189"/>
      <c r="E22" s="190">
        <v>77.900000000000006</v>
      </c>
      <c r="F22" s="330">
        <f t="shared" si="2"/>
        <v>-116.37</v>
      </c>
      <c r="G22" s="191" t="s">
        <v>257</v>
      </c>
      <c r="H22" s="268" t="str">
        <f t="shared" si="0"/>
        <v/>
      </c>
      <c r="I22" s="269">
        <f t="shared" si="0"/>
        <v>77.900000000000006</v>
      </c>
      <c r="J22" s="270">
        <f t="shared" si="3"/>
        <v>-116.37</v>
      </c>
    </row>
    <row r="23" spans="1:10" s="37" customFormat="1" ht="15" customHeight="1">
      <c r="A23" s="273">
        <f t="shared" si="1"/>
        <v>20</v>
      </c>
      <c r="B23" s="187">
        <v>40543</v>
      </c>
      <c r="C23" s="213" t="s">
        <v>338</v>
      </c>
      <c r="D23" s="189">
        <v>116.37</v>
      </c>
      <c r="E23" s="190"/>
      <c r="F23" s="330">
        <f t="shared" si="2"/>
        <v>0</v>
      </c>
      <c r="G23" s="191" t="s">
        <v>257</v>
      </c>
      <c r="H23" s="268">
        <f t="shared" si="0"/>
        <v>116.37</v>
      </c>
      <c r="I23" s="269" t="str">
        <f t="shared" si="0"/>
        <v/>
      </c>
      <c r="J23" s="270">
        <f t="shared" si="3"/>
        <v>0</v>
      </c>
    </row>
    <row r="24" spans="1:10" s="37" customFormat="1" ht="15" customHeight="1">
      <c r="A24" s="273">
        <f t="shared" si="1"/>
        <v>21</v>
      </c>
      <c r="B24" s="187">
        <v>40540</v>
      </c>
      <c r="C24" s="213" t="s">
        <v>335</v>
      </c>
      <c r="D24" s="189"/>
      <c r="E24" s="190">
        <v>5.5</v>
      </c>
      <c r="F24" s="330">
        <f t="shared" si="2"/>
        <v>-5.5</v>
      </c>
      <c r="G24" s="191" t="s">
        <v>257</v>
      </c>
      <c r="H24" s="268" t="str">
        <f t="shared" si="0"/>
        <v/>
      </c>
      <c r="I24" s="269">
        <f t="shared" si="0"/>
        <v>5.5</v>
      </c>
      <c r="J24" s="270">
        <f t="shared" si="3"/>
        <v>-5.5</v>
      </c>
    </row>
    <row r="25" spans="1:10" s="37" customFormat="1" ht="15" customHeight="1">
      <c r="A25" s="273">
        <f t="shared" si="1"/>
        <v>22</v>
      </c>
      <c r="B25" s="187">
        <v>40540</v>
      </c>
      <c r="C25" s="213" t="s">
        <v>335</v>
      </c>
      <c r="D25" s="189"/>
      <c r="E25" s="190">
        <v>6.5</v>
      </c>
      <c r="F25" s="330">
        <f t="shared" si="2"/>
        <v>-12</v>
      </c>
      <c r="G25" s="191" t="s">
        <v>257</v>
      </c>
      <c r="H25" s="268" t="str">
        <f t="shared" si="0"/>
        <v/>
      </c>
      <c r="I25" s="269">
        <f t="shared" si="0"/>
        <v>6.5</v>
      </c>
      <c r="J25" s="270">
        <f t="shared" si="3"/>
        <v>-12</v>
      </c>
    </row>
    <row r="26" spans="1:10" s="37" customFormat="1" ht="15" customHeight="1">
      <c r="A26" s="273">
        <f t="shared" si="1"/>
        <v>23</v>
      </c>
      <c r="B26" s="187">
        <v>40536</v>
      </c>
      <c r="C26" s="213" t="s">
        <v>339</v>
      </c>
      <c r="D26" s="189"/>
      <c r="E26" s="190">
        <v>2.75</v>
      </c>
      <c r="F26" s="330">
        <f t="shared" si="2"/>
        <v>-14.75</v>
      </c>
      <c r="G26" s="191" t="s">
        <v>257</v>
      </c>
      <c r="H26" s="268" t="str">
        <f t="shared" si="0"/>
        <v/>
      </c>
      <c r="I26" s="269">
        <f t="shared" si="0"/>
        <v>2.75</v>
      </c>
      <c r="J26" s="270">
        <f t="shared" si="3"/>
        <v>-14.75</v>
      </c>
    </row>
    <row r="27" spans="1:10" s="37" customFormat="1" ht="15" customHeight="1">
      <c r="A27" s="273">
        <f t="shared" si="1"/>
        <v>24</v>
      </c>
      <c r="B27" s="187">
        <v>40183</v>
      </c>
      <c r="C27" s="213" t="s">
        <v>340</v>
      </c>
      <c r="D27" s="189"/>
      <c r="E27" s="190">
        <v>15.28</v>
      </c>
      <c r="F27" s="330">
        <f t="shared" si="2"/>
        <v>-30.03</v>
      </c>
      <c r="G27" s="191" t="s">
        <v>257</v>
      </c>
      <c r="H27" s="268" t="str">
        <f t="shared" si="0"/>
        <v/>
      </c>
      <c r="I27" s="269">
        <f t="shared" si="0"/>
        <v>15.28</v>
      </c>
      <c r="J27" s="270">
        <f t="shared" si="3"/>
        <v>-30.03</v>
      </c>
    </row>
    <row r="28" spans="1:10" s="37" customFormat="1" ht="15" customHeight="1">
      <c r="A28" s="273">
        <f t="shared" si="1"/>
        <v>25</v>
      </c>
      <c r="B28" s="187">
        <v>40182</v>
      </c>
      <c r="C28" s="213" t="s">
        <v>341</v>
      </c>
      <c r="D28" s="189"/>
      <c r="E28" s="190">
        <v>3.43</v>
      </c>
      <c r="F28" s="330">
        <f t="shared" si="2"/>
        <v>-33.46</v>
      </c>
      <c r="G28" s="191" t="s">
        <v>257</v>
      </c>
      <c r="H28" s="268" t="str">
        <f t="shared" si="0"/>
        <v/>
      </c>
      <c r="I28" s="269">
        <f t="shared" si="0"/>
        <v>3.43</v>
      </c>
      <c r="J28" s="270">
        <f t="shared" si="3"/>
        <v>-33.46</v>
      </c>
    </row>
    <row r="29" spans="1:10" s="37" customFormat="1" ht="15" customHeight="1">
      <c r="A29" s="273">
        <f t="shared" si="1"/>
        <v>26</v>
      </c>
      <c r="B29" s="187">
        <v>40185</v>
      </c>
      <c r="C29" s="213" t="s">
        <v>342</v>
      </c>
      <c r="D29" s="189"/>
      <c r="E29" s="190">
        <v>6.55</v>
      </c>
      <c r="F29" s="330">
        <f t="shared" si="2"/>
        <v>-40.01</v>
      </c>
      <c r="G29" s="191" t="s">
        <v>257</v>
      </c>
      <c r="H29" s="268" t="str">
        <f t="shared" si="0"/>
        <v/>
      </c>
      <c r="I29" s="269">
        <f t="shared" si="0"/>
        <v>6.55</v>
      </c>
      <c r="J29" s="270">
        <f t="shared" si="3"/>
        <v>-40.01</v>
      </c>
    </row>
    <row r="30" spans="1:10" s="37" customFormat="1" ht="15" customHeight="1">
      <c r="A30" s="273">
        <f t="shared" si="1"/>
        <v>27</v>
      </c>
      <c r="B30" s="187">
        <v>40186</v>
      </c>
      <c r="C30" s="213" t="s">
        <v>343</v>
      </c>
      <c r="D30" s="189"/>
      <c r="E30" s="190">
        <v>37.5</v>
      </c>
      <c r="F30" s="330">
        <f t="shared" si="2"/>
        <v>-77.509999999999991</v>
      </c>
      <c r="G30" s="191" t="s">
        <v>257</v>
      </c>
      <c r="H30" s="268" t="str">
        <f t="shared" si="0"/>
        <v/>
      </c>
      <c r="I30" s="269">
        <f t="shared" si="0"/>
        <v>37.5</v>
      </c>
      <c r="J30" s="270">
        <f t="shared" si="3"/>
        <v>-77.509999999999991</v>
      </c>
    </row>
    <row r="31" spans="1:10" s="37" customFormat="1" ht="15" customHeight="1">
      <c r="A31" s="273">
        <f t="shared" si="1"/>
        <v>28</v>
      </c>
      <c r="B31" s="187">
        <v>40209</v>
      </c>
      <c r="C31" s="213" t="s">
        <v>344</v>
      </c>
      <c r="D31" s="189">
        <v>77.510000000000005</v>
      </c>
      <c r="E31" s="190"/>
      <c r="F31" s="330">
        <f t="shared" si="2"/>
        <v>1.4210854715202004E-14</v>
      </c>
      <c r="G31" s="191" t="s">
        <v>259</v>
      </c>
      <c r="H31" s="268" t="str">
        <f t="shared" si="0"/>
        <v/>
      </c>
      <c r="I31" s="269" t="str">
        <f t="shared" si="0"/>
        <v/>
      </c>
      <c r="J31" s="270">
        <f t="shared" si="3"/>
        <v>-77.509999999999991</v>
      </c>
    </row>
    <row r="32" spans="1:10" s="37" customFormat="1" ht="15" customHeight="1">
      <c r="A32" s="273">
        <f t="shared" si="1"/>
        <v>29</v>
      </c>
      <c r="B32" s="187"/>
      <c r="C32" s="213"/>
      <c r="D32" s="189"/>
      <c r="E32" s="190"/>
      <c r="F32" s="330">
        <f t="shared" si="2"/>
        <v>1.4210854715202004E-14</v>
      </c>
      <c r="G32" s="191"/>
      <c r="H32" s="268" t="str">
        <f t="shared" si="0"/>
        <v/>
      </c>
      <c r="I32" s="269" t="str">
        <f t="shared" si="0"/>
        <v/>
      </c>
      <c r="J32" s="270">
        <f t="shared" si="3"/>
        <v>-77.509999999999991</v>
      </c>
    </row>
    <row r="33" spans="1:10" s="37" customFormat="1" ht="15" customHeight="1">
      <c r="A33" s="273">
        <f t="shared" si="1"/>
        <v>30</v>
      </c>
      <c r="B33" s="187"/>
      <c r="C33" s="213"/>
      <c r="D33" s="189"/>
      <c r="E33" s="190"/>
      <c r="F33" s="330">
        <f t="shared" si="2"/>
        <v>1.4210854715202004E-14</v>
      </c>
      <c r="G33" s="191"/>
      <c r="H33" s="268" t="str">
        <f t="shared" si="0"/>
        <v/>
      </c>
      <c r="I33" s="269" t="str">
        <f t="shared" si="0"/>
        <v/>
      </c>
      <c r="J33" s="270">
        <f t="shared" si="3"/>
        <v>-77.509999999999991</v>
      </c>
    </row>
    <row r="34" spans="1:10" s="37" customFormat="1" ht="15" customHeight="1" outlineLevel="1">
      <c r="A34" s="273">
        <f t="shared" si="1"/>
        <v>31</v>
      </c>
      <c r="B34" s="187"/>
      <c r="C34" s="213"/>
      <c r="D34" s="189"/>
      <c r="E34" s="190"/>
      <c r="F34" s="330">
        <f t="shared" si="2"/>
        <v>1.4210854715202004E-14</v>
      </c>
      <c r="G34" s="191"/>
      <c r="H34" s="268" t="str">
        <f t="shared" si="0"/>
        <v/>
      </c>
      <c r="I34" s="269" t="str">
        <f t="shared" si="0"/>
        <v/>
      </c>
      <c r="J34" s="270">
        <f t="shared" si="3"/>
        <v>-77.509999999999991</v>
      </c>
    </row>
    <row r="35" spans="1:10" s="37" customFormat="1" ht="15" customHeight="1" outlineLevel="1">
      <c r="A35" s="273">
        <f t="shared" si="1"/>
        <v>32</v>
      </c>
      <c r="B35" s="187"/>
      <c r="C35" s="213"/>
      <c r="D35" s="189"/>
      <c r="E35" s="190"/>
      <c r="F35" s="330">
        <f t="shared" si="2"/>
        <v>1.4210854715202004E-14</v>
      </c>
      <c r="G35" s="191"/>
      <c r="H35" s="268" t="str">
        <f t="shared" si="0"/>
        <v/>
      </c>
      <c r="I35" s="269" t="str">
        <f t="shared" si="0"/>
        <v/>
      </c>
      <c r="J35" s="270">
        <f t="shared" si="3"/>
        <v>-77.509999999999991</v>
      </c>
    </row>
    <row r="36" spans="1:10" s="37" customFormat="1" ht="15" customHeight="1" outlineLevel="1">
      <c r="A36" s="273">
        <f t="shared" si="1"/>
        <v>33</v>
      </c>
      <c r="B36" s="187"/>
      <c r="C36" s="213"/>
      <c r="D36" s="189"/>
      <c r="E36" s="190"/>
      <c r="F36" s="330">
        <f t="shared" si="2"/>
        <v>1.4210854715202004E-14</v>
      </c>
      <c r="G36" s="191"/>
      <c r="H36" s="268" t="str">
        <f t="shared" si="0"/>
        <v/>
      </c>
      <c r="I36" s="269" t="str">
        <f t="shared" si="0"/>
        <v/>
      </c>
      <c r="J36" s="270">
        <f t="shared" si="3"/>
        <v>-77.509999999999991</v>
      </c>
    </row>
    <row r="37" spans="1:10" s="37" customFormat="1" ht="15" customHeight="1" outlineLevel="1">
      <c r="A37" s="273">
        <f t="shared" si="1"/>
        <v>34</v>
      </c>
      <c r="B37" s="187"/>
      <c r="C37" s="213"/>
      <c r="D37" s="189"/>
      <c r="E37" s="190"/>
      <c r="F37" s="330">
        <f t="shared" si="2"/>
        <v>1.4210854715202004E-14</v>
      </c>
      <c r="G37" s="191"/>
      <c r="H37" s="268" t="str">
        <f t="shared" si="0"/>
        <v/>
      </c>
      <c r="I37" s="269" t="str">
        <f t="shared" si="0"/>
        <v/>
      </c>
      <c r="J37" s="270">
        <f t="shared" si="3"/>
        <v>-77.509999999999991</v>
      </c>
    </row>
    <row r="38" spans="1:10" s="37" customFormat="1" ht="15" customHeight="1" outlineLevel="1">
      <c r="A38" s="273">
        <f t="shared" si="1"/>
        <v>35</v>
      </c>
      <c r="B38" s="187"/>
      <c r="C38" s="213"/>
      <c r="D38" s="189"/>
      <c r="E38" s="190"/>
      <c r="F38" s="330">
        <f t="shared" si="2"/>
        <v>1.4210854715202004E-14</v>
      </c>
      <c r="G38" s="191"/>
      <c r="H38" s="268" t="str">
        <f t="shared" si="0"/>
        <v/>
      </c>
      <c r="I38" s="269" t="str">
        <f t="shared" si="0"/>
        <v/>
      </c>
      <c r="J38" s="270">
        <f t="shared" si="3"/>
        <v>-77.509999999999991</v>
      </c>
    </row>
    <row r="39" spans="1:10" s="37" customFormat="1" ht="15" customHeight="1" outlineLevel="1">
      <c r="A39" s="273">
        <f t="shared" si="1"/>
        <v>36</v>
      </c>
      <c r="B39" s="187"/>
      <c r="C39" s="213"/>
      <c r="D39" s="189"/>
      <c r="E39" s="190"/>
      <c r="F39" s="330">
        <f t="shared" si="2"/>
        <v>1.4210854715202004E-14</v>
      </c>
      <c r="G39" s="191"/>
      <c r="H39" s="268" t="str">
        <f t="shared" si="0"/>
        <v/>
      </c>
      <c r="I39" s="269" t="str">
        <f t="shared" si="0"/>
        <v/>
      </c>
      <c r="J39" s="270">
        <f t="shared" si="3"/>
        <v>-77.509999999999991</v>
      </c>
    </row>
    <row r="40" spans="1:10" s="37" customFormat="1" ht="15" customHeight="1" outlineLevel="1">
      <c r="A40" s="273">
        <f t="shared" si="1"/>
        <v>37</v>
      </c>
      <c r="B40" s="187"/>
      <c r="C40" s="213"/>
      <c r="D40" s="189"/>
      <c r="E40" s="190"/>
      <c r="F40" s="330">
        <f t="shared" si="2"/>
        <v>1.4210854715202004E-14</v>
      </c>
      <c r="G40" s="191"/>
      <c r="H40" s="268" t="str">
        <f t="shared" si="0"/>
        <v/>
      </c>
      <c r="I40" s="269" t="str">
        <f t="shared" si="0"/>
        <v/>
      </c>
      <c r="J40" s="270">
        <f t="shared" si="3"/>
        <v>-77.509999999999991</v>
      </c>
    </row>
    <row r="41" spans="1:10" s="37" customFormat="1" ht="15" customHeight="1" outlineLevel="1">
      <c r="A41" s="273">
        <f t="shared" si="1"/>
        <v>38</v>
      </c>
      <c r="B41" s="187"/>
      <c r="C41" s="213"/>
      <c r="D41" s="189"/>
      <c r="E41" s="190"/>
      <c r="F41" s="330">
        <f t="shared" si="2"/>
        <v>1.4210854715202004E-14</v>
      </c>
      <c r="G41" s="191"/>
      <c r="H41" s="268" t="str">
        <f t="shared" si="0"/>
        <v/>
      </c>
      <c r="I41" s="269" t="str">
        <f t="shared" si="0"/>
        <v/>
      </c>
      <c r="J41" s="270">
        <f t="shared" si="3"/>
        <v>-77.509999999999991</v>
      </c>
    </row>
    <row r="42" spans="1:10" s="37" customFormat="1" ht="15" customHeight="1" outlineLevel="1">
      <c r="A42" s="273">
        <f t="shared" si="1"/>
        <v>39</v>
      </c>
      <c r="B42" s="187"/>
      <c r="C42" s="213"/>
      <c r="D42" s="189"/>
      <c r="E42" s="190"/>
      <c r="F42" s="330">
        <f t="shared" si="2"/>
        <v>1.4210854715202004E-14</v>
      </c>
      <c r="G42" s="191"/>
      <c r="H42" s="268" t="str">
        <f t="shared" si="0"/>
        <v/>
      </c>
      <c r="I42" s="269" t="str">
        <f t="shared" si="0"/>
        <v/>
      </c>
      <c r="J42" s="270">
        <f t="shared" si="3"/>
        <v>-77.509999999999991</v>
      </c>
    </row>
    <row r="43" spans="1:10" s="37" customFormat="1" ht="15" customHeight="1" outlineLevel="1">
      <c r="A43" s="273">
        <f t="shared" si="1"/>
        <v>40</v>
      </c>
      <c r="B43" s="187"/>
      <c r="C43" s="213"/>
      <c r="D43" s="189"/>
      <c r="E43" s="190"/>
      <c r="F43" s="330">
        <f t="shared" si="2"/>
        <v>1.4210854715202004E-14</v>
      </c>
      <c r="G43" s="191"/>
      <c r="H43" s="268" t="str">
        <f t="shared" si="0"/>
        <v/>
      </c>
      <c r="I43" s="269" t="str">
        <f t="shared" si="0"/>
        <v/>
      </c>
      <c r="J43" s="270">
        <f t="shared" si="3"/>
        <v>-77.509999999999991</v>
      </c>
    </row>
    <row r="44" spans="1:10" s="37" customFormat="1" ht="15" customHeight="1" outlineLevel="1">
      <c r="A44" s="273">
        <f t="shared" si="1"/>
        <v>41</v>
      </c>
      <c r="B44" s="187"/>
      <c r="C44" s="213"/>
      <c r="D44" s="189"/>
      <c r="E44" s="190"/>
      <c r="F44" s="330">
        <f t="shared" si="2"/>
        <v>1.4210854715202004E-14</v>
      </c>
      <c r="G44" s="191"/>
      <c r="H44" s="268" t="str">
        <f t="shared" si="0"/>
        <v/>
      </c>
      <c r="I44" s="269" t="str">
        <f t="shared" si="0"/>
        <v/>
      </c>
      <c r="J44" s="270">
        <f t="shared" si="3"/>
        <v>-77.509999999999991</v>
      </c>
    </row>
    <row r="45" spans="1:10" s="37" customFormat="1" ht="15" customHeight="1" outlineLevel="1">
      <c r="A45" s="273">
        <f t="shared" si="1"/>
        <v>42</v>
      </c>
      <c r="B45" s="187"/>
      <c r="C45" s="213"/>
      <c r="D45" s="189"/>
      <c r="E45" s="190"/>
      <c r="F45" s="330">
        <f t="shared" si="2"/>
        <v>1.4210854715202004E-14</v>
      </c>
      <c r="G45" s="191"/>
      <c r="H45" s="268" t="str">
        <f t="shared" si="0"/>
        <v/>
      </c>
      <c r="I45" s="269" t="str">
        <f t="shared" si="0"/>
        <v/>
      </c>
      <c r="J45" s="270">
        <f t="shared" si="3"/>
        <v>-77.509999999999991</v>
      </c>
    </row>
    <row r="46" spans="1:10" s="37" customFormat="1" ht="15" customHeight="1" outlineLevel="1">
      <c r="A46" s="273">
        <f t="shared" si="1"/>
        <v>43</v>
      </c>
      <c r="B46" s="187"/>
      <c r="C46" s="213"/>
      <c r="D46" s="189"/>
      <c r="E46" s="190"/>
      <c r="F46" s="330">
        <f t="shared" si="2"/>
        <v>1.4210854715202004E-14</v>
      </c>
      <c r="G46" s="191"/>
      <c r="H46" s="268" t="str">
        <f t="shared" si="0"/>
        <v/>
      </c>
      <c r="I46" s="269" t="str">
        <f t="shared" si="0"/>
        <v/>
      </c>
      <c r="J46" s="270">
        <f t="shared" si="3"/>
        <v>-77.509999999999991</v>
      </c>
    </row>
    <row r="47" spans="1:10" s="37" customFormat="1" ht="15" customHeight="1" outlineLevel="1">
      <c r="A47" s="273">
        <f t="shared" si="1"/>
        <v>44</v>
      </c>
      <c r="B47" s="187"/>
      <c r="C47" s="213"/>
      <c r="D47" s="189"/>
      <c r="E47" s="190"/>
      <c r="F47" s="330">
        <f t="shared" si="2"/>
        <v>1.4210854715202004E-14</v>
      </c>
      <c r="G47" s="191"/>
      <c r="H47" s="268" t="str">
        <f t="shared" si="0"/>
        <v/>
      </c>
      <c r="I47" s="269" t="str">
        <f t="shared" si="0"/>
        <v/>
      </c>
      <c r="J47" s="270">
        <f t="shared" si="3"/>
        <v>-77.509999999999991</v>
      </c>
    </row>
    <row r="48" spans="1:10" s="37" customFormat="1" ht="15" customHeight="1" outlineLevel="1">
      <c r="A48" s="273">
        <f t="shared" si="1"/>
        <v>45</v>
      </c>
      <c r="B48" s="187"/>
      <c r="C48" s="213"/>
      <c r="D48" s="189"/>
      <c r="E48" s="190"/>
      <c r="F48" s="330">
        <f t="shared" si="2"/>
        <v>1.4210854715202004E-14</v>
      </c>
      <c r="G48" s="191"/>
      <c r="H48" s="268" t="str">
        <f t="shared" si="0"/>
        <v/>
      </c>
      <c r="I48" s="269" t="str">
        <f t="shared" si="0"/>
        <v/>
      </c>
      <c r="J48" s="270">
        <f t="shared" si="3"/>
        <v>-77.509999999999991</v>
      </c>
    </row>
    <row r="49" spans="1:10" s="37" customFormat="1" ht="15" customHeight="1" outlineLevel="1">
      <c r="A49" s="273">
        <f t="shared" si="1"/>
        <v>46</v>
      </c>
      <c r="B49" s="187"/>
      <c r="C49" s="213"/>
      <c r="D49" s="189"/>
      <c r="E49" s="190"/>
      <c r="F49" s="330">
        <f t="shared" si="2"/>
        <v>1.4210854715202004E-14</v>
      </c>
      <c r="G49" s="191"/>
      <c r="H49" s="268" t="str">
        <f t="shared" ref="H49:I64" si="4">IF(D49="","",IF($G49="","",IF($G49="ΟΧΙ","",D49)))</f>
        <v/>
      </c>
      <c r="I49" s="269" t="str">
        <f t="shared" si="4"/>
        <v/>
      </c>
      <c r="J49" s="270">
        <f t="shared" si="3"/>
        <v>-77.509999999999991</v>
      </c>
    </row>
    <row r="50" spans="1:10" s="37" customFormat="1" ht="15" customHeight="1" outlineLevel="1">
      <c r="A50" s="273">
        <f t="shared" si="1"/>
        <v>47</v>
      </c>
      <c r="B50" s="187"/>
      <c r="C50" s="213"/>
      <c r="D50" s="189"/>
      <c r="E50" s="190"/>
      <c r="F50" s="330">
        <f t="shared" si="2"/>
        <v>1.4210854715202004E-14</v>
      </c>
      <c r="G50" s="191"/>
      <c r="H50" s="268" t="str">
        <f t="shared" si="4"/>
        <v/>
      </c>
      <c r="I50" s="269" t="str">
        <f t="shared" si="4"/>
        <v/>
      </c>
      <c r="J50" s="270">
        <f t="shared" si="3"/>
        <v>-77.509999999999991</v>
      </c>
    </row>
    <row r="51" spans="1:10" s="37" customFormat="1" ht="15" customHeight="1" outlineLevel="1">
      <c r="A51" s="273">
        <f t="shared" si="1"/>
        <v>48</v>
      </c>
      <c r="B51" s="187"/>
      <c r="C51" s="213"/>
      <c r="D51" s="189"/>
      <c r="E51" s="190"/>
      <c r="F51" s="330">
        <f t="shared" si="2"/>
        <v>1.4210854715202004E-14</v>
      </c>
      <c r="G51" s="191"/>
      <c r="H51" s="268" t="str">
        <f t="shared" si="4"/>
        <v/>
      </c>
      <c r="I51" s="269" t="str">
        <f t="shared" si="4"/>
        <v/>
      </c>
      <c r="J51" s="270">
        <f t="shared" si="3"/>
        <v>-77.509999999999991</v>
      </c>
    </row>
    <row r="52" spans="1:10" s="37" customFormat="1" ht="15" customHeight="1" outlineLevel="1">
      <c r="A52" s="273">
        <f t="shared" si="1"/>
        <v>49</v>
      </c>
      <c r="B52" s="187"/>
      <c r="C52" s="213"/>
      <c r="D52" s="214"/>
      <c r="E52" s="190"/>
      <c r="F52" s="330">
        <f t="shared" si="2"/>
        <v>1.4210854715202004E-14</v>
      </c>
      <c r="G52" s="191"/>
      <c r="H52" s="268" t="str">
        <f t="shared" si="4"/>
        <v/>
      </c>
      <c r="I52" s="269" t="str">
        <f t="shared" si="4"/>
        <v/>
      </c>
      <c r="J52" s="270">
        <f t="shared" si="3"/>
        <v>-77.509999999999991</v>
      </c>
    </row>
    <row r="53" spans="1:10" s="37" customFormat="1" ht="15" customHeight="1" outlineLevel="1">
      <c r="A53" s="273">
        <f t="shared" si="1"/>
        <v>50</v>
      </c>
      <c r="B53" s="187"/>
      <c r="C53" s="213"/>
      <c r="D53" s="214"/>
      <c r="E53" s="190"/>
      <c r="F53" s="330">
        <f t="shared" si="2"/>
        <v>1.4210854715202004E-14</v>
      </c>
      <c r="G53" s="191"/>
      <c r="H53" s="268" t="str">
        <f t="shared" si="4"/>
        <v/>
      </c>
      <c r="I53" s="269" t="str">
        <f t="shared" si="4"/>
        <v/>
      </c>
      <c r="J53" s="270">
        <f t="shared" si="3"/>
        <v>-77.509999999999991</v>
      </c>
    </row>
    <row r="54" spans="1:10" s="37" customFormat="1" ht="15" customHeight="1" outlineLevel="1">
      <c r="A54" s="273">
        <f t="shared" si="1"/>
        <v>51</v>
      </c>
      <c r="B54" s="187"/>
      <c r="C54" s="213"/>
      <c r="D54" s="214"/>
      <c r="E54" s="190"/>
      <c r="F54" s="330">
        <f t="shared" si="2"/>
        <v>1.4210854715202004E-14</v>
      </c>
      <c r="G54" s="191"/>
      <c r="H54" s="268" t="str">
        <f t="shared" si="4"/>
        <v/>
      </c>
      <c r="I54" s="269" t="str">
        <f t="shared" si="4"/>
        <v/>
      </c>
      <c r="J54" s="270">
        <f t="shared" si="3"/>
        <v>-77.509999999999991</v>
      </c>
    </row>
    <row r="55" spans="1:10" s="37" customFormat="1" ht="15" customHeight="1" outlineLevel="1">
      <c r="A55" s="273">
        <f t="shared" si="1"/>
        <v>52</v>
      </c>
      <c r="B55" s="187"/>
      <c r="C55" s="213"/>
      <c r="D55" s="214"/>
      <c r="E55" s="190"/>
      <c r="F55" s="330">
        <f t="shared" si="2"/>
        <v>1.4210854715202004E-14</v>
      </c>
      <c r="G55" s="191"/>
      <c r="H55" s="268" t="str">
        <f t="shared" si="4"/>
        <v/>
      </c>
      <c r="I55" s="269" t="str">
        <f t="shared" si="4"/>
        <v/>
      </c>
      <c r="J55" s="270">
        <f t="shared" si="3"/>
        <v>-77.509999999999991</v>
      </c>
    </row>
    <row r="56" spans="1:10" s="37" customFormat="1" ht="15" customHeight="1" outlineLevel="1">
      <c r="A56" s="273">
        <f t="shared" si="1"/>
        <v>53</v>
      </c>
      <c r="B56" s="187"/>
      <c r="C56" s="213"/>
      <c r="D56" s="214"/>
      <c r="E56" s="190"/>
      <c r="F56" s="330">
        <f t="shared" si="2"/>
        <v>1.4210854715202004E-14</v>
      </c>
      <c r="G56" s="191"/>
      <c r="H56" s="268" t="str">
        <f t="shared" si="4"/>
        <v/>
      </c>
      <c r="I56" s="269" t="str">
        <f t="shared" si="4"/>
        <v/>
      </c>
      <c r="J56" s="270">
        <f t="shared" si="3"/>
        <v>-77.509999999999991</v>
      </c>
    </row>
    <row r="57" spans="1:10" s="37" customFormat="1" ht="15" customHeight="1" outlineLevel="1">
      <c r="A57" s="273">
        <f t="shared" si="1"/>
        <v>54</v>
      </c>
      <c r="B57" s="187"/>
      <c r="C57" s="213"/>
      <c r="D57" s="214"/>
      <c r="E57" s="190"/>
      <c r="F57" s="330">
        <f t="shared" si="2"/>
        <v>1.4210854715202004E-14</v>
      </c>
      <c r="G57" s="191"/>
      <c r="H57" s="268" t="str">
        <f t="shared" si="4"/>
        <v/>
      </c>
      <c r="I57" s="269" t="str">
        <f t="shared" si="4"/>
        <v/>
      </c>
      <c r="J57" s="270">
        <f t="shared" si="3"/>
        <v>-77.509999999999991</v>
      </c>
    </row>
    <row r="58" spans="1:10" s="37" customFormat="1" ht="15" customHeight="1" outlineLevel="1">
      <c r="A58" s="273">
        <f t="shared" si="1"/>
        <v>55</v>
      </c>
      <c r="B58" s="187"/>
      <c r="C58" s="213"/>
      <c r="D58" s="214"/>
      <c r="E58" s="190"/>
      <c r="F58" s="330">
        <f t="shared" si="2"/>
        <v>1.4210854715202004E-14</v>
      </c>
      <c r="G58" s="191"/>
      <c r="H58" s="268" t="str">
        <f t="shared" si="4"/>
        <v/>
      </c>
      <c r="I58" s="269" t="str">
        <f t="shared" si="4"/>
        <v/>
      </c>
      <c r="J58" s="270">
        <f t="shared" si="3"/>
        <v>-77.509999999999991</v>
      </c>
    </row>
    <row r="59" spans="1:10" s="37" customFormat="1" ht="15" customHeight="1" outlineLevel="1">
      <c r="A59" s="273">
        <f t="shared" si="1"/>
        <v>56</v>
      </c>
      <c r="B59" s="187"/>
      <c r="C59" s="213"/>
      <c r="D59" s="214"/>
      <c r="E59" s="190"/>
      <c r="F59" s="330">
        <f t="shared" si="2"/>
        <v>1.4210854715202004E-14</v>
      </c>
      <c r="G59" s="191"/>
      <c r="H59" s="268" t="str">
        <f t="shared" si="4"/>
        <v/>
      </c>
      <c r="I59" s="269" t="str">
        <f t="shared" si="4"/>
        <v/>
      </c>
      <c r="J59" s="270">
        <f t="shared" si="3"/>
        <v>-77.509999999999991</v>
      </c>
    </row>
    <row r="60" spans="1:10" s="37" customFormat="1" ht="15" customHeight="1" outlineLevel="1">
      <c r="A60" s="273">
        <f t="shared" si="1"/>
        <v>57</v>
      </c>
      <c r="B60" s="187"/>
      <c r="C60" s="213"/>
      <c r="D60" s="214"/>
      <c r="E60" s="190"/>
      <c r="F60" s="330">
        <f t="shared" si="2"/>
        <v>1.4210854715202004E-14</v>
      </c>
      <c r="G60" s="191"/>
      <c r="H60" s="268" t="str">
        <f t="shared" si="4"/>
        <v/>
      </c>
      <c r="I60" s="269" t="str">
        <f t="shared" si="4"/>
        <v/>
      </c>
      <c r="J60" s="270">
        <f t="shared" si="3"/>
        <v>-77.509999999999991</v>
      </c>
    </row>
    <row r="61" spans="1:10" s="37" customFormat="1" ht="15" customHeight="1" outlineLevel="1">
      <c r="A61" s="273">
        <f t="shared" si="1"/>
        <v>58</v>
      </c>
      <c r="B61" s="187"/>
      <c r="C61" s="213"/>
      <c r="D61" s="214"/>
      <c r="E61" s="190"/>
      <c r="F61" s="330">
        <f t="shared" si="2"/>
        <v>1.4210854715202004E-14</v>
      </c>
      <c r="G61" s="191"/>
      <c r="H61" s="268" t="str">
        <f t="shared" si="4"/>
        <v/>
      </c>
      <c r="I61" s="269" t="str">
        <f t="shared" si="4"/>
        <v/>
      </c>
      <c r="J61" s="270">
        <f t="shared" si="3"/>
        <v>-77.509999999999991</v>
      </c>
    </row>
    <row r="62" spans="1:10" s="37" customFormat="1" ht="15" customHeight="1" outlineLevel="1">
      <c r="A62" s="273">
        <f t="shared" si="1"/>
        <v>59</v>
      </c>
      <c r="B62" s="187"/>
      <c r="C62" s="213"/>
      <c r="D62" s="189"/>
      <c r="E62" s="190"/>
      <c r="F62" s="330">
        <f t="shared" si="2"/>
        <v>1.4210854715202004E-14</v>
      </c>
      <c r="G62" s="191"/>
      <c r="H62" s="268" t="str">
        <f t="shared" si="4"/>
        <v/>
      </c>
      <c r="I62" s="269" t="str">
        <f t="shared" si="4"/>
        <v/>
      </c>
      <c r="J62" s="270">
        <f t="shared" si="3"/>
        <v>-77.509999999999991</v>
      </c>
    </row>
    <row r="63" spans="1:10" s="37" customFormat="1" ht="15" customHeight="1" outlineLevel="1">
      <c r="A63" s="273">
        <f t="shared" si="1"/>
        <v>60</v>
      </c>
      <c r="B63" s="187"/>
      <c r="C63" s="213"/>
      <c r="D63" s="189"/>
      <c r="E63" s="190"/>
      <c r="F63" s="330">
        <f t="shared" si="2"/>
        <v>1.4210854715202004E-14</v>
      </c>
      <c r="G63" s="191"/>
      <c r="H63" s="268" t="str">
        <f t="shared" si="4"/>
        <v/>
      </c>
      <c r="I63" s="269" t="str">
        <f t="shared" si="4"/>
        <v/>
      </c>
      <c r="J63" s="270">
        <f t="shared" si="3"/>
        <v>-77.509999999999991</v>
      </c>
    </row>
    <row r="64" spans="1:10" s="37" customFormat="1" ht="15" customHeight="1" outlineLevel="1">
      <c r="A64" s="273">
        <f t="shared" si="1"/>
        <v>61</v>
      </c>
      <c r="B64" s="187"/>
      <c r="C64" s="213"/>
      <c r="D64" s="189"/>
      <c r="E64" s="190"/>
      <c r="F64" s="330">
        <f t="shared" si="2"/>
        <v>1.4210854715202004E-14</v>
      </c>
      <c r="G64" s="191"/>
      <c r="H64" s="268" t="str">
        <f t="shared" si="4"/>
        <v/>
      </c>
      <c r="I64" s="269" t="str">
        <f t="shared" si="4"/>
        <v/>
      </c>
      <c r="J64" s="270">
        <f t="shared" si="3"/>
        <v>-77.509999999999991</v>
      </c>
    </row>
    <row r="65" spans="1:10" s="37" customFormat="1" ht="15" customHeight="1" outlineLevel="1">
      <c r="A65" s="273">
        <f t="shared" si="1"/>
        <v>62</v>
      </c>
      <c r="B65" s="187"/>
      <c r="C65" s="213"/>
      <c r="D65" s="189"/>
      <c r="E65" s="190"/>
      <c r="F65" s="330">
        <f t="shared" si="2"/>
        <v>1.4210854715202004E-14</v>
      </c>
      <c r="G65" s="191"/>
      <c r="H65" s="268" t="str">
        <f t="shared" ref="H65:I80" si="5">IF(D65="","",IF($G65="","",IF($G65="ΟΧΙ","",D65)))</f>
        <v/>
      </c>
      <c r="I65" s="269" t="str">
        <f t="shared" si="5"/>
        <v/>
      </c>
      <c r="J65" s="270">
        <f t="shared" si="3"/>
        <v>-77.509999999999991</v>
      </c>
    </row>
    <row r="66" spans="1:10" s="37" customFormat="1" ht="15" customHeight="1" outlineLevel="1">
      <c r="A66" s="273">
        <f t="shared" si="1"/>
        <v>63</v>
      </c>
      <c r="B66" s="187"/>
      <c r="C66" s="213"/>
      <c r="D66" s="189"/>
      <c r="E66" s="190"/>
      <c r="F66" s="330">
        <f t="shared" si="2"/>
        <v>1.4210854715202004E-14</v>
      </c>
      <c r="G66" s="191"/>
      <c r="H66" s="268" t="str">
        <f t="shared" si="5"/>
        <v/>
      </c>
      <c r="I66" s="269" t="str">
        <f t="shared" si="5"/>
        <v/>
      </c>
      <c r="J66" s="270">
        <f t="shared" si="3"/>
        <v>-77.509999999999991</v>
      </c>
    </row>
    <row r="67" spans="1:10" s="37" customFormat="1" ht="15" customHeight="1" outlineLevel="1">
      <c r="A67" s="273">
        <f t="shared" si="1"/>
        <v>64</v>
      </c>
      <c r="B67" s="187"/>
      <c r="C67" s="213"/>
      <c r="D67" s="189"/>
      <c r="E67" s="190"/>
      <c r="F67" s="330">
        <f t="shared" si="2"/>
        <v>1.4210854715202004E-14</v>
      </c>
      <c r="G67" s="191"/>
      <c r="H67" s="268" t="str">
        <f t="shared" si="5"/>
        <v/>
      </c>
      <c r="I67" s="269" t="str">
        <f t="shared" si="5"/>
        <v/>
      </c>
      <c r="J67" s="270">
        <f t="shared" si="3"/>
        <v>-77.509999999999991</v>
      </c>
    </row>
    <row r="68" spans="1:10" s="37" customFormat="1" ht="15" customHeight="1" outlineLevel="1">
      <c r="A68" s="273">
        <f t="shared" si="1"/>
        <v>65</v>
      </c>
      <c r="B68" s="187"/>
      <c r="C68" s="213"/>
      <c r="D68" s="189"/>
      <c r="E68" s="190"/>
      <c r="F68" s="330">
        <f t="shared" si="2"/>
        <v>1.4210854715202004E-14</v>
      </c>
      <c r="G68" s="191"/>
      <c r="H68" s="268" t="str">
        <f t="shared" si="5"/>
        <v/>
      </c>
      <c r="I68" s="269" t="str">
        <f t="shared" si="5"/>
        <v/>
      </c>
      <c r="J68" s="270">
        <f t="shared" si="3"/>
        <v>-77.509999999999991</v>
      </c>
    </row>
    <row r="69" spans="1:10" s="37" customFormat="1" ht="15" customHeight="1" outlineLevel="1">
      <c r="A69" s="273">
        <f t="shared" si="1"/>
        <v>66</v>
      </c>
      <c r="B69" s="187"/>
      <c r="C69" s="213"/>
      <c r="D69" s="189"/>
      <c r="E69" s="190"/>
      <c r="F69" s="330">
        <f t="shared" si="2"/>
        <v>1.4210854715202004E-14</v>
      </c>
      <c r="G69" s="191"/>
      <c r="H69" s="268" t="str">
        <f t="shared" si="5"/>
        <v/>
      </c>
      <c r="I69" s="269" t="str">
        <f t="shared" si="5"/>
        <v/>
      </c>
      <c r="J69" s="270">
        <f t="shared" si="3"/>
        <v>-77.509999999999991</v>
      </c>
    </row>
    <row r="70" spans="1:10" s="37" customFormat="1" ht="15" customHeight="1" outlineLevel="1">
      <c r="A70" s="273">
        <f t="shared" ref="A70:A133" si="6">A69+1</f>
        <v>67</v>
      </c>
      <c r="B70" s="187"/>
      <c r="C70" s="213"/>
      <c r="D70" s="189"/>
      <c r="E70" s="190"/>
      <c r="F70" s="330">
        <f t="shared" ref="F70:F133" si="7">F69+D70-E70</f>
        <v>1.4210854715202004E-14</v>
      </c>
      <c r="G70" s="191"/>
      <c r="H70" s="268" t="str">
        <f t="shared" si="5"/>
        <v/>
      </c>
      <c r="I70" s="269" t="str">
        <f t="shared" si="5"/>
        <v/>
      </c>
      <c r="J70" s="270">
        <f t="shared" ref="J70:J133" si="8">IF(AND(H70="",I70=""),J69,IF(H70="",J69-I70,J69+H70))</f>
        <v>-77.509999999999991</v>
      </c>
    </row>
    <row r="71" spans="1:10" s="37" customFormat="1" ht="15" customHeight="1" outlineLevel="1">
      <c r="A71" s="273">
        <f t="shared" si="6"/>
        <v>68</v>
      </c>
      <c r="B71" s="187"/>
      <c r="C71" s="213"/>
      <c r="D71" s="189"/>
      <c r="E71" s="190"/>
      <c r="F71" s="330">
        <f t="shared" si="7"/>
        <v>1.4210854715202004E-14</v>
      </c>
      <c r="G71" s="191"/>
      <c r="H71" s="268" t="str">
        <f t="shared" si="5"/>
        <v/>
      </c>
      <c r="I71" s="269" t="str">
        <f t="shared" si="5"/>
        <v/>
      </c>
      <c r="J71" s="270">
        <f t="shared" si="8"/>
        <v>-77.509999999999991</v>
      </c>
    </row>
    <row r="72" spans="1:10" s="37" customFormat="1" ht="15" customHeight="1" outlineLevel="1">
      <c r="A72" s="273">
        <f t="shared" si="6"/>
        <v>69</v>
      </c>
      <c r="B72" s="187"/>
      <c r="C72" s="213"/>
      <c r="D72" s="189"/>
      <c r="E72" s="190"/>
      <c r="F72" s="330">
        <f t="shared" si="7"/>
        <v>1.4210854715202004E-14</v>
      </c>
      <c r="G72" s="191"/>
      <c r="H72" s="268" t="str">
        <f t="shared" si="5"/>
        <v/>
      </c>
      <c r="I72" s="269" t="str">
        <f t="shared" si="5"/>
        <v/>
      </c>
      <c r="J72" s="270">
        <f t="shared" si="8"/>
        <v>-77.509999999999991</v>
      </c>
    </row>
    <row r="73" spans="1:10" s="37" customFormat="1" ht="15" customHeight="1" outlineLevel="1">
      <c r="A73" s="273">
        <f t="shared" si="6"/>
        <v>70</v>
      </c>
      <c r="B73" s="187"/>
      <c r="C73" s="213"/>
      <c r="D73" s="189"/>
      <c r="E73" s="190"/>
      <c r="F73" s="330">
        <f t="shared" si="7"/>
        <v>1.4210854715202004E-14</v>
      </c>
      <c r="G73" s="191"/>
      <c r="H73" s="268" t="str">
        <f t="shared" si="5"/>
        <v/>
      </c>
      <c r="I73" s="269" t="str">
        <f t="shared" si="5"/>
        <v/>
      </c>
      <c r="J73" s="270">
        <f t="shared" si="8"/>
        <v>-77.509999999999991</v>
      </c>
    </row>
    <row r="74" spans="1:10" s="37" customFormat="1" ht="15" customHeight="1" outlineLevel="1">
      <c r="A74" s="273">
        <f t="shared" si="6"/>
        <v>71</v>
      </c>
      <c r="B74" s="187"/>
      <c r="C74" s="213"/>
      <c r="D74" s="189"/>
      <c r="E74" s="190"/>
      <c r="F74" s="330">
        <f t="shared" si="7"/>
        <v>1.4210854715202004E-14</v>
      </c>
      <c r="G74" s="191"/>
      <c r="H74" s="268" t="str">
        <f t="shared" si="5"/>
        <v/>
      </c>
      <c r="I74" s="269" t="str">
        <f t="shared" si="5"/>
        <v/>
      </c>
      <c r="J74" s="270">
        <f t="shared" si="8"/>
        <v>-77.509999999999991</v>
      </c>
    </row>
    <row r="75" spans="1:10" s="37" customFormat="1" ht="15" customHeight="1" outlineLevel="1">
      <c r="A75" s="273">
        <f t="shared" si="6"/>
        <v>72</v>
      </c>
      <c r="B75" s="187"/>
      <c r="C75" s="213"/>
      <c r="D75" s="189"/>
      <c r="E75" s="190"/>
      <c r="F75" s="330">
        <f t="shared" si="7"/>
        <v>1.4210854715202004E-14</v>
      </c>
      <c r="G75" s="191"/>
      <c r="H75" s="268" t="str">
        <f t="shared" si="5"/>
        <v/>
      </c>
      <c r="I75" s="269" t="str">
        <f t="shared" si="5"/>
        <v/>
      </c>
      <c r="J75" s="270">
        <f t="shared" si="8"/>
        <v>-77.509999999999991</v>
      </c>
    </row>
    <row r="76" spans="1:10" s="37" customFormat="1" ht="15" customHeight="1" outlineLevel="1">
      <c r="A76" s="273">
        <f t="shared" si="6"/>
        <v>73</v>
      </c>
      <c r="B76" s="187"/>
      <c r="C76" s="213"/>
      <c r="D76" s="189"/>
      <c r="E76" s="190"/>
      <c r="F76" s="330">
        <f t="shared" si="7"/>
        <v>1.4210854715202004E-14</v>
      </c>
      <c r="G76" s="191"/>
      <c r="H76" s="268" t="str">
        <f t="shared" si="5"/>
        <v/>
      </c>
      <c r="I76" s="269" t="str">
        <f t="shared" si="5"/>
        <v/>
      </c>
      <c r="J76" s="270">
        <f t="shared" si="8"/>
        <v>-77.509999999999991</v>
      </c>
    </row>
    <row r="77" spans="1:10" s="37" customFormat="1" ht="15" customHeight="1" outlineLevel="1">
      <c r="A77" s="273">
        <f t="shared" si="6"/>
        <v>74</v>
      </c>
      <c r="B77" s="187"/>
      <c r="C77" s="213"/>
      <c r="D77" s="189"/>
      <c r="E77" s="190"/>
      <c r="F77" s="330">
        <f t="shared" si="7"/>
        <v>1.4210854715202004E-14</v>
      </c>
      <c r="G77" s="191"/>
      <c r="H77" s="268" t="str">
        <f t="shared" si="5"/>
        <v/>
      </c>
      <c r="I77" s="269" t="str">
        <f t="shared" si="5"/>
        <v/>
      </c>
      <c r="J77" s="270">
        <f t="shared" si="8"/>
        <v>-77.509999999999991</v>
      </c>
    </row>
    <row r="78" spans="1:10" s="37" customFormat="1" ht="15" customHeight="1" outlineLevel="1">
      <c r="A78" s="273">
        <f t="shared" si="6"/>
        <v>75</v>
      </c>
      <c r="B78" s="187"/>
      <c r="C78" s="213"/>
      <c r="D78" s="189"/>
      <c r="E78" s="190"/>
      <c r="F78" s="330">
        <f t="shared" si="7"/>
        <v>1.4210854715202004E-14</v>
      </c>
      <c r="G78" s="191"/>
      <c r="H78" s="268" t="str">
        <f t="shared" si="5"/>
        <v/>
      </c>
      <c r="I78" s="269" t="str">
        <f t="shared" si="5"/>
        <v/>
      </c>
      <c r="J78" s="270">
        <f t="shared" si="8"/>
        <v>-77.509999999999991</v>
      </c>
    </row>
    <row r="79" spans="1:10" s="37" customFormat="1" ht="15" customHeight="1" outlineLevel="1">
      <c r="A79" s="273">
        <f t="shared" si="6"/>
        <v>76</v>
      </c>
      <c r="B79" s="187"/>
      <c r="C79" s="213"/>
      <c r="D79" s="189"/>
      <c r="E79" s="190"/>
      <c r="F79" s="330">
        <f t="shared" si="7"/>
        <v>1.4210854715202004E-14</v>
      </c>
      <c r="G79" s="191"/>
      <c r="H79" s="268" t="str">
        <f t="shared" si="5"/>
        <v/>
      </c>
      <c r="I79" s="269" t="str">
        <f t="shared" si="5"/>
        <v/>
      </c>
      <c r="J79" s="270">
        <f t="shared" si="8"/>
        <v>-77.509999999999991</v>
      </c>
    </row>
    <row r="80" spans="1:10" s="37" customFormat="1" ht="15" customHeight="1" outlineLevel="1">
      <c r="A80" s="273">
        <f t="shared" si="6"/>
        <v>77</v>
      </c>
      <c r="B80" s="187"/>
      <c r="C80" s="213"/>
      <c r="D80" s="189"/>
      <c r="E80" s="190"/>
      <c r="F80" s="330">
        <f t="shared" si="7"/>
        <v>1.4210854715202004E-14</v>
      </c>
      <c r="G80" s="191"/>
      <c r="H80" s="268" t="str">
        <f t="shared" si="5"/>
        <v/>
      </c>
      <c r="I80" s="269" t="str">
        <f t="shared" si="5"/>
        <v/>
      </c>
      <c r="J80" s="270">
        <f t="shared" si="8"/>
        <v>-77.509999999999991</v>
      </c>
    </row>
    <row r="81" spans="1:10" s="37" customFormat="1" ht="15" customHeight="1" outlineLevel="1">
      <c r="A81" s="273">
        <f t="shared" si="6"/>
        <v>78</v>
      </c>
      <c r="B81" s="187"/>
      <c r="C81" s="213"/>
      <c r="D81" s="189"/>
      <c r="E81" s="190"/>
      <c r="F81" s="330">
        <f t="shared" si="7"/>
        <v>1.4210854715202004E-14</v>
      </c>
      <c r="G81" s="191"/>
      <c r="H81" s="268" t="str">
        <f t="shared" ref="H81:I113" si="9">IF(D81="","",IF($G81="","",IF($G81="ΟΧΙ","",D81)))</f>
        <v/>
      </c>
      <c r="I81" s="269" t="str">
        <f t="shared" si="9"/>
        <v/>
      </c>
      <c r="J81" s="270">
        <f t="shared" si="8"/>
        <v>-77.509999999999991</v>
      </c>
    </row>
    <row r="82" spans="1:10" s="37" customFormat="1" ht="15" customHeight="1" outlineLevel="1">
      <c r="A82" s="273">
        <f t="shared" si="6"/>
        <v>79</v>
      </c>
      <c r="B82" s="187"/>
      <c r="C82" s="213"/>
      <c r="D82" s="189"/>
      <c r="E82" s="190"/>
      <c r="F82" s="330">
        <f t="shared" si="7"/>
        <v>1.4210854715202004E-14</v>
      </c>
      <c r="G82" s="191"/>
      <c r="H82" s="268" t="str">
        <f t="shared" si="9"/>
        <v/>
      </c>
      <c r="I82" s="269" t="str">
        <f t="shared" si="9"/>
        <v/>
      </c>
      <c r="J82" s="270">
        <f t="shared" si="8"/>
        <v>-77.509999999999991</v>
      </c>
    </row>
    <row r="83" spans="1:10" s="37" customFormat="1" ht="15" customHeight="1" outlineLevel="1">
      <c r="A83" s="273">
        <f t="shared" si="6"/>
        <v>80</v>
      </c>
      <c r="B83" s="187"/>
      <c r="C83" s="213"/>
      <c r="D83" s="189"/>
      <c r="E83" s="190"/>
      <c r="F83" s="330">
        <f t="shared" si="7"/>
        <v>1.4210854715202004E-14</v>
      </c>
      <c r="G83" s="191"/>
      <c r="H83" s="268" t="str">
        <f t="shared" si="9"/>
        <v/>
      </c>
      <c r="I83" s="269" t="str">
        <f t="shared" si="9"/>
        <v/>
      </c>
      <c r="J83" s="270">
        <f t="shared" si="8"/>
        <v>-77.509999999999991</v>
      </c>
    </row>
    <row r="84" spans="1:10" s="37" customFormat="1" ht="15" customHeight="1" outlineLevel="1">
      <c r="A84" s="273">
        <f t="shared" si="6"/>
        <v>81</v>
      </c>
      <c r="B84" s="187"/>
      <c r="C84" s="213"/>
      <c r="D84" s="189"/>
      <c r="E84" s="190"/>
      <c r="F84" s="330">
        <f t="shared" si="7"/>
        <v>1.4210854715202004E-14</v>
      </c>
      <c r="G84" s="191"/>
      <c r="H84" s="268" t="str">
        <f t="shared" si="9"/>
        <v/>
      </c>
      <c r="I84" s="269" t="str">
        <f t="shared" si="9"/>
        <v/>
      </c>
      <c r="J84" s="270">
        <f t="shared" si="8"/>
        <v>-77.509999999999991</v>
      </c>
    </row>
    <row r="85" spans="1:10" s="37" customFormat="1" ht="15" customHeight="1" outlineLevel="1">
      <c r="A85" s="273">
        <f t="shared" si="6"/>
        <v>82</v>
      </c>
      <c r="B85" s="187"/>
      <c r="C85" s="213"/>
      <c r="D85" s="189"/>
      <c r="E85" s="190"/>
      <c r="F85" s="330">
        <f t="shared" si="7"/>
        <v>1.4210854715202004E-14</v>
      </c>
      <c r="G85" s="191"/>
      <c r="H85" s="268" t="str">
        <f t="shared" si="9"/>
        <v/>
      </c>
      <c r="I85" s="269" t="str">
        <f t="shared" si="9"/>
        <v/>
      </c>
      <c r="J85" s="270">
        <f t="shared" si="8"/>
        <v>-77.509999999999991</v>
      </c>
    </row>
    <row r="86" spans="1:10" s="37" customFormat="1" ht="15" customHeight="1" outlineLevel="1">
      <c r="A86" s="273">
        <f t="shared" si="6"/>
        <v>83</v>
      </c>
      <c r="B86" s="187"/>
      <c r="C86" s="213"/>
      <c r="D86" s="189"/>
      <c r="E86" s="190"/>
      <c r="F86" s="330">
        <f t="shared" si="7"/>
        <v>1.4210854715202004E-14</v>
      </c>
      <c r="G86" s="191"/>
      <c r="H86" s="268" t="str">
        <f t="shared" si="9"/>
        <v/>
      </c>
      <c r="I86" s="269" t="str">
        <f t="shared" si="9"/>
        <v/>
      </c>
      <c r="J86" s="270">
        <f t="shared" si="8"/>
        <v>-77.509999999999991</v>
      </c>
    </row>
    <row r="87" spans="1:10" s="37" customFormat="1" ht="15" customHeight="1" outlineLevel="1">
      <c r="A87" s="273">
        <f t="shared" si="6"/>
        <v>84</v>
      </c>
      <c r="B87" s="187"/>
      <c r="C87" s="213"/>
      <c r="D87" s="189"/>
      <c r="E87" s="190"/>
      <c r="F87" s="330">
        <f t="shared" si="7"/>
        <v>1.4210854715202004E-14</v>
      </c>
      <c r="G87" s="191"/>
      <c r="H87" s="268" t="str">
        <f t="shared" si="9"/>
        <v/>
      </c>
      <c r="I87" s="269" t="str">
        <f t="shared" si="9"/>
        <v/>
      </c>
      <c r="J87" s="270">
        <f t="shared" si="8"/>
        <v>-77.509999999999991</v>
      </c>
    </row>
    <row r="88" spans="1:10" s="37" customFormat="1" ht="15" customHeight="1" outlineLevel="1">
      <c r="A88" s="273">
        <f t="shared" si="6"/>
        <v>85</v>
      </c>
      <c r="B88" s="187"/>
      <c r="C88" s="213"/>
      <c r="D88" s="189"/>
      <c r="E88" s="190"/>
      <c r="F88" s="330">
        <f t="shared" si="7"/>
        <v>1.4210854715202004E-14</v>
      </c>
      <c r="G88" s="191"/>
      <c r="H88" s="268" t="str">
        <f t="shared" si="9"/>
        <v/>
      </c>
      <c r="I88" s="269" t="str">
        <f t="shared" si="9"/>
        <v/>
      </c>
      <c r="J88" s="270">
        <f t="shared" si="8"/>
        <v>-77.509999999999991</v>
      </c>
    </row>
    <row r="89" spans="1:10" s="37" customFormat="1" ht="15" customHeight="1" outlineLevel="1">
      <c r="A89" s="273">
        <f t="shared" si="6"/>
        <v>86</v>
      </c>
      <c r="B89" s="187"/>
      <c r="C89" s="213"/>
      <c r="D89" s="189"/>
      <c r="E89" s="190"/>
      <c r="F89" s="330">
        <f t="shared" si="7"/>
        <v>1.4210854715202004E-14</v>
      </c>
      <c r="G89" s="191"/>
      <c r="H89" s="268" t="str">
        <f t="shared" si="9"/>
        <v/>
      </c>
      <c r="I89" s="269" t="str">
        <f t="shared" si="9"/>
        <v/>
      </c>
      <c r="J89" s="270">
        <f t="shared" si="8"/>
        <v>-77.509999999999991</v>
      </c>
    </row>
    <row r="90" spans="1:10" s="37" customFormat="1" ht="15" customHeight="1" outlineLevel="1">
      <c r="A90" s="273">
        <f t="shared" si="6"/>
        <v>87</v>
      </c>
      <c r="B90" s="187"/>
      <c r="C90" s="213"/>
      <c r="D90" s="189"/>
      <c r="E90" s="190"/>
      <c r="F90" s="330">
        <f t="shared" si="7"/>
        <v>1.4210854715202004E-14</v>
      </c>
      <c r="G90" s="191"/>
      <c r="H90" s="268" t="str">
        <f t="shared" si="9"/>
        <v/>
      </c>
      <c r="I90" s="269" t="str">
        <f t="shared" si="9"/>
        <v/>
      </c>
      <c r="J90" s="270">
        <f t="shared" si="8"/>
        <v>-77.509999999999991</v>
      </c>
    </row>
    <row r="91" spans="1:10" s="37" customFormat="1" ht="15" customHeight="1" outlineLevel="1">
      <c r="A91" s="273">
        <f t="shared" si="6"/>
        <v>88</v>
      </c>
      <c r="B91" s="187"/>
      <c r="C91" s="213"/>
      <c r="D91" s="189"/>
      <c r="E91" s="190"/>
      <c r="F91" s="330">
        <f t="shared" si="7"/>
        <v>1.4210854715202004E-14</v>
      </c>
      <c r="G91" s="191"/>
      <c r="H91" s="268" t="str">
        <f t="shared" si="9"/>
        <v/>
      </c>
      <c r="I91" s="269" t="str">
        <f t="shared" si="9"/>
        <v/>
      </c>
      <c r="J91" s="270">
        <f t="shared" si="8"/>
        <v>-77.509999999999991</v>
      </c>
    </row>
    <row r="92" spans="1:10" s="37" customFormat="1" ht="15" customHeight="1" outlineLevel="1">
      <c r="A92" s="273">
        <f t="shared" si="6"/>
        <v>89</v>
      </c>
      <c r="B92" s="187"/>
      <c r="C92" s="213"/>
      <c r="D92" s="189"/>
      <c r="E92" s="190"/>
      <c r="F92" s="330">
        <f t="shared" si="7"/>
        <v>1.4210854715202004E-14</v>
      </c>
      <c r="G92" s="191"/>
      <c r="H92" s="268" t="str">
        <f t="shared" si="9"/>
        <v/>
      </c>
      <c r="I92" s="269" t="str">
        <f t="shared" si="9"/>
        <v/>
      </c>
      <c r="J92" s="270">
        <f t="shared" si="8"/>
        <v>-77.509999999999991</v>
      </c>
    </row>
    <row r="93" spans="1:10" s="37" customFormat="1" ht="15" customHeight="1" outlineLevel="1">
      <c r="A93" s="273">
        <f t="shared" si="6"/>
        <v>90</v>
      </c>
      <c r="B93" s="187"/>
      <c r="C93" s="213"/>
      <c r="D93" s="189"/>
      <c r="E93" s="190"/>
      <c r="F93" s="330">
        <f t="shared" si="7"/>
        <v>1.4210854715202004E-14</v>
      </c>
      <c r="G93" s="191"/>
      <c r="H93" s="268" t="str">
        <f t="shared" si="9"/>
        <v/>
      </c>
      <c r="I93" s="269" t="str">
        <f t="shared" si="9"/>
        <v/>
      </c>
      <c r="J93" s="270">
        <f t="shared" si="8"/>
        <v>-77.509999999999991</v>
      </c>
    </row>
    <row r="94" spans="1:10" s="37" customFormat="1" ht="15" customHeight="1" outlineLevel="1">
      <c r="A94" s="273">
        <f t="shared" si="6"/>
        <v>91</v>
      </c>
      <c r="B94" s="187"/>
      <c r="C94" s="213"/>
      <c r="D94" s="189"/>
      <c r="E94" s="190"/>
      <c r="F94" s="330">
        <f t="shared" si="7"/>
        <v>1.4210854715202004E-14</v>
      </c>
      <c r="G94" s="191"/>
      <c r="H94" s="268" t="str">
        <f t="shared" si="9"/>
        <v/>
      </c>
      <c r="I94" s="269" t="str">
        <f t="shared" si="9"/>
        <v/>
      </c>
      <c r="J94" s="270">
        <f t="shared" si="8"/>
        <v>-77.509999999999991</v>
      </c>
    </row>
    <row r="95" spans="1:10" s="37" customFormat="1" ht="15" customHeight="1" outlineLevel="1">
      <c r="A95" s="273">
        <f t="shared" si="6"/>
        <v>92</v>
      </c>
      <c r="B95" s="187"/>
      <c r="C95" s="213"/>
      <c r="D95" s="189"/>
      <c r="E95" s="190"/>
      <c r="F95" s="330">
        <f t="shared" si="7"/>
        <v>1.4210854715202004E-14</v>
      </c>
      <c r="G95" s="191"/>
      <c r="H95" s="268" t="str">
        <f t="shared" si="9"/>
        <v/>
      </c>
      <c r="I95" s="269" t="str">
        <f t="shared" si="9"/>
        <v/>
      </c>
      <c r="J95" s="270">
        <f t="shared" si="8"/>
        <v>-77.509999999999991</v>
      </c>
    </row>
    <row r="96" spans="1:10" s="37" customFormat="1" ht="15" customHeight="1" outlineLevel="1">
      <c r="A96" s="273">
        <f t="shared" si="6"/>
        <v>93</v>
      </c>
      <c r="B96" s="187"/>
      <c r="C96" s="213"/>
      <c r="D96" s="189"/>
      <c r="E96" s="190"/>
      <c r="F96" s="330">
        <f t="shared" si="7"/>
        <v>1.4210854715202004E-14</v>
      </c>
      <c r="G96" s="191"/>
      <c r="H96" s="268" t="str">
        <f t="shared" si="9"/>
        <v/>
      </c>
      <c r="I96" s="269" t="str">
        <f t="shared" si="9"/>
        <v/>
      </c>
      <c r="J96" s="270">
        <f t="shared" si="8"/>
        <v>-77.509999999999991</v>
      </c>
    </row>
    <row r="97" spans="1:10" s="37" customFormat="1" ht="15" customHeight="1" outlineLevel="1">
      <c r="A97" s="273">
        <f t="shared" si="6"/>
        <v>94</v>
      </c>
      <c r="B97" s="187"/>
      <c r="C97" s="213"/>
      <c r="D97" s="189"/>
      <c r="E97" s="190"/>
      <c r="F97" s="330">
        <f t="shared" si="7"/>
        <v>1.4210854715202004E-14</v>
      </c>
      <c r="G97" s="191"/>
      <c r="H97" s="268" t="str">
        <f t="shared" si="9"/>
        <v/>
      </c>
      <c r="I97" s="269" t="str">
        <f t="shared" si="9"/>
        <v/>
      </c>
      <c r="J97" s="270">
        <f t="shared" si="8"/>
        <v>-77.509999999999991</v>
      </c>
    </row>
    <row r="98" spans="1:10" s="37" customFormat="1" ht="15" customHeight="1" outlineLevel="1">
      <c r="A98" s="273">
        <f t="shared" si="6"/>
        <v>95</v>
      </c>
      <c r="B98" s="187"/>
      <c r="C98" s="213"/>
      <c r="D98" s="189"/>
      <c r="E98" s="190"/>
      <c r="F98" s="330">
        <f t="shared" si="7"/>
        <v>1.4210854715202004E-14</v>
      </c>
      <c r="G98" s="191"/>
      <c r="H98" s="268" t="str">
        <f t="shared" si="9"/>
        <v/>
      </c>
      <c r="I98" s="269" t="str">
        <f t="shared" si="9"/>
        <v/>
      </c>
      <c r="J98" s="270">
        <f t="shared" si="8"/>
        <v>-77.509999999999991</v>
      </c>
    </row>
    <row r="99" spans="1:10" s="37" customFormat="1" ht="15" customHeight="1" outlineLevel="1">
      <c r="A99" s="273">
        <f t="shared" si="6"/>
        <v>96</v>
      </c>
      <c r="B99" s="187"/>
      <c r="C99" s="213"/>
      <c r="D99" s="189"/>
      <c r="E99" s="190"/>
      <c r="F99" s="330">
        <f t="shared" si="7"/>
        <v>1.4210854715202004E-14</v>
      </c>
      <c r="G99" s="191"/>
      <c r="H99" s="268" t="str">
        <f t="shared" si="9"/>
        <v/>
      </c>
      <c r="I99" s="269" t="str">
        <f t="shared" si="9"/>
        <v/>
      </c>
      <c r="J99" s="270">
        <f t="shared" si="8"/>
        <v>-77.509999999999991</v>
      </c>
    </row>
    <row r="100" spans="1:10" s="37" customFormat="1" ht="15" customHeight="1" outlineLevel="1">
      <c r="A100" s="273">
        <f t="shared" si="6"/>
        <v>97</v>
      </c>
      <c r="B100" s="187"/>
      <c r="C100" s="213"/>
      <c r="D100" s="189"/>
      <c r="E100" s="190"/>
      <c r="F100" s="330">
        <f t="shared" si="7"/>
        <v>1.4210854715202004E-14</v>
      </c>
      <c r="G100" s="191"/>
      <c r="H100" s="268" t="str">
        <f t="shared" si="9"/>
        <v/>
      </c>
      <c r="I100" s="269" t="str">
        <f t="shared" si="9"/>
        <v/>
      </c>
      <c r="J100" s="270">
        <f t="shared" si="8"/>
        <v>-77.509999999999991</v>
      </c>
    </row>
    <row r="101" spans="1:10" s="37" customFormat="1" ht="15" customHeight="1" outlineLevel="1">
      <c r="A101" s="273">
        <f t="shared" si="6"/>
        <v>98</v>
      </c>
      <c r="B101" s="187"/>
      <c r="C101" s="213"/>
      <c r="D101" s="189"/>
      <c r="E101" s="190"/>
      <c r="F101" s="330">
        <f t="shared" si="7"/>
        <v>1.4210854715202004E-14</v>
      </c>
      <c r="G101" s="191"/>
      <c r="H101" s="268" t="str">
        <f t="shared" si="9"/>
        <v/>
      </c>
      <c r="I101" s="269" t="str">
        <f t="shared" si="9"/>
        <v/>
      </c>
      <c r="J101" s="270">
        <f t="shared" si="8"/>
        <v>-77.509999999999991</v>
      </c>
    </row>
    <row r="102" spans="1:10" s="37" customFormat="1" ht="15" customHeight="1" outlineLevel="1">
      <c r="A102" s="273">
        <f t="shared" si="6"/>
        <v>99</v>
      </c>
      <c r="B102" s="187"/>
      <c r="C102" s="213"/>
      <c r="D102" s="189"/>
      <c r="E102" s="190"/>
      <c r="F102" s="330">
        <f t="shared" si="7"/>
        <v>1.4210854715202004E-14</v>
      </c>
      <c r="G102" s="191"/>
      <c r="H102" s="268" t="str">
        <f t="shared" si="9"/>
        <v/>
      </c>
      <c r="I102" s="269" t="str">
        <f t="shared" si="9"/>
        <v/>
      </c>
      <c r="J102" s="270">
        <f t="shared" si="8"/>
        <v>-77.509999999999991</v>
      </c>
    </row>
    <row r="103" spans="1:10" s="37" customFormat="1" ht="15" customHeight="1" outlineLevel="1">
      <c r="A103" s="273">
        <f t="shared" si="6"/>
        <v>100</v>
      </c>
      <c r="B103" s="187"/>
      <c r="C103" s="213"/>
      <c r="D103" s="189"/>
      <c r="E103" s="190"/>
      <c r="F103" s="330">
        <f t="shared" si="7"/>
        <v>1.4210854715202004E-14</v>
      </c>
      <c r="G103" s="191"/>
      <c r="H103" s="268" t="str">
        <f t="shared" si="9"/>
        <v/>
      </c>
      <c r="I103" s="269" t="str">
        <f t="shared" si="9"/>
        <v/>
      </c>
      <c r="J103" s="270">
        <f t="shared" si="8"/>
        <v>-77.509999999999991</v>
      </c>
    </row>
    <row r="104" spans="1:10" s="37" customFormat="1" ht="15" customHeight="1" outlineLevel="1">
      <c r="A104" s="273">
        <f t="shared" si="6"/>
        <v>101</v>
      </c>
      <c r="B104" s="187"/>
      <c r="C104" s="213"/>
      <c r="D104" s="189"/>
      <c r="E104" s="190"/>
      <c r="F104" s="330">
        <f t="shared" si="7"/>
        <v>1.4210854715202004E-14</v>
      </c>
      <c r="G104" s="191"/>
      <c r="H104" s="268" t="str">
        <f t="shared" si="9"/>
        <v/>
      </c>
      <c r="I104" s="269" t="str">
        <f t="shared" si="9"/>
        <v/>
      </c>
      <c r="J104" s="270">
        <f t="shared" si="8"/>
        <v>-77.509999999999991</v>
      </c>
    </row>
    <row r="105" spans="1:10" s="37" customFormat="1" ht="15" customHeight="1" outlineLevel="1">
      <c r="A105" s="273">
        <f t="shared" si="6"/>
        <v>102</v>
      </c>
      <c r="B105" s="187"/>
      <c r="C105" s="213"/>
      <c r="D105" s="189"/>
      <c r="E105" s="190"/>
      <c r="F105" s="330">
        <f t="shared" si="7"/>
        <v>1.4210854715202004E-14</v>
      </c>
      <c r="G105" s="191"/>
      <c r="H105" s="268" t="str">
        <f t="shared" si="9"/>
        <v/>
      </c>
      <c r="I105" s="269" t="str">
        <f t="shared" si="9"/>
        <v/>
      </c>
      <c r="J105" s="270">
        <f t="shared" si="8"/>
        <v>-77.509999999999991</v>
      </c>
    </row>
    <row r="106" spans="1:10" s="37" customFormat="1" ht="15" customHeight="1" outlineLevel="1">
      <c r="A106" s="273">
        <f t="shared" si="6"/>
        <v>103</v>
      </c>
      <c r="B106" s="187"/>
      <c r="C106" s="213"/>
      <c r="D106" s="189"/>
      <c r="E106" s="190"/>
      <c r="F106" s="330">
        <f t="shared" si="7"/>
        <v>1.4210854715202004E-14</v>
      </c>
      <c r="G106" s="191"/>
      <c r="H106" s="268" t="str">
        <f t="shared" si="9"/>
        <v/>
      </c>
      <c r="I106" s="269" t="str">
        <f t="shared" si="9"/>
        <v/>
      </c>
      <c r="J106" s="270">
        <f t="shared" si="8"/>
        <v>-77.509999999999991</v>
      </c>
    </row>
    <row r="107" spans="1:10" s="37" customFormat="1" ht="15" customHeight="1" outlineLevel="1">
      <c r="A107" s="273">
        <f t="shared" si="6"/>
        <v>104</v>
      </c>
      <c r="B107" s="187"/>
      <c r="C107" s="213"/>
      <c r="D107" s="189"/>
      <c r="E107" s="190"/>
      <c r="F107" s="330">
        <f t="shared" si="7"/>
        <v>1.4210854715202004E-14</v>
      </c>
      <c r="G107" s="191"/>
      <c r="H107" s="268" t="str">
        <f t="shared" si="9"/>
        <v/>
      </c>
      <c r="I107" s="269" t="str">
        <f t="shared" si="9"/>
        <v/>
      </c>
      <c r="J107" s="270">
        <f t="shared" si="8"/>
        <v>-77.509999999999991</v>
      </c>
    </row>
    <row r="108" spans="1:10" s="37" customFormat="1" ht="15" customHeight="1" outlineLevel="1">
      <c r="A108" s="273">
        <f t="shared" si="6"/>
        <v>105</v>
      </c>
      <c r="B108" s="187"/>
      <c r="C108" s="213"/>
      <c r="D108" s="189"/>
      <c r="E108" s="190"/>
      <c r="F108" s="330">
        <f t="shared" si="7"/>
        <v>1.4210854715202004E-14</v>
      </c>
      <c r="G108" s="191"/>
      <c r="H108" s="268" t="str">
        <f t="shared" si="9"/>
        <v/>
      </c>
      <c r="I108" s="269" t="str">
        <f t="shared" si="9"/>
        <v/>
      </c>
      <c r="J108" s="270">
        <f t="shared" si="8"/>
        <v>-77.509999999999991</v>
      </c>
    </row>
    <row r="109" spans="1:10" s="37" customFormat="1" ht="15" customHeight="1" outlineLevel="1">
      <c r="A109" s="273">
        <f t="shared" si="6"/>
        <v>106</v>
      </c>
      <c r="B109" s="187"/>
      <c r="C109" s="213"/>
      <c r="D109" s="189"/>
      <c r="E109" s="190"/>
      <c r="F109" s="330">
        <f t="shared" si="7"/>
        <v>1.4210854715202004E-14</v>
      </c>
      <c r="G109" s="191"/>
      <c r="H109" s="268" t="str">
        <f t="shared" si="9"/>
        <v/>
      </c>
      <c r="I109" s="269" t="str">
        <f t="shared" si="9"/>
        <v/>
      </c>
      <c r="J109" s="270">
        <f t="shared" si="8"/>
        <v>-77.509999999999991</v>
      </c>
    </row>
    <row r="110" spans="1:10" s="37" customFormat="1" ht="15" customHeight="1" outlineLevel="1">
      <c r="A110" s="273">
        <f t="shared" si="6"/>
        <v>107</v>
      </c>
      <c r="B110" s="187"/>
      <c r="C110" s="213"/>
      <c r="D110" s="189"/>
      <c r="E110" s="190"/>
      <c r="F110" s="330">
        <f t="shared" si="7"/>
        <v>1.4210854715202004E-14</v>
      </c>
      <c r="G110" s="191"/>
      <c r="H110" s="268" t="str">
        <f t="shared" si="9"/>
        <v/>
      </c>
      <c r="I110" s="269" t="str">
        <f t="shared" si="9"/>
        <v/>
      </c>
      <c r="J110" s="270">
        <f t="shared" si="8"/>
        <v>-77.509999999999991</v>
      </c>
    </row>
    <row r="111" spans="1:10" s="37" customFormat="1" ht="15" customHeight="1" outlineLevel="1">
      <c r="A111" s="273">
        <f t="shared" si="6"/>
        <v>108</v>
      </c>
      <c r="B111" s="187"/>
      <c r="C111" s="213"/>
      <c r="D111" s="189"/>
      <c r="E111" s="190"/>
      <c r="F111" s="330">
        <f t="shared" si="7"/>
        <v>1.4210854715202004E-14</v>
      </c>
      <c r="G111" s="191"/>
      <c r="H111" s="268" t="str">
        <f t="shared" si="9"/>
        <v/>
      </c>
      <c r="I111" s="269" t="str">
        <f t="shared" si="9"/>
        <v/>
      </c>
      <c r="J111" s="270">
        <f t="shared" si="8"/>
        <v>-77.509999999999991</v>
      </c>
    </row>
    <row r="112" spans="1:10" s="37" customFormat="1" ht="15" customHeight="1" outlineLevel="1">
      <c r="A112" s="273">
        <f t="shared" si="6"/>
        <v>109</v>
      </c>
      <c r="B112" s="187"/>
      <c r="C112" s="213"/>
      <c r="D112" s="189"/>
      <c r="E112" s="190"/>
      <c r="F112" s="330">
        <f t="shared" si="7"/>
        <v>1.4210854715202004E-14</v>
      </c>
      <c r="G112" s="191"/>
      <c r="H112" s="268" t="str">
        <f t="shared" si="9"/>
        <v/>
      </c>
      <c r="I112" s="269" t="str">
        <f t="shared" si="9"/>
        <v/>
      </c>
      <c r="J112" s="270">
        <f t="shared" si="8"/>
        <v>-77.509999999999991</v>
      </c>
    </row>
    <row r="113" spans="1:10" s="37" customFormat="1" ht="15" customHeight="1" outlineLevel="1">
      <c r="A113" s="273">
        <f t="shared" si="6"/>
        <v>110</v>
      </c>
      <c r="B113" s="187"/>
      <c r="C113" s="213"/>
      <c r="D113" s="189"/>
      <c r="E113" s="190"/>
      <c r="F113" s="330">
        <f t="shared" si="7"/>
        <v>1.4210854715202004E-14</v>
      </c>
      <c r="G113" s="191"/>
      <c r="H113" s="268" t="str">
        <f t="shared" si="9"/>
        <v/>
      </c>
      <c r="I113" s="269" t="str">
        <f t="shared" si="9"/>
        <v/>
      </c>
      <c r="J113" s="270">
        <f t="shared" si="8"/>
        <v>-77.509999999999991</v>
      </c>
    </row>
    <row r="114" spans="1:10" s="37" customFormat="1" ht="15" customHeight="1" outlineLevel="1">
      <c r="A114" s="273">
        <f t="shared" si="6"/>
        <v>111</v>
      </c>
      <c r="B114" s="187"/>
      <c r="C114" s="213"/>
      <c r="D114" s="189"/>
      <c r="E114" s="190"/>
      <c r="F114" s="330">
        <f t="shared" si="7"/>
        <v>1.4210854715202004E-14</v>
      </c>
      <c r="G114" s="191"/>
      <c r="H114" s="268" t="str">
        <f t="shared" ref="H114:I130" si="10">IF(D114="","",IF($G114="","",IF($G114="ΟΧΙ","",D114)))</f>
        <v/>
      </c>
      <c r="I114" s="269" t="str">
        <f t="shared" si="10"/>
        <v/>
      </c>
      <c r="J114" s="270">
        <f t="shared" si="8"/>
        <v>-77.509999999999991</v>
      </c>
    </row>
    <row r="115" spans="1:10" s="37" customFormat="1" ht="15" customHeight="1" outlineLevel="1">
      <c r="A115" s="273">
        <f t="shared" si="6"/>
        <v>112</v>
      </c>
      <c r="B115" s="187"/>
      <c r="C115" s="213"/>
      <c r="D115" s="189"/>
      <c r="E115" s="190"/>
      <c r="F115" s="330">
        <f t="shared" si="7"/>
        <v>1.4210854715202004E-14</v>
      </c>
      <c r="G115" s="191"/>
      <c r="H115" s="268" t="str">
        <f t="shared" si="10"/>
        <v/>
      </c>
      <c r="I115" s="269" t="str">
        <f t="shared" si="10"/>
        <v/>
      </c>
      <c r="J115" s="270">
        <f t="shared" si="8"/>
        <v>-77.509999999999991</v>
      </c>
    </row>
    <row r="116" spans="1:10" s="37" customFormat="1" ht="15" customHeight="1" outlineLevel="1">
      <c r="A116" s="273">
        <f t="shared" si="6"/>
        <v>113</v>
      </c>
      <c r="B116" s="187"/>
      <c r="C116" s="213"/>
      <c r="D116" s="189"/>
      <c r="E116" s="190"/>
      <c r="F116" s="330">
        <f t="shared" si="7"/>
        <v>1.4210854715202004E-14</v>
      </c>
      <c r="G116" s="191"/>
      <c r="H116" s="268" t="str">
        <f t="shared" si="10"/>
        <v/>
      </c>
      <c r="I116" s="269" t="str">
        <f t="shared" si="10"/>
        <v/>
      </c>
      <c r="J116" s="270">
        <f t="shared" si="8"/>
        <v>-77.509999999999991</v>
      </c>
    </row>
    <row r="117" spans="1:10" s="37" customFormat="1" ht="15" customHeight="1" outlineLevel="1">
      <c r="A117" s="273">
        <f t="shared" si="6"/>
        <v>114</v>
      </c>
      <c r="B117" s="187"/>
      <c r="C117" s="213"/>
      <c r="D117" s="189"/>
      <c r="E117" s="190"/>
      <c r="F117" s="330">
        <f t="shared" si="7"/>
        <v>1.4210854715202004E-14</v>
      </c>
      <c r="G117" s="191"/>
      <c r="H117" s="268" t="str">
        <f t="shared" si="10"/>
        <v/>
      </c>
      <c r="I117" s="269" t="str">
        <f t="shared" si="10"/>
        <v/>
      </c>
      <c r="J117" s="270">
        <f t="shared" si="8"/>
        <v>-77.509999999999991</v>
      </c>
    </row>
    <row r="118" spans="1:10" s="37" customFormat="1" ht="15" customHeight="1" outlineLevel="1">
      <c r="A118" s="273">
        <f t="shared" si="6"/>
        <v>115</v>
      </c>
      <c r="B118" s="187"/>
      <c r="C118" s="213"/>
      <c r="D118" s="189"/>
      <c r="E118" s="190"/>
      <c r="F118" s="330">
        <f t="shared" si="7"/>
        <v>1.4210854715202004E-14</v>
      </c>
      <c r="G118" s="191"/>
      <c r="H118" s="268" t="str">
        <f t="shared" si="10"/>
        <v/>
      </c>
      <c r="I118" s="269" t="str">
        <f t="shared" si="10"/>
        <v/>
      </c>
      <c r="J118" s="270">
        <f t="shared" si="8"/>
        <v>-77.509999999999991</v>
      </c>
    </row>
    <row r="119" spans="1:10" s="37" customFormat="1" ht="15" customHeight="1" outlineLevel="1">
      <c r="A119" s="273">
        <f t="shared" si="6"/>
        <v>116</v>
      </c>
      <c r="B119" s="187"/>
      <c r="C119" s="213"/>
      <c r="D119" s="189"/>
      <c r="E119" s="190"/>
      <c r="F119" s="330">
        <f t="shared" si="7"/>
        <v>1.4210854715202004E-14</v>
      </c>
      <c r="G119" s="191"/>
      <c r="H119" s="268" t="str">
        <f t="shared" si="10"/>
        <v/>
      </c>
      <c r="I119" s="269" t="str">
        <f t="shared" si="10"/>
        <v/>
      </c>
      <c r="J119" s="270">
        <f t="shared" si="8"/>
        <v>-77.509999999999991</v>
      </c>
    </row>
    <row r="120" spans="1:10" s="37" customFormat="1" ht="15" customHeight="1" outlineLevel="1">
      <c r="A120" s="273">
        <f t="shared" si="6"/>
        <v>117</v>
      </c>
      <c r="B120" s="187"/>
      <c r="C120" s="213"/>
      <c r="D120" s="189"/>
      <c r="E120" s="190"/>
      <c r="F120" s="330">
        <f t="shared" si="7"/>
        <v>1.4210854715202004E-14</v>
      </c>
      <c r="G120" s="191"/>
      <c r="H120" s="268" t="str">
        <f t="shared" si="10"/>
        <v/>
      </c>
      <c r="I120" s="269" t="str">
        <f t="shared" si="10"/>
        <v/>
      </c>
      <c r="J120" s="270">
        <f t="shared" si="8"/>
        <v>-77.509999999999991</v>
      </c>
    </row>
    <row r="121" spans="1:10" s="37" customFormat="1" ht="15" customHeight="1" outlineLevel="1">
      <c r="A121" s="273">
        <f t="shared" si="6"/>
        <v>118</v>
      </c>
      <c r="B121" s="187"/>
      <c r="C121" s="213"/>
      <c r="D121" s="189"/>
      <c r="E121" s="190"/>
      <c r="F121" s="330">
        <f t="shared" si="7"/>
        <v>1.4210854715202004E-14</v>
      </c>
      <c r="G121" s="191"/>
      <c r="H121" s="268" t="str">
        <f t="shared" si="10"/>
        <v/>
      </c>
      <c r="I121" s="269" t="str">
        <f t="shared" si="10"/>
        <v/>
      </c>
      <c r="J121" s="270">
        <f t="shared" si="8"/>
        <v>-77.509999999999991</v>
      </c>
    </row>
    <row r="122" spans="1:10" s="37" customFormat="1" ht="15" customHeight="1" outlineLevel="1">
      <c r="A122" s="273">
        <f t="shared" si="6"/>
        <v>119</v>
      </c>
      <c r="B122" s="187"/>
      <c r="C122" s="213"/>
      <c r="D122" s="189"/>
      <c r="E122" s="190"/>
      <c r="F122" s="330">
        <f t="shared" si="7"/>
        <v>1.4210854715202004E-14</v>
      </c>
      <c r="G122" s="191"/>
      <c r="H122" s="268" t="str">
        <f t="shared" si="10"/>
        <v/>
      </c>
      <c r="I122" s="269" t="str">
        <f t="shared" si="10"/>
        <v/>
      </c>
      <c r="J122" s="270">
        <f t="shared" si="8"/>
        <v>-77.509999999999991</v>
      </c>
    </row>
    <row r="123" spans="1:10" s="37" customFormat="1" ht="15" customHeight="1" outlineLevel="1">
      <c r="A123" s="273">
        <f t="shared" si="6"/>
        <v>120</v>
      </c>
      <c r="B123" s="187"/>
      <c r="C123" s="213"/>
      <c r="D123" s="189"/>
      <c r="E123" s="190"/>
      <c r="F123" s="330">
        <f t="shared" si="7"/>
        <v>1.4210854715202004E-14</v>
      </c>
      <c r="G123" s="191"/>
      <c r="H123" s="268" t="str">
        <f t="shared" si="10"/>
        <v/>
      </c>
      <c r="I123" s="269" t="str">
        <f t="shared" si="10"/>
        <v/>
      </c>
      <c r="J123" s="270">
        <f t="shared" si="8"/>
        <v>-77.509999999999991</v>
      </c>
    </row>
    <row r="124" spans="1:10" s="37" customFormat="1" ht="15" customHeight="1" outlineLevel="1">
      <c r="A124" s="273">
        <f t="shared" si="6"/>
        <v>121</v>
      </c>
      <c r="B124" s="187"/>
      <c r="C124" s="213"/>
      <c r="D124" s="189"/>
      <c r="E124" s="190"/>
      <c r="F124" s="330">
        <f t="shared" si="7"/>
        <v>1.4210854715202004E-14</v>
      </c>
      <c r="G124" s="191"/>
      <c r="H124" s="268" t="str">
        <f t="shared" si="10"/>
        <v/>
      </c>
      <c r="I124" s="269" t="str">
        <f t="shared" si="10"/>
        <v/>
      </c>
      <c r="J124" s="270">
        <f t="shared" si="8"/>
        <v>-77.509999999999991</v>
      </c>
    </row>
    <row r="125" spans="1:10" s="37" customFormat="1" ht="15" customHeight="1" outlineLevel="1">
      <c r="A125" s="273">
        <f t="shared" si="6"/>
        <v>122</v>
      </c>
      <c r="B125" s="187"/>
      <c r="C125" s="213"/>
      <c r="D125" s="189"/>
      <c r="E125" s="190"/>
      <c r="F125" s="330">
        <f t="shared" si="7"/>
        <v>1.4210854715202004E-14</v>
      </c>
      <c r="G125" s="191"/>
      <c r="H125" s="268" t="str">
        <f t="shared" si="10"/>
        <v/>
      </c>
      <c r="I125" s="269" t="str">
        <f t="shared" si="10"/>
        <v/>
      </c>
      <c r="J125" s="270">
        <f t="shared" si="8"/>
        <v>-77.509999999999991</v>
      </c>
    </row>
    <row r="126" spans="1:10" s="37" customFormat="1" ht="15" customHeight="1" outlineLevel="1">
      <c r="A126" s="273">
        <f t="shared" si="6"/>
        <v>123</v>
      </c>
      <c r="B126" s="187"/>
      <c r="C126" s="213"/>
      <c r="D126" s="189"/>
      <c r="E126" s="190"/>
      <c r="F126" s="330">
        <f t="shared" si="7"/>
        <v>1.4210854715202004E-14</v>
      </c>
      <c r="G126" s="191"/>
      <c r="H126" s="268" t="str">
        <f t="shared" si="10"/>
        <v/>
      </c>
      <c r="I126" s="269" t="str">
        <f t="shared" si="10"/>
        <v/>
      </c>
      <c r="J126" s="270">
        <f t="shared" si="8"/>
        <v>-77.509999999999991</v>
      </c>
    </row>
    <row r="127" spans="1:10" s="37" customFormat="1" ht="15" customHeight="1" outlineLevel="1">
      <c r="A127" s="273">
        <f t="shared" si="6"/>
        <v>124</v>
      </c>
      <c r="B127" s="187"/>
      <c r="C127" s="213"/>
      <c r="D127" s="189"/>
      <c r="E127" s="190"/>
      <c r="F127" s="330">
        <f t="shared" si="7"/>
        <v>1.4210854715202004E-14</v>
      </c>
      <c r="G127" s="191"/>
      <c r="H127" s="268" t="str">
        <f t="shared" si="10"/>
        <v/>
      </c>
      <c r="I127" s="269" t="str">
        <f t="shared" si="10"/>
        <v/>
      </c>
      <c r="J127" s="270">
        <f t="shared" si="8"/>
        <v>-77.509999999999991</v>
      </c>
    </row>
    <row r="128" spans="1:10" s="37" customFormat="1" ht="15" customHeight="1" outlineLevel="1">
      <c r="A128" s="273">
        <f t="shared" si="6"/>
        <v>125</v>
      </c>
      <c r="B128" s="187"/>
      <c r="C128" s="213"/>
      <c r="D128" s="189"/>
      <c r="E128" s="190"/>
      <c r="F128" s="330">
        <f t="shared" si="7"/>
        <v>1.4210854715202004E-14</v>
      </c>
      <c r="G128" s="191"/>
      <c r="H128" s="268" t="str">
        <f t="shared" si="10"/>
        <v/>
      </c>
      <c r="I128" s="269" t="str">
        <f t="shared" si="10"/>
        <v/>
      </c>
      <c r="J128" s="270">
        <f t="shared" si="8"/>
        <v>-77.509999999999991</v>
      </c>
    </row>
    <row r="129" spans="1:10" s="37" customFormat="1" ht="15" customHeight="1" outlineLevel="1">
      <c r="A129" s="273">
        <f t="shared" si="6"/>
        <v>126</v>
      </c>
      <c r="B129" s="187"/>
      <c r="C129" s="213"/>
      <c r="D129" s="189"/>
      <c r="E129" s="190"/>
      <c r="F129" s="330">
        <f t="shared" si="7"/>
        <v>1.4210854715202004E-14</v>
      </c>
      <c r="G129" s="191"/>
      <c r="H129" s="268" t="str">
        <f t="shared" si="10"/>
        <v/>
      </c>
      <c r="I129" s="269" t="str">
        <f t="shared" si="10"/>
        <v/>
      </c>
      <c r="J129" s="270">
        <f t="shared" si="8"/>
        <v>-77.509999999999991</v>
      </c>
    </row>
    <row r="130" spans="1:10" s="37" customFormat="1" ht="15" customHeight="1" outlineLevel="1">
      <c r="A130" s="273">
        <f t="shared" si="6"/>
        <v>127</v>
      </c>
      <c r="B130" s="187"/>
      <c r="C130" s="213"/>
      <c r="D130" s="189"/>
      <c r="E130" s="190"/>
      <c r="F130" s="330">
        <f t="shared" si="7"/>
        <v>1.4210854715202004E-14</v>
      </c>
      <c r="G130" s="191"/>
      <c r="H130" s="268" t="str">
        <f t="shared" si="10"/>
        <v/>
      </c>
      <c r="I130" s="269" t="str">
        <f t="shared" si="10"/>
        <v/>
      </c>
      <c r="J130" s="270">
        <f t="shared" si="8"/>
        <v>-77.509999999999991</v>
      </c>
    </row>
    <row r="131" spans="1:10" s="37" customFormat="1" ht="15" customHeight="1" outlineLevel="1">
      <c r="A131" s="273">
        <f t="shared" si="6"/>
        <v>128</v>
      </c>
      <c r="B131" s="187"/>
      <c r="C131" s="213"/>
      <c r="D131" s="189"/>
      <c r="E131" s="190"/>
      <c r="F131" s="330">
        <f t="shared" si="7"/>
        <v>1.4210854715202004E-14</v>
      </c>
      <c r="G131" s="191"/>
      <c r="H131" s="268" t="str">
        <f t="shared" ref="H131:I146" si="11">IF(D131="","",IF($G131="","",IF($G131="ΟΧΙ","",D131)))</f>
        <v/>
      </c>
      <c r="I131" s="269" t="str">
        <f t="shared" si="11"/>
        <v/>
      </c>
      <c r="J131" s="270">
        <f t="shared" si="8"/>
        <v>-77.509999999999991</v>
      </c>
    </row>
    <row r="132" spans="1:10" s="37" customFormat="1" ht="15" customHeight="1" outlineLevel="1">
      <c r="A132" s="273">
        <f t="shared" si="6"/>
        <v>129</v>
      </c>
      <c r="B132" s="187"/>
      <c r="C132" s="213"/>
      <c r="D132" s="189"/>
      <c r="E132" s="190"/>
      <c r="F132" s="330">
        <f t="shared" si="7"/>
        <v>1.4210854715202004E-14</v>
      </c>
      <c r="G132" s="191"/>
      <c r="H132" s="268" t="str">
        <f t="shared" si="11"/>
        <v/>
      </c>
      <c r="I132" s="269" t="str">
        <f t="shared" si="11"/>
        <v/>
      </c>
      <c r="J132" s="270">
        <f t="shared" si="8"/>
        <v>-77.509999999999991</v>
      </c>
    </row>
    <row r="133" spans="1:10" s="37" customFormat="1" ht="15" customHeight="1" outlineLevel="1">
      <c r="A133" s="273">
        <f t="shared" si="6"/>
        <v>130</v>
      </c>
      <c r="B133" s="187"/>
      <c r="C133" s="213"/>
      <c r="D133" s="195"/>
      <c r="E133" s="190"/>
      <c r="F133" s="330">
        <f t="shared" si="7"/>
        <v>1.4210854715202004E-14</v>
      </c>
      <c r="G133" s="191"/>
      <c r="H133" s="268" t="str">
        <f t="shared" si="11"/>
        <v/>
      </c>
      <c r="I133" s="269" t="str">
        <f t="shared" si="11"/>
        <v/>
      </c>
      <c r="J133" s="270">
        <f t="shared" si="8"/>
        <v>-77.509999999999991</v>
      </c>
    </row>
    <row r="134" spans="1:10" s="37" customFormat="1" ht="15" customHeight="1" outlineLevel="1">
      <c r="A134" s="273">
        <f t="shared" ref="A134:A189" si="12">A133+1</f>
        <v>131</v>
      </c>
      <c r="B134" s="187"/>
      <c r="C134" s="213"/>
      <c r="D134" s="195"/>
      <c r="E134" s="190"/>
      <c r="F134" s="330">
        <f t="shared" ref="F134:F189" si="13">F133+D134-E134</f>
        <v>1.4210854715202004E-14</v>
      </c>
      <c r="G134" s="191"/>
      <c r="H134" s="268" t="str">
        <f t="shared" si="11"/>
        <v/>
      </c>
      <c r="I134" s="269" t="str">
        <f t="shared" si="11"/>
        <v/>
      </c>
      <c r="J134" s="270">
        <f t="shared" ref="J134:J189" si="14">IF(AND(H134="",I134=""),J133,IF(H134="",J133-I134,J133+H134))</f>
        <v>-77.509999999999991</v>
      </c>
    </row>
    <row r="135" spans="1:10" s="37" customFormat="1" ht="15" customHeight="1" outlineLevel="1">
      <c r="A135" s="273">
        <f t="shared" si="12"/>
        <v>132</v>
      </c>
      <c r="B135" s="187"/>
      <c r="C135" s="213"/>
      <c r="D135" s="195"/>
      <c r="E135" s="190"/>
      <c r="F135" s="330">
        <f t="shared" si="13"/>
        <v>1.4210854715202004E-14</v>
      </c>
      <c r="G135" s="191"/>
      <c r="H135" s="268" t="str">
        <f t="shared" si="11"/>
        <v/>
      </c>
      <c r="I135" s="269" t="str">
        <f t="shared" si="11"/>
        <v/>
      </c>
      <c r="J135" s="270">
        <f t="shared" si="14"/>
        <v>-77.509999999999991</v>
      </c>
    </row>
    <row r="136" spans="1:10" s="37" customFormat="1" ht="15" customHeight="1" outlineLevel="1">
      <c r="A136" s="273">
        <f t="shared" si="12"/>
        <v>133</v>
      </c>
      <c r="B136" s="187"/>
      <c r="C136" s="213"/>
      <c r="D136" s="195"/>
      <c r="E136" s="190"/>
      <c r="F136" s="330">
        <f t="shared" si="13"/>
        <v>1.4210854715202004E-14</v>
      </c>
      <c r="G136" s="191"/>
      <c r="H136" s="268" t="str">
        <f t="shared" si="11"/>
        <v/>
      </c>
      <c r="I136" s="269" t="str">
        <f t="shared" si="11"/>
        <v/>
      </c>
      <c r="J136" s="270">
        <f t="shared" si="14"/>
        <v>-77.509999999999991</v>
      </c>
    </row>
    <row r="137" spans="1:10" s="37" customFormat="1" ht="15" customHeight="1" outlineLevel="1">
      <c r="A137" s="273">
        <f t="shared" si="12"/>
        <v>134</v>
      </c>
      <c r="B137" s="187"/>
      <c r="C137" s="213"/>
      <c r="D137" s="195"/>
      <c r="E137" s="190"/>
      <c r="F137" s="330">
        <f t="shared" si="13"/>
        <v>1.4210854715202004E-14</v>
      </c>
      <c r="G137" s="191"/>
      <c r="H137" s="268" t="str">
        <f t="shared" si="11"/>
        <v/>
      </c>
      <c r="I137" s="269" t="str">
        <f t="shared" si="11"/>
        <v/>
      </c>
      <c r="J137" s="270">
        <f t="shared" si="14"/>
        <v>-77.509999999999991</v>
      </c>
    </row>
    <row r="138" spans="1:10" s="37" customFormat="1" ht="15" customHeight="1" outlineLevel="1">
      <c r="A138" s="273">
        <f t="shared" si="12"/>
        <v>135</v>
      </c>
      <c r="B138" s="187"/>
      <c r="C138" s="213"/>
      <c r="D138" s="195"/>
      <c r="E138" s="190"/>
      <c r="F138" s="330">
        <f t="shared" si="13"/>
        <v>1.4210854715202004E-14</v>
      </c>
      <c r="G138" s="191"/>
      <c r="H138" s="268" t="str">
        <f t="shared" si="11"/>
        <v/>
      </c>
      <c r="I138" s="269" t="str">
        <f t="shared" si="11"/>
        <v/>
      </c>
      <c r="J138" s="270">
        <f t="shared" si="14"/>
        <v>-77.509999999999991</v>
      </c>
    </row>
    <row r="139" spans="1:10" s="37" customFormat="1" ht="15" customHeight="1" outlineLevel="1">
      <c r="A139" s="273">
        <f t="shared" si="12"/>
        <v>136</v>
      </c>
      <c r="B139" s="187"/>
      <c r="C139" s="213"/>
      <c r="D139" s="195"/>
      <c r="E139" s="190"/>
      <c r="F139" s="330">
        <f t="shared" si="13"/>
        <v>1.4210854715202004E-14</v>
      </c>
      <c r="G139" s="191"/>
      <c r="H139" s="268" t="str">
        <f t="shared" si="11"/>
        <v/>
      </c>
      <c r="I139" s="269" t="str">
        <f t="shared" si="11"/>
        <v/>
      </c>
      <c r="J139" s="270">
        <f t="shared" si="14"/>
        <v>-77.509999999999991</v>
      </c>
    </row>
    <row r="140" spans="1:10" s="37" customFormat="1" ht="15" customHeight="1" outlineLevel="1">
      <c r="A140" s="273">
        <f t="shared" si="12"/>
        <v>137</v>
      </c>
      <c r="B140" s="187"/>
      <c r="C140" s="213"/>
      <c r="D140" s="195"/>
      <c r="E140" s="190"/>
      <c r="F140" s="330">
        <f t="shared" si="13"/>
        <v>1.4210854715202004E-14</v>
      </c>
      <c r="G140" s="191"/>
      <c r="H140" s="268" t="str">
        <f t="shared" si="11"/>
        <v/>
      </c>
      <c r="I140" s="269" t="str">
        <f t="shared" si="11"/>
        <v/>
      </c>
      <c r="J140" s="270">
        <f t="shared" si="14"/>
        <v>-77.509999999999991</v>
      </c>
    </row>
    <row r="141" spans="1:10" s="37" customFormat="1" ht="15" customHeight="1" outlineLevel="1">
      <c r="A141" s="273">
        <f t="shared" si="12"/>
        <v>138</v>
      </c>
      <c r="B141" s="187"/>
      <c r="C141" s="213"/>
      <c r="D141" s="195"/>
      <c r="E141" s="190"/>
      <c r="F141" s="330">
        <f t="shared" si="13"/>
        <v>1.4210854715202004E-14</v>
      </c>
      <c r="G141" s="191"/>
      <c r="H141" s="268" t="str">
        <f t="shared" si="11"/>
        <v/>
      </c>
      <c r="I141" s="269" t="str">
        <f t="shared" si="11"/>
        <v/>
      </c>
      <c r="J141" s="270">
        <f t="shared" si="14"/>
        <v>-77.509999999999991</v>
      </c>
    </row>
    <row r="142" spans="1:10" s="37" customFormat="1" ht="15" customHeight="1" outlineLevel="1">
      <c r="A142" s="273">
        <f t="shared" si="12"/>
        <v>139</v>
      </c>
      <c r="B142" s="187"/>
      <c r="C142" s="213"/>
      <c r="D142" s="195"/>
      <c r="E142" s="190"/>
      <c r="F142" s="330">
        <f t="shared" si="13"/>
        <v>1.4210854715202004E-14</v>
      </c>
      <c r="G142" s="191"/>
      <c r="H142" s="268" t="str">
        <f t="shared" si="11"/>
        <v/>
      </c>
      <c r="I142" s="269" t="str">
        <f t="shared" si="11"/>
        <v/>
      </c>
      <c r="J142" s="270">
        <f t="shared" si="14"/>
        <v>-77.509999999999991</v>
      </c>
    </row>
    <row r="143" spans="1:10" s="37" customFormat="1" ht="15" customHeight="1" outlineLevel="1">
      <c r="A143" s="273">
        <f t="shared" si="12"/>
        <v>140</v>
      </c>
      <c r="B143" s="187"/>
      <c r="C143" s="213"/>
      <c r="D143" s="189"/>
      <c r="E143" s="190"/>
      <c r="F143" s="330">
        <f t="shared" si="13"/>
        <v>1.4210854715202004E-14</v>
      </c>
      <c r="G143" s="191"/>
      <c r="H143" s="268" t="str">
        <f t="shared" si="11"/>
        <v/>
      </c>
      <c r="I143" s="269" t="str">
        <f t="shared" si="11"/>
        <v/>
      </c>
      <c r="J143" s="270">
        <f t="shared" si="14"/>
        <v>-77.509999999999991</v>
      </c>
    </row>
    <row r="144" spans="1:10" s="37" customFormat="1" ht="15" customHeight="1" outlineLevel="1">
      <c r="A144" s="273">
        <f t="shared" si="12"/>
        <v>141</v>
      </c>
      <c r="B144" s="187"/>
      <c r="C144" s="213"/>
      <c r="D144" s="189"/>
      <c r="E144" s="190"/>
      <c r="F144" s="330">
        <f t="shared" si="13"/>
        <v>1.4210854715202004E-14</v>
      </c>
      <c r="G144" s="191"/>
      <c r="H144" s="268" t="str">
        <f t="shared" si="11"/>
        <v/>
      </c>
      <c r="I144" s="269" t="str">
        <f t="shared" si="11"/>
        <v/>
      </c>
      <c r="J144" s="270">
        <f t="shared" si="14"/>
        <v>-77.509999999999991</v>
      </c>
    </row>
    <row r="145" spans="1:10" s="37" customFormat="1" ht="15" customHeight="1" outlineLevel="1">
      <c r="A145" s="273">
        <f t="shared" si="12"/>
        <v>142</v>
      </c>
      <c r="B145" s="187"/>
      <c r="C145" s="213"/>
      <c r="D145" s="189"/>
      <c r="E145" s="190"/>
      <c r="F145" s="330">
        <f t="shared" si="13"/>
        <v>1.4210854715202004E-14</v>
      </c>
      <c r="G145" s="191"/>
      <c r="H145" s="268" t="str">
        <f t="shared" si="11"/>
        <v/>
      </c>
      <c r="I145" s="269" t="str">
        <f t="shared" si="11"/>
        <v/>
      </c>
      <c r="J145" s="270">
        <f t="shared" si="14"/>
        <v>-77.509999999999991</v>
      </c>
    </row>
    <row r="146" spans="1:10" s="37" customFormat="1" ht="15" customHeight="1" outlineLevel="1">
      <c r="A146" s="273">
        <f t="shared" si="12"/>
        <v>143</v>
      </c>
      <c r="B146" s="187"/>
      <c r="C146" s="213"/>
      <c r="D146" s="189"/>
      <c r="E146" s="190"/>
      <c r="F146" s="330">
        <f t="shared" si="13"/>
        <v>1.4210854715202004E-14</v>
      </c>
      <c r="G146" s="191"/>
      <c r="H146" s="268" t="str">
        <f t="shared" si="11"/>
        <v/>
      </c>
      <c r="I146" s="269" t="str">
        <f t="shared" si="11"/>
        <v/>
      </c>
      <c r="J146" s="270">
        <f t="shared" si="14"/>
        <v>-77.509999999999991</v>
      </c>
    </row>
    <row r="147" spans="1:10" s="37" customFormat="1" ht="15" customHeight="1" outlineLevel="1">
      <c r="A147" s="273">
        <f t="shared" si="12"/>
        <v>144</v>
      </c>
      <c r="B147" s="187"/>
      <c r="C147" s="213"/>
      <c r="D147" s="189"/>
      <c r="E147" s="190"/>
      <c r="F147" s="330">
        <f t="shared" si="13"/>
        <v>1.4210854715202004E-14</v>
      </c>
      <c r="G147" s="191"/>
      <c r="H147" s="268" t="str">
        <f t="shared" ref="H147:I162" si="15">IF(D147="","",IF($G147="","",IF($G147="ΟΧΙ","",D147)))</f>
        <v/>
      </c>
      <c r="I147" s="269" t="str">
        <f t="shared" si="15"/>
        <v/>
      </c>
      <c r="J147" s="270">
        <f t="shared" si="14"/>
        <v>-77.509999999999991</v>
      </c>
    </row>
    <row r="148" spans="1:10" s="37" customFormat="1" ht="15" customHeight="1" outlineLevel="1">
      <c r="A148" s="273">
        <f t="shared" si="12"/>
        <v>145</v>
      </c>
      <c r="B148" s="187"/>
      <c r="C148" s="213"/>
      <c r="D148" s="189"/>
      <c r="E148" s="190"/>
      <c r="F148" s="330">
        <f t="shared" si="13"/>
        <v>1.4210854715202004E-14</v>
      </c>
      <c r="G148" s="191"/>
      <c r="H148" s="268" t="str">
        <f t="shared" si="15"/>
        <v/>
      </c>
      <c r="I148" s="269" t="str">
        <f t="shared" si="15"/>
        <v/>
      </c>
      <c r="J148" s="270">
        <f t="shared" si="14"/>
        <v>-77.509999999999991</v>
      </c>
    </row>
    <row r="149" spans="1:10" s="37" customFormat="1" ht="15" customHeight="1" outlineLevel="1">
      <c r="A149" s="273">
        <f t="shared" si="12"/>
        <v>146</v>
      </c>
      <c r="B149" s="187"/>
      <c r="C149" s="213"/>
      <c r="D149" s="189"/>
      <c r="E149" s="190"/>
      <c r="F149" s="330">
        <f t="shared" si="13"/>
        <v>1.4210854715202004E-14</v>
      </c>
      <c r="G149" s="191"/>
      <c r="H149" s="268" t="str">
        <f t="shared" si="15"/>
        <v/>
      </c>
      <c r="I149" s="269" t="str">
        <f t="shared" si="15"/>
        <v/>
      </c>
      <c r="J149" s="270">
        <f t="shared" si="14"/>
        <v>-77.509999999999991</v>
      </c>
    </row>
    <row r="150" spans="1:10" s="37" customFormat="1" ht="15" customHeight="1" outlineLevel="1">
      <c r="A150" s="273">
        <f t="shared" si="12"/>
        <v>147</v>
      </c>
      <c r="B150" s="187"/>
      <c r="C150" s="213"/>
      <c r="D150" s="189"/>
      <c r="E150" s="190"/>
      <c r="F150" s="330">
        <f t="shared" si="13"/>
        <v>1.4210854715202004E-14</v>
      </c>
      <c r="G150" s="191"/>
      <c r="H150" s="268" t="str">
        <f t="shared" si="15"/>
        <v/>
      </c>
      <c r="I150" s="269" t="str">
        <f t="shared" si="15"/>
        <v/>
      </c>
      <c r="J150" s="270">
        <f t="shared" si="14"/>
        <v>-77.509999999999991</v>
      </c>
    </row>
    <row r="151" spans="1:10" s="37" customFormat="1" ht="15" customHeight="1" outlineLevel="1">
      <c r="A151" s="273">
        <f t="shared" si="12"/>
        <v>148</v>
      </c>
      <c r="B151" s="187"/>
      <c r="C151" s="213"/>
      <c r="D151" s="189"/>
      <c r="E151" s="190"/>
      <c r="F151" s="330">
        <f t="shared" si="13"/>
        <v>1.4210854715202004E-14</v>
      </c>
      <c r="G151" s="191"/>
      <c r="H151" s="268" t="str">
        <f t="shared" si="15"/>
        <v/>
      </c>
      <c r="I151" s="269" t="str">
        <f t="shared" si="15"/>
        <v/>
      </c>
      <c r="J151" s="270">
        <f t="shared" si="14"/>
        <v>-77.509999999999991</v>
      </c>
    </row>
    <row r="152" spans="1:10" s="37" customFormat="1" ht="15" customHeight="1" outlineLevel="1">
      <c r="A152" s="273">
        <f t="shared" si="12"/>
        <v>149</v>
      </c>
      <c r="B152" s="187"/>
      <c r="C152" s="213"/>
      <c r="D152" s="189"/>
      <c r="E152" s="190"/>
      <c r="F152" s="330">
        <f t="shared" si="13"/>
        <v>1.4210854715202004E-14</v>
      </c>
      <c r="G152" s="191"/>
      <c r="H152" s="268" t="str">
        <f t="shared" si="15"/>
        <v/>
      </c>
      <c r="I152" s="269" t="str">
        <f t="shared" si="15"/>
        <v/>
      </c>
      <c r="J152" s="270">
        <f t="shared" si="14"/>
        <v>-77.509999999999991</v>
      </c>
    </row>
    <row r="153" spans="1:10" s="37" customFormat="1" ht="15" customHeight="1" outlineLevel="1">
      <c r="A153" s="273">
        <f t="shared" si="12"/>
        <v>150</v>
      </c>
      <c r="B153" s="187"/>
      <c r="C153" s="213"/>
      <c r="D153" s="189"/>
      <c r="E153" s="190"/>
      <c r="F153" s="330">
        <f t="shared" si="13"/>
        <v>1.4210854715202004E-14</v>
      </c>
      <c r="G153" s="191"/>
      <c r="H153" s="268" t="str">
        <f t="shared" si="15"/>
        <v/>
      </c>
      <c r="I153" s="269" t="str">
        <f t="shared" si="15"/>
        <v/>
      </c>
      <c r="J153" s="270">
        <f t="shared" si="14"/>
        <v>-77.509999999999991</v>
      </c>
    </row>
    <row r="154" spans="1:10" s="37" customFormat="1" ht="15" customHeight="1" outlineLevel="1">
      <c r="A154" s="273">
        <f t="shared" si="12"/>
        <v>151</v>
      </c>
      <c r="B154" s="187"/>
      <c r="C154" s="213"/>
      <c r="D154" s="189"/>
      <c r="E154" s="190"/>
      <c r="F154" s="330">
        <f t="shared" si="13"/>
        <v>1.4210854715202004E-14</v>
      </c>
      <c r="G154" s="191"/>
      <c r="H154" s="268" t="str">
        <f t="shared" si="15"/>
        <v/>
      </c>
      <c r="I154" s="269" t="str">
        <f t="shared" si="15"/>
        <v/>
      </c>
      <c r="J154" s="270">
        <f t="shared" si="14"/>
        <v>-77.509999999999991</v>
      </c>
    </row>
    <row r="155" spans="1:10" s="37" customFormat="1" ht="15" customHeight="1" outlineLevel="1">
      <c r="A155" s="273">
        <f t="shared" si="12"/>
        <v>152</v>
      </c>
      <c r="B155" s="187"/>
      <c r="C155" s="213"/>
      <c r="D155" s="189"/>
      <c r="E155" s="190"/>
      <c r="F155" s="330">
        <f t="shared" si="13"/>
        <v>1.4210854715202004E-14</v>
      </c>
      <c r="G155" s="191"/>
      <c r="H155" s="268" t="str">
        <f t="shared" si="15"/>
        <v/>
      </c>
      <c r="I155" s="269" t="str">
        <f t="shared" si="15"/>
        <v/>
      </c>
      <c r="J155" s="270">
        <f t="shared" si="14"/>
        <v>-77.509999999999991</v>
      </c>
    </row>
    <row r="156" spans="1:10" s="37" customFormat="1" ht="15" customHeight="1" outlineLevel="1">
      <c r="A156" s="273">
        <f t="shared" si="12"/>
        <v>153</v>
      </c>
      <c r="B156" s="187"/>
      <c r="C156" s="213"/>
      <c r="D156" s="189"/>
      <c r="E156" s="190"/>
      <c r="F156" s="330">
        <f t="shared" si="13"/>
        <v>1.4210854715202004E-14</v>
      </c>
      <c r="G156" s="191"/>
      <c r="H156" s="268" t="str">
        <f t="shared" si="15"/>
        <v/>
      </c>
      <c r="I156" s="269" t="str">
        <f t="shared" si="15"/>
        <v/>
      </c>
      <c r="J156" s="270">
        <f t="shared" si="14"/>
        <v>-77.509999999999991</v>
      </c>
    </row>
    <row r="157" spans="1:10" s="37" customFormat="1" ht="15" customHeight="1" outlineLevel="1">
      <c r="A157" s="273">
        <f t="shared" si="12"/>
        <v>154</v>
      </c>
      <c r="B157" s="187"/>
      <c r="C157" s="213"/>
      <c r="D157" s="189"/>
      <c r="E157" s="190"/>
      <c r="F157" s="330">
        <f t="shared" si="13"/>
        <v>1.4210854715202004E-14</v>
      </c>
      <c r="G157" s="191"/>
      <c r="H157" s="268" t="str">
        <f t="shared" si="15"/>
        <v/>
      </c>
      <c r="I157" s="269" t="str">
        <f t="shared" si="15"/>
        <v/>
      </c>
      <c r="J157" s="270">
        <f t="shared" si="14"/>
        <v>-77.509999999999991</v>
      </c>
    </row>
    <row r="158" spans="1:10" s="37" customFormat="1" ht="15" customHeight="1" outlineLevel="1">
      <c r="A158" s="273">
        <f t="shared" si="12"/>
        <v>155</v>
      </c>
      <c r="B158" s="187"/>
      <c r="C158" s="213"/>
      <c r="D158" s="189"/>
      <c r="E158" s="190"/>
      <c r="F158" s="330">
        <f t="shared" si="13"/>
        <v>1.4210854715202004E-14</v>
      </c>
      <c r="G158" s="191"/>
      <c r="H158" s="268" t="str">
        <f t="shared" si="15"/>
        <v/>
      </c>
      <c r="I158" s="269" t="str">
        <f t="shared" si="15"/>
        <v/>
      </c>
      <c r="J158" s="270">
        <f t="shared" si="14"/>
        <v>-77.509999999999991</v>
      </c>
    </row>
    <row r="159" spans="1:10" s="37" customFormat="1" ht="15" customHeight="1" outlineLevel="1">
      <c r="A159" s="273">
        <f t="shared" si="12"/>
        <v>156</v>
      </c>
      <c r="B159" s="187"/>
      <c r="C159" s="213"/>
      <c r="D159" s="189"/>
      <c r="E159" s="190"/>
      <c r="F159" s="330">
        <f t="shared" si="13"/>
        <v>1.4210854715202004E-14</v>
      </c>
      <c r="G159" s="191"/>
      <c r="H159" s="268" t="str">
        <f t="shared" si="15"/>
        <v/>
      </c>
      <c r="I159" s="269" t="str">
        <f t="shared" si="15"/>
        <v/>
      </c>
      <c r="J159" s="270">
        <f t="shared" si="14"/>
        <v>-77.509999999999991</v>
      </c>
    </row>
    <row r="160" spans="1:10" s="37" customFormat="1" ht="15" customHeight="1" outlineLevel="1">
      <c r="A160" s="273">
        <f t="shared" si="12"/>
        <v>157</v>
      </c>
      <c r="B160" s="187"/>
      <c r="C160" s="213"/>
      <c r="D160" s="189"/>
      <c r="E160" s="190"/>
      <c r="F160" s="330">
        <f t="shared" si="13"/>
        <v>1.4210854715202004E-14</v>
      </c>
      <c r="G160" s="191"/>
      <c r="H160" s="268" t="str">
        <f t="shared" si="15"/>
        <v/>
      </c>
      <c r="I160" s="269" t="str">
        <f t="shared" si="15"/>
        <v/>
      </c>
      <c r="J160" s="270">
        <f t="shared" si="14"/>
        <v>-77.509999999999991</v>
      </c>
    </row>
    <row r="161" spans="1:10" s="37" customFormat="1" ht="15" customHeight="1" outlineLevel="1">
      <c r="A161" s="273">
        <f t="shared" si="12"/>
        <v>158</v>
      </c>
      <c r="B161" s="187"/>
      <c r="C161" s="213"/>
      <c r="D161" s="189"/>
      <c r="E161" s="190"/>
      <c r="F161" s="330">
        <f t="shared" si="13"/>
        <v>1.4210854715202004E-14</v>
      </c>
      <c r="G161" s="191"/>
      <c r="H161" s="268" t="str">
        <f t="shared" si="15"/>
        <v/>
      </c>
      <c r="I161" s="269" t="str">
        <f t="shared" si="15"/>
        <v/>
      </c>
      <c r="J161" s="270">
        <f t="shared" si="14"/>
        <v>-77.509999999999991</v>
      </c>
    </row>
    <row r="162" spans="1:10" s="37" customFormat="1" ht="15" customHeight="1" outlineLevel="1">
      <c r="A162" s="273">
        <f t="shared" si="12"/>
        <v>159</v>
      </c>
      <c r="B162" s="187"/>
      <c r="C162" s="213"/>
      <c r="D162" s="189"/>
      <c r="E162" s="190"/>
      <c r="F162" s="330">
        <f t="shared" si="13"/>
        <v>1.4210854715202004E-14</v>
      </c>
      <c r="G162" s="191"/>
      <c r="H162" s="268" t="str">
        <f t="shared" si="15"/>
        <v/>
      </c>
      <c r="I162" s="269" t="str">
        <f t="shared" si="15"/>
        <v/>
      </c>
      <c r="J162" s="270">
        <f t="shared" si="14"/>
        <v>-77.509999999999991</v>
      </c>
    </row>
    <row r="163" spans="1:10" s="37" customFormat="1" ht="15" customHeight="1" outlineLevel="1">
      <c r="A163" s="273">
        <f t="shared" si="12"/>
        <v>160</v>
      </c>
      <c r="B163" s="187"/>
      <c r="C163" s="213"/>
      <c r="D163" s="189"/>
      <c r="E163" s="190"/>
      <c r="F163" s="330">
        <f t="shared" si="13"/>
        <v>1.4210854715202004E-14</v>
      </c>
      <c r="G163" s="191"/>
      <c r="H163" s="268" t="str">
        <f t="shared" ref="H163:I178" si="16">IF(D163="","",IF($G163="","",IF($G163="ΟΧΙ","",D163)))</f>
        <v/>
      </c>
      <c r="I163" s="269" t="str">
        <f t="shared" si="16"/>
        <v/>
      </c>
      <c r="J163" s="270">
        <f t="shared" si="14"/>
        <v>-77.509999999999991</v>
      </c>
    </row>
    <row r="164" spans="1:10" s="37" customFormat="1" ht="15" customHeight="1" outlineLevel="1">
      <c r="A164" s="273">
        <f t="shared" si="12"/>
        <v>161</v>
      </c>
      <c r="B164" s="187"/>
      <c r="C164" s="213"/>
      <c r="D164" s="189"/>
      <c r="E164" s="190"/>
      <c r="F164" s="330">
        <f t="shared" si="13"/>
        <v>1.4210854715202004E-14</v>
      </c>
      <c r="G164" s="191"/>
      <c r="H164" s="268" t="str">
        <f t="shared" si="16"/>
        <v/>
      </c>
      <c r="I164" s="269" t="str">
        <f t="shared" si="16"/>
        <v/>
      </c>
      <c r="J164" s="270">
        <f t="shared" si="14"/>
        <v>-77.509999999999991</v>
      </c>
    </row>
    <row r="165" spans="1:10" s="37" customFormat="1" ht="15" customHeight="1" outlineLevel="1">
      <c r="A165" s="273">
        <f t="shared" si="12"/>
        <v>162</v>
      </c>
      <c r="B165" s="187"/>
      <c r="C165" s="213"/>
      <c r="D165" s="189"/>
      <c r="E165" s="190"/>
      <c r="F165" s="330">
        <f t="shared" si="13"/>
        <v>1.4210854715202004E-14</v>
      </c>
      <c r="G165" s="191"/>
      <c r="H165" s="268" t="str">
        <f t="shared" si="16"/>
        <v/>
      </c>
      <c r="I165" s="269" t="str">
        <f t="shared" si="16"/>
        <v/>
      </c>
      <c r="J165" s="270">
        <f t="shared" si="14"/>
        <v>-77.509999999999991</v>
      </c>
    </row>
    <row r="166" spans="1:10" s="37" customFormat="1" ht="15" customHeight="1" outlineLevel="1">
      <c r="A166" s="273">
        <f t="shared" si="12"/>
        <v>163</v>
      </c>
      <c r="B166" s="187"/>
      <c r="C166" s="213"/>
      <c r="D166" s="189"/>
      <c r="E166" s="190"/>
      <c r="F166" s="330">
        <f t="shared" si="13"/>
        <v>1.4210854715202004E-14</v>
      </c>
      <c r="G166" s="191"/>
      <c r="H166" s="268" t="str">
        <f t="shared" si="16"/>
        <v/>
      </c>
      <c r="I166" s="269" t="str">
        <f t="shared" si="16"/>
        <v/>
      </c>
      <c r="J166" s="270">
        <f t="shared" si="14"/>
        <v>-77.509999999999991</v>
      </c>
    </row>
    <row r="167" spans="1:10" s="37" customFormat="1" ht="15" customHeight="1" outlineLevel="1">
      <c r="A167" s="273">
        <f t="shared" si="12"/>
        <v>164</v>
      </c>
      <c r="B167" s="187"/>
      <c r="C167" s="213"/>
      <c r="D167" s="189"/>
      <c r="E167" s="190"/>
      <c r="F167" s="330">
        <f t="shared" si="13"/>
        <v>1.4210854715202004E-14</v>
      </c>
      <c r="G167" s="191"/>
      <c r="H167" s="268" t="str">
        <f t="shared" si="16"/>
        <v/>
      </c>
      <c r="I167" s="269" t="str">
        <f t="shared" si="16"/>
        <v/>
      </c>
      <c r="J167" s="270">
        <f t="shared" si="14"/>
        <v>-77.509999999999991</v>
      </c>
    </row>
    <row r="168" spans="1:10" s="37" customFormat="1" ht="15" customHeight="1" outlineLevel="1">
      <c r="A168" s="273">
        <f t="shared" si="12"/>
        <v>165</v>
      </c>
      <c r="B168" s="187"/>
      <c r="C168" s="213"/>
      <c r="D168" s="189"/>
      <c r="E168" s="190"/>
      <c r="F168" s="330">
        <f t="shared" si="13"/>
        <v>1.4210854715202004E-14</v>
      </c>
      <c r="G168" s="191"/>
      <c r="H168" s="268" t="str">
        <f t="shared" si="16"/>
        <v/>
      </c>
      <c r="I168" s="269" t="str">
        <f t="shared" si="16"/>
        <v/>
      </c>
      <c r="J168" s="270">
        <f t="shared" si="14"/>
        <v>-77.509999999999991</v>
      </c>
    </row>
    <row r="169" spans="1:10" s="37" customFormat="1" ht="15" customHeight="1" outlineLevel="1">
      <c r="A169" s="273">
        <f t="shared" si="12"/>
        <v>166</v>
      </c>
      <c r="B169" s="187"/>
      <c r="C169" s="213"/>
      <c r="D169" s="189"/>
      <c r="E169" s="190"/>
      <c r="F169" s="330">
        <f t="shared" si="13"/>
        <v>1.4210854715202004E-14</v>
      </c>
      <c r="G169" s="191"/>
      <c r="H169" s="268" t="str">
        <f t="shared" si="16"/>
        <v/>
      </c>
      <c r="I169" s="269" t="str">
        <f t="shared" si="16"/>
        <v/>
      </c>
      <c r="J169" s="270">
        <f t="shared" si="14"/>
        <v>-77.509999999999991</v>
      </c>
    </row>
    <row r="170" spans="1:10" s="37" customFormat="1" ht="15" customHeight="1" outlineLevel="1">
      <c r="A170" s="273">
        <f t="shared" si="12"/>
        <v>167</v>
      </c>
      <c r="B170" s="187"/>
      <c r="C170" s="213"/>
      <c r="D170" s="189"/>
      <c r="E170" s="190"/>
      <c r="F170" s="330">
        <f t="shared" si="13"/>
        <v>1.4210854715202004E-14</v>
      </c>
      <c r="G170" s="191"/>
      <c r="H170" s="268" t="str">
        <f t="shared" si="16"/>
        <v/>
      </c>
      <c r="I170" s="269" t="str">
        <f t="shared" si="16"/>
        <v/>
      </c>
      <c r="J170" s="270">
        <f t="shared" si="14"/>
        <v>-77.509999999999991</v>
      </c>
    </row>
    <row r="171" spans="1:10" s="37" customFormat="1" ht="15" customHeight="1" outlineLevel="1">
      <c r="A171" s="273">
        <f t="shared" si="12"/>
        <v>168</v>
      </c>
      <c r="B171" s="187"/>
      <c r="C171" s="213"/>
      <c r="D171" s="189"/>
      <c r="E171" s="190"/>
      <c r="F171" s="330">
        <f t="shared" si="13"/>
        <v>1.4210854715202004E-14</v>
      </c>
      <c r="G171" s="191"/>
      <c r="H171" s="268" t="str">
        <f t="shared" si="16"/>
        <v/>
      </c>
      <c r="I171" s="269" t="str">
        <f t="shared" si="16"/>
        <v/>
      </c>
      <c r="J171" s="270">
        <f t="shared" si="14"/>
        <v>-77.509999999999991</v>
      </c>
    </row>
    <row r="172" spans="1:10" s="37" customFormat="1" ht="15" customHeight="1" outlineLevel="1">
      <c r="A172" s="273">
        <f t="shared" si="12"/>
        <v>169</v>
      </c>
      <c r="B172" s="187"/>
      <c r="C172" s="213"/>
      <c r="D172" s="189"/>
      <c r="E172" s="190"/>
      <c r="F172" s="330">
        <f t="shared" si="13"/>
        <v>1.4210854715202004E-14</v>
      </c>
      <c r="G172" s="191"/>
      <c r="H172" s="268" t="str">
        <f t="shared" si="16"/>
        <v/>
      </c>
      <c r="I172" s="269" t="str">
        <f t="shared" si="16"/>
        <v/>
      </c>
      <c r="J172" s="270">
        <f t="shared" si="14"/>
        <v>-77.509999999999991</v>
      </c>
    </row>
    <row r="173" spans="1:10" s="37" customFormat="1" ht="15" customHeight="1" outlineLevel="1">
      <c r="A173" s="273">
        <f t="shared" si="12"/>
        <v>170</v>
      </c>
      <c r="B173" s="187"/>
      <c r="C173" s="213"/>
      <c r="D173" s="189"/>
      <c r="E173" s="190"/>
      <c r="F173" s="330">
        <f t="shared" si="13"/>
        <v>1.4210854715202004E-14</v>
      </c>
      <c r="G173" s="191"/>
      <c r="H173" s="268" t="str">
        <f t="shared" si="16"/>
        <v/>
      </c>
      <c r="I173" s="269" t="str">
        <f t="shared" si="16"/>
        <v/>
      </c>
      <c r="J173" s="270">
        <f t="shared" si="14"/>
        <v>-77.509999999999991</v>
      </c>
    </row>
    <row r="174" spans="1:10" s="37" customFormat="1" ht="15" customHeight="1" outlineLevel="1">
      <c r="A174" s="273">
        <f t="shared" si="12"/>
        <v>171</v>
      </c>
      <c r="B174" s="187"/>
      <c r="C174" s="213"/>
      <c r="D174" s="189"/>
      <c r="E174" s="190"/>
      <c r="F174" s="330">
        <f t="shared" si="13"/>
        <v>1.4210854715202004E-14</v>
      </c>
      <c r="G174" s="191"/>
      <c r="H174" s="268" t="str">
        <f t="shared" si="16"/>
        <v/>
      </c>
      <c r="I174" s="269" t="str">
        <f t="shared" si="16"/>
        <v/>
      </c>
      <c r="J174" s="270">
        <f t="shared" si="14"/>
        <v>-77.509999999999991</v>
      </c>
    </row>
    <row r="175" spans="1:10" s="37" customFormat="1" ht="15" customHeight="1" outlineLevel="1">
      <c r="A175" s="273">
        <f t="shared" si="12"/>
        <v>172</v>
      </c>
      <c r="B175" s="187"/>
      <c r="C175" s="213"/>
      <c r="D175" s="189"/>
      <c r="E175" s="190"/>
      <c r="F175" s="330">
        <f t="shared" si="13"/>
        <v>1.4210854715202004E-14</v>
      </c>
      <c r="G175" s="191"/>
      <c r="H175" s="268" t="str">
        <f t="shared" si="16"/>
        <v/>
      </c>
      <c r="I175" s="269" t="str">
        <f t="shared" si="16"/>
        <v/>
      </c>
      <c r="J175" s="270">
        <f t="shared" si="14"/>
        <v>-77.509999999999991</v>
      </c>
    </row>
    <row r="176" spans="1:10" s="37" customFormat="1" ht="15" customHeight="1" outlineLevel="1">
      <c r="A176" s="273">
        <f t="shared" si="12"/>
        <v>173</v>
      </c>
      <c r="B176" s="187"/>
      <c r="C176" s="213"/>
      <c r="D176" s="189"/>
      <c r="E176" s="190"/>
      <c r="F176" s="330">
        <f t="shared" si="13"/>
        <v>1.4210854715202004E-14</v>
      </c>
      <c r="G176" s="191"/>
      <c r="H176" s="268" t="str">
        <f t="shared" si="16"/>
        <v/>
      </c>
      <c r="I176" s="269" t="str">
        <f t="shared" si="16"/>
        <v/>
      </c>
      <c r="J176" s="270">
        <f t="shared" si="14"/>
        <v>-77.509999999999991</v>
      </c>
    </row>
    <row r="177" spans="1:10" s="37" customFormat="1" ht="15" customHeight="1" outlineLevel="1">
      <c r="A177" s="273">
        <f t="shared" si="12"/>
        <v>174</v>
      </c>
      <c r="B177" s="187"/>
      <c r="C177" s="213"/>
      <c r="D177" s="189"/>
      <c r="E177" s="190"/>
      <c r="F177" s="330">
        <f t="shared" si="13"/>
        <v>1.4210854715202004E-14</v>
      </c>
      <c r="G177" s="191"/>
      <c r="H177" s="268" t="str">
        <f t="shared" si="16"/>
        <v/>
      </c>
      <c r="I177" s="269" t="str">
        <f t="shared" si="16"/>
        <v/>
      </c>
      <c r="J177" s="270">
        <f t="shared" si="14"/>
        <v>-77.509999999999991</v>
      </c>
    </row>
    <row r="178" spans="1:10" s="37" customFormat="1" ht="15" customHeight="1" outlineLevel="1">
      <c r="A178" s="273">
        <f t="shared" si="12"/>
        <v>175</v>
      </c>
      <c r="B178" s="187"/>
      <c r="C178" s="213"/>
      <c r="D178" s="189"/>
      <c r="E178" s="190"/>
      <c r="F178" s="330">
        <f t="shared" si="13"/>
        <v>1.4210854715202004E-14</v>
      </c>
      <c r="G178" s="191"/>
      <c r="H178" s="268" t="str">
        <f t="shared" si="16"/>
        <v/>
      </c>
      <c r="I178" s="269" t="str">
        <f t="shared" si="16"/>
        <v/>
      </c>
      <c r="J178" s="270">
        <f t="shared" si="14"/>
        <v>-77.509999999999991</v>
      </c>
    </row>
    <row r="179" spans="1:10" s="37" customFormat="1" ht="15" customHeight="1" outlineLevel="1">
      <c r="A179" s="273">
        <f t="shared" si="12"/>
        <v>176</v>
      </c>
      <c r="B179" s="187"/>
      <c r="C179" s="213"/>
      <c r="D179" s="189"/>
      <c r="E179" s="190"/>
      <c r="F179" s="330">
        <f t="shared" si="13"/>
        <v>1.4210854715202004E-14</v>
      </c>
      <c r="G179" s="191"/>
      <c r="H179" s="268" t="str">
        <f t="shared" ref="H179:I189" si="17">IF(D179="","",IF($G179="","",IF($G179="ΟΧΙ","",D179)))</f>
        <v/>
      </c>
      <c r="I179" s="269" t="str">
        <f t="shared" si="17"/>
        <v/>
      </c>
      <c r="J179" s="270">
        <f t="shared" si="14"/>
        <v>-77.509999999999991</v>
      </c>
    </row>
    <row r="180" spans="1:10" s="37" customFormat="1" ht="15" customHeight="1" outlineLevel="1">
      <c r="A180" s="273">
        <f t="shared" si="12"/>
        <v>177</v>
      </c>
      <c r="B180" s="187"/>
      <c r="C180" s="213"/>
      <c r="D180" s="189"/>
      <c r="E180" s="190"/>
      <c r="F180" s="330">
        <f t="shared" si="13"/>
        <v>1.4210854715202004E-14</v>
      </c>
      <c r="G180" s="191"/>
      <c r="H180" s="268" t="str">
        <f t="shared" si="17"/>
        <v/>
      </c>
      <c r="I180" s="269" t="str">
        <f t="shared" si="17"/>
        <v/>
      </c>
      <c r="J180" s="270">
        <f t="shared" si="14"/>
        <v>-77.509999999999991</v>
      </c>
    </row>
    <row r="181" spans="1:10" s="37" customFormat="1" ht="15" customHeight="1" outlineLevel="1">
      <c r="A181" s="273">
        <f t="shared" si="12"/>
        <v>178</v>
      </c>
      <c r="B181" s="187"/>
      <c r="C181" s="213"/>
      <c r="D181" s="189"/>
      <c r="E181" s="190"/>
      <c r="F181" s="330">
        <f t="shared" si="13"/>
        <v>1.4210854715202004E-14</v>
      </c>
      <c r="G181" s="191"/>
      <c r="H181" s="268" t="str">
        <f t="shared" si="17"/>
        <v/>
      </c>
      <c r="I181" s="269" t="str">
        <f t="shared" si="17"/>
        <v/>
      </c>
      <c r="J181" s="270">
        <f t="shared" si="14"/>
        <v>-77.509999999999991</v>
      </c>
    </row>
    <row r="182" spans="1:10" s="37" customFormat="1" ht="15" customHeight="1" outlineLevel="1">
      <c r="A182" s="273">
        <f t="shared" si="12"/>
        <v>179</v>
      </c>
      <c r="B182" s="187"/>
      <c r="C182" s="213"/>
      <c r="D182" s="189"/>
      <c r="E182" s="190"/>
      <c r="F182" s="330">
        <f t="shared" si="13"/>
        <v>1.4210854715202004E-14</v>
      </c>
      <c r="G182" s="191"/>
      <c r="H182" s="268" t="str">
        <f t="shared" si="17"/>
        <v/>
      </c>
      <c r="I182" s="269" t="str">
        <f t="shared" si="17"/>
        <v/>
      </c>
      <c r="J182" s="270">
        <f t="shared" si="14"/>
        <v>-77.509999999999991</v>
      </c>
    </row>
    <row r="183" spans="1:10" s="37" customFormat="1" ht="15" customHeight="1" outlineLevel="1">
      <c r="A183" s="273">
        <f t="shared" si="12"/>
        <v>180</v>
      </c>
      <c r="B183" s="187"/>
      <c r="C183" s="213"/>
      <c r="D183" s="189"/>
      <c r="E183" s="190"/>
      <c r="F183" s="330">
        <f t="shared" si="13"/>
        <v>1.4210854715202004E-14</v>
      </c>
      <c r="G183" s="191"/>
      <c r="H183" s="268" t="str">
        <f t="shared" si="17"/>
        <v/>
      </c>
      <c r="I183" s="269" t="str">
        <f t="shared" si="17"/>
        <v/>
      </c>
      <c r="J183" s="270">
        <f t="shared" si="14"/>
        <v>-77.509999999999991</v>
      </c>
    </row>
    <row r="184" spans="1:10" s="37" customFormat="1" ht="15" customHeight="1" outlineLevel="1">
      <c r="A184" s="273">
        <f t="shared" si="12"/>
        <v>181</v>
      </c>
      <c r="B184" s="187"/>
      <c r="C184" s="213"/>
      <c r="D184" s="189"/>
      <c r="E184" s="190"/>
      <c r="F184" s="330">
        <f t="shared" si="13"/>
        <v>1.4210854715202004E-14</v>
      </c>
      <c r="G184" s="191"/>
      <c r="H184" s="268" t="str">
        <f t="shared" si="17"/>
        <v/>
      </c>
      <c r="I184" s="269" t="str">
        <f t="shared" si="17"/>
        <v/>
      </c>
      <c r="J184" s="270">
        <f t="shared" si="14"/>
        <v>-77.509999999999991</v>
      </c>
    </row>
    <row r="185" spans="1:10" s="37" customFormat="1" ht="15" customHeight="1" outlineLevel="1">
      <c r="A185" s="273">
        <f t="shared" si="12"/>
        <v>182</v>
      </c>
      <c r="B185" s="187"/>
      <c r="C185" s="213"/>
      <c r="D185" s="189"/>
      <c r="E185" s="190"/>
      <c r="F185" s="330">
        <f t="shared" si="13"/>
        <v>1.4210854715202004E-14</v>
      </c>
      <c r="G185" s="191"/>
      <c r="H185" s="268" t="str">
        <f t="shared" si="17"/>
        <v/>
      </c>
      <c r="I185" s="269" t="str">
        <f t="shared" si="17"/>
        <v/>
      </c>
      <c r="J185" s="270">
        <f t="shared" si="14"/>
        <v>-77.509999999999991</v>
      </c>
    </row>
    <row r="186" spans="1:10" s="37" customFormat="1" ht="15" customHeight="1" outlineLevel="1">
      <c r="A186" s="273">
        <f t="shared" si="12"/>
        <v>183</v>
      </c>
      <c r="B186" s="187"/>
      <c r="C186" s="213"/>
      <c r="D186" s="189"/>
      <c r="E186" s="190"/>
      <c r="F186" s="330">
        <f t="shared" si="13"/>
        <v>1.4210854715202004E-14</v>
      </c>
      <c r="G186" s="191"/>
      <c r="H186" s="268" t="str">
        <f t="shared" si="17"/>
        <v/>
      </c>
      <c r="I186" s="269" t="str">
        <f t="shared" si="17"/>
        <v/>
      </c>
      <c r="J186" s="270">
        <f t="shared" si="14"/>
        <v>-77.509999999999991</v>
      </c>
    </row>
    <row r="187" spans="1:10" s="37" customFormat="1" ht="15" customHeight="1" outlineLevel="1" collapsed="1">
      <c r="A187" s="273">
        <f t="shared" si="12"/>
        <v>184</v>
      </c>
      <c r="B187" s="187"/>
      <c r="C187" s="213"/>
      <c r="D187" s="189"/>
      <c r="E187" s="190"/>
      <c r="F187" s="330">
        <f t="shared" si="13"/>
        <v>1.4210854715202004E-14</v>
      </c>
      <c r="G187" s="191"/>
      <c r="H187" s="268" t="str">
        <f t="shared" si="17"/>
        <v/>
      </c>
      <c r="I187" s="269" t="str">
        <f t="shared" si="17"/>
        <v/>
      </c>
      <c r="J187" s="270">
        <f t="shared" si="14"/>
        <v>-77.509999999999991</v>
      </c>
    </row>
    <row r="188" spans="1:10" s="37" customFormat="1" ht="15" customHeight="1" outlineLevel="1">
      <c r="A188" s="273">
        <f t="shared" si="12"/>
        <v>185</v>
      </c>
      <c r="B188" s="187"/>
      <c r="C188" s="213"/>
      <c r="D188" s="189"/>
      <c r="E188" s="190"/>
      <c r="F188" s="330">
        <f t="shared" si="13"/>
        <v>1.4210854715202004E-14</v>
      </c>
      <c r="G188" s="191"/>
      <c r="H188" s="268" t="str">
        <f t="shared" si="17"/>
        <v/>
      </c>
      <c r="I188" s="269" t="str">
        <f t="shared" si="17"/>
        <v/>
      </c>
      <c r="J188" s="270">
        <f t="shared" si="14"/>
        <v>-77.509999999999991</v>
      </c>
    </row>
    <row r="189" spans="1:10" s="37" customFormat="1" ht="15" customHeight="1" outlineLevel="1">
      <c r="A189" s="273">
        <f t="shared" si="12"/>
        <v>186</v>
      </c>
      <c r="B189" s="187"/>
      <c r="C189" s="213"/>
      <c r="D189" s="189"/>
      <c r="E189" s="190"/>
      <c r="F189" s="330">
        <f t="shared" si="13"/>
        <v>1.4210854715202004E-14</v>
      </c>
      <c r="G189" s="191"/>
      <c r="H189" s="268" t="str">
        <f t="shared" si="17"/>
        <v/>
      </c>
      <c r="I189" s="269" t="str">
        <f t="shared" si="17"/>
        <v/>
      </c>
      <c r="J189" s="270">
        <f t="shared" si="14"/>
        <v>-77.509999999999991</v>
      </c>
    </row>
    <row r="190" spans="1:10" s="115" customFormat="1" ht="15" customHeight="1">
      <c r="A190" s="691" t="s">
        <v>63</v>
      </c>
      <c r="B190" s="692"/>
      <c r="C190" s="693"/>
      <c r="D190" s="242">
        <f>SUM(D4:D189)</f>
        <v>307.31</v>
      </c>
      <c r="E190" s="243">
        <f>SUM(E4:E189)</f>
        <v>307.31</v>
      </c>
      <c r="F190" s="196">
        <f>D190-E190</f>
        <v>0</v>
      </c>
      <c r="G190" s="196"/>
      <c r="H190" s="242">
        <f>SUM(H4:H189)</f>
        <v>229.8</v>
      </c>
      <c r="I190" s="243">
        <f>SUM(I4:I189)</f>
        <v>307.31</v>
      </c>
      <c r="J190" s="196">
        <f>H190-I190</f>
        <v>-77.509999999999991</v>
      </c>
    </row>
  </sheetData>
  <sheetProtection password="E4A3" sheet="1" objects="1" scenarios="1"/>
  <mergeCells count="9">
    <mergeCell ref="A190:C190"/>
    <mergeCell ref="L2:O3"/>
    <mergeCell ref="A1:C1"/>
    <mergeCell ref="D1:J1"/>
    <mergeCell ref="A2:A3"/>
    <mergeCell ref="B2:B3"/>
    <mergeCell ref="C2:C3"/>
    <mergeCell ref="D2:F2"/>
    <mergeCell ref="H2:J2"/>
  </mergeCells>
  <conditionalFormatting sqref="G4">
    <cfRule type="containsText" dxfId="344" priority="343" operator="containsText" text="ΟΧΙ">
      <formula>NOT(ISERROR(SEARCH("ΟΧΙ",G4)))</formula>
    </cfRule>
    <cfRule type="containsText" dxfId="343" priority="344" operator="containsText" text="ΝΑΙ">
      <formula>NOT(ISERROR(SEARCH("ΝΑΙ",G4)))</formula>
    </cfRule>
  </conditionalFormatting>
  <conditionalFormatting sqref="G4:G189">
    <cfRule type="containsText" dxfId="342" priority="342" operator="containsText" text="ΟΧΙ">
      <formula>NOT(ISERROR(SEARCH("ΟΧΙ",G4)))</formula>
    </cfRule>
  </conditionalFormatting>
  <conditionalFormatting sqref="C5">
    <cfRule type="expression" dxfId="341" priority="341">
      <formula>E5&gt;0</formula>
    </cfRule>
  </conditionalFormatting>
  <conditionalFormatting sqref="C4">
    <cfRule type="expression" dxfId="340" priority="340">
      <formula>E4&gt;0</formula>
    </cfRule>
  </conditionalFormatting>
  <conditionalFormatting sqref="C6">
    <cfRule type="expression" dxfId="339" priority="339">
      <formula>E6&gt;0</formula>
    </cfRule>
  </conditionalFormatting>
  <conditionalFormatting sqref="C7">
    <cfRule type="expression" dxfId="338" priority="338">
      <formula>E7&gt;0</formula>
    </cfRule>
  </conditionalFormatting>
  <conditionalFormatting sqref="C8">
    <cfRule type="expression" dxfId="337" priority="337">
      <formula>E8&gt;0</formula>
    </cfRule>
  </conditionalFormatting>
  <conditionalFormatting sqref="C9">
    <cfRule type="expression" dxfId="336" priority="336">
      <formula>E9&gt;0</formula>
    </cfRule>
  </conditionalFormatting>
  <conditionalFormatting sqref="C10">
    <cfRule type="expression" dxfId="335" priority="335">
      <formula>E10&gt;0</formula>
    </cfRule>
  </conditionalFormatting>
  <conditionalFormatting sqref="C11">
    <cfRule type="expression" dxfId="334" priority="334">
      <formula>E11&gt;0</formula>
    </cfRule>
  </conditionalFormatting>
  <conditionalFormatting sqref="C9">
    <cfRule type="expression" dxfId="333" priority="333">
      <formula>E9&gt;0</formula>
    </cfRule>
  </conditionalFormatting>
  <conditionalFormatting sqref="C12">
    <cfRule type="expression" dxfId="332" priority="332">
      <formula>E12&gt;0</formula>
    </cfRule>
  </conditionalFormatting>
  <conditionalFormatting sqref="C13">
    <cfRule type="expression" dxfId="331" priority="331">
      <formula>E13&gt;0</formula>
    </cfRule>
  </conditionalFormatting>
  <conditionalFormatting sqref="C14">
    <cfRule type="expression" dxfId="330" priority="330">
      <formula>E14&gt;0</formula>
    </cfRule>
  </conditionalFormatting>
  <conditionalFormatting sqref="C15">
    <cfRule type="expression" dxfId="329" priority="329">
      <formula>E15&gt;0</formula>
    </cfRule>
  </conditionalFormatting>
  <conditionalFormatting sqref="C16">
    <cfRule type="expression" dxfId="328" priority="328">
      <formula>E16&gt;0</formula>
    </cfRule>
  </conditionalFormatting>
  <conditionalFormatting sqref="C17">
    <cfRule type="expression" dxfId="327" priority="327">
      <formula>E17&gt;0</formula>
    </cfRule>
  </conditionalFormatting>
  <conditionalFormatting sqref="C18">
    <cfRule type="expression" dxfId="326" priority="326">
      <formula>E18&gt;0</formula>
    </cfRule>
  </conditionalFormatting>
  <conditionalFormatting sqref="C19">
    <cfRule type="expression" dxfId="325" priority="325">
      <formula>E19&gt;0</formula>
    </cfRule>
  </conditionalFormatting>
  <conditionalFormatting sqref="C20">
    <cfRule type="expression" dxfId="324" priority="324">
      <formula>E20&gt;0</formula>
    </cfRule>
  </conditionalFormatting>
  <conditionalFormatting sqref="C21">
    <cfRule type="expression" dxfId="323" priority="323">
      <formula>E21&gt;0</formula>
    </cfRule>
  </conditionalFormatting>
  <conditionalFormatting sqref="C22">
    <cfRule type="expression" dxfId="322" priority="322">
      <formula>E22&gt;0</formula>
    </cfRule>
  </conditionalFormatting>
  <conditionalFormatting sqref="C23">
    <cfRule type="expression" dxfId="321" priority="321">
      <formula>E23&gt;0</formula>
    </cfRule>
  </conditionalFormatting>
  <conditionalFormatting sqref="C24">
    <cfRule type="expression" dxfId="320" priority="320">
      <formula>E24&gt;0</formula>
    </cfRule>
  </conditionalFormatting>
  <conditionalFormatting sqref="C25">
    <cfRule type="expression" dxfId="319" priority="319">
      <formula>E25&gt;0</formula>
    </cfRule>
  </conditionalFormatting>
  <conditionalFormatting sqref="C26">
    <cfRule type="expression" dxfId="318" priority="318">
      <formula>E26&gt;0</formula>
    </cfRule>
  </conditionalFormatting>
  <conditionalFormatting sqref="C27">
    <cfRule type="expression" dxfId="317" priority="317">
      <formula>E27&gt;0</formula>
    </cfRule>
  </conditionalFormatting>
  <conditionalFormatting sqref="C28">
    <cfRule type="expression" dxfId="316" priority="316">
      <formula>E28&gt;0</formula>
    </cfRule>
  </conditionalFormatting>
  <conditionalFormatting sqref="C29">
    <cfRule type="expression" dxfId="315" priority="315">
      <formula>E29&gt;0</formula>
    </cfRule>
  </conditionalFormatting>
  <conditionalFormatting sqref="C30">
    <cfRule type="expression" dxfId="314" priority="314">
      <formula>E30&gt;0</formula>
    </cfRule>
  </conditionalFormatting>
  <conditionalFormatting sqref="C31">
    <cfRule type="expression" dxfId="313" priority="313">
      <formula>E31&gt;0</formula>
    </cfRule>
  </conditionalFormatting>
  <conditionalFormatting sqref="C32">
    <cfRule type="expression" dxfId="312" priority="312">
      <formula>E32&gt;0</formula>
    </cfRule>
  </conditionalFormatting>
  <conditionalFormatting sqref="C33">
    <cfRule type="expression" dxfId="311" priority="311">
      <formula>E33&gt;0</formula>
    </cfRule>
  </conditionalFormatting>
  <conditionalFormatting sqref="C34">
    <cfRule type="expression" dxfId="310" priority="310">
      <formula>E34&gt;0</formula>
    </cfRule>
  </conditionalFormatting>
  <conditionalFormatting sqref="C33">
    <cfRule type="expression" dxfId="309" priority="309">
      <formula>E33&gt;0</formula>
    </cfRule>
  </conditionalFormatting>
  <conditionalFormatting sqref="C35">
    <cfRule type="expression" dxfId="308" priority="308">
      <formula>E35&gt;0</formula>
    </cfRule>
  </conditionalFormatting>
  <conditionalFormatting sqref="C36">
    <cfRule type="expression" dxfId="307" priority="307">
      <formula>E36&gt;0</formula>
    </cfRule>
  </conditionalFormatting>
  <conditionalFormatting sqref="C37">
    <cfRule type="expression" dxfId="306" priority="306">
      <formula>E37&gt;0</formula>
    </cfRule>
  </conditionalFormatting>
  <conditionalFormatting sqref="C38">
    <cfRule type="expression" dxfId="305" priority="305">
      <formula>E38&gt;0</formula>
    </cfRule>
  </conditionalFormatting>
  <conditionalFormatting sqref="C39">
    <cfRule type="expression" dxfId="304" priority="304">
      <formula>E39&gt;0</formula>
    </cfRule>
  </conditionalFormatting>
  <conditionalFormatting sqref="C40">
    <cfRule type="expression" dxfId="303" priority="303">
      <formula>E40&gt;0</formula>
    </cfRule>
  </conditionalFormatting>
  <conditionalFormatting sqref="C41">
    <cfRule type="expression" dxfId="302" priority="302">
      <formula>E41&gt;0</formula>
    </cfRule>
  </conditionalFormatting>
  <conditionalFormatting sqref="C42">
    <cfRule type="expression" dxfId="301" priority="301">
      <formula>E42&gt;0</formula>
    </cfRule>
  </conditionalFormatting>
  <conditionalFormatting sqref="C43">
    <cfRule type="expression" dxfId="300" priority="300">
      <formula>E43&gt;0</formula>
    </cfRule>
  </conditionalFormatting>
  <conditionalFormatting sqref="C44">
    <cfRule type="expression" dxfId="299" priority="299">
      <formula>E44&gt;0</formula>
    </cfRule>
  </conditionalFormatting>
  <conditionalFormatting sqref="C45">
    <cfRule type="expression" dxfId="298" priority="298">
      <formula>E45&gt;0</formula>
    </cfRule>
  </conditionalFormatting>
  <conditionalFormatting sqref="C46">
    <cfRule type="expression" dxfId="297" priority="297">
      <formula>E46&gt;0</formula>
    </cfRule>
  </conditionalFormatting>
  <conditionalFormatting sqref="C47">
    <cfRule type="expression" dxfId="296" priority="296">
      <formula>E47&gt;0</formula>
    </cfRule>
  </conditionalFormatting>
  <conditionalFormatting sqref="C48">
    <cfRule type="expression" dxfId="295" priority="295">
      <formula>E48&gt;0</formula>
    </cfRule>
  </conditionalFormatting>
  <conditionalFormatting sqref="C49">
    <cfRule type="expression" dxfId="294" priority="294">
      <formula>E49&gt;0</formula>
    </cfRule>
  </conditionalFormatting>
  <conditionalFormatting sqref="C50">
    <cfRule type="expression" dxfId="293" priority="293">
      <formula>E50&gt;0</formula>
    </cfRule>
  </conditionalFormatting>
  <conditionalFormatting sqref="C51">
    <cfRule type="expression" dxfId="292" priority="292">
      <formula>E51&gt;0</formula>
    </cfRule>
  </conditionalFormatting>
  <conditionalFormatting sqref="C52">
    <cfRule type="expression" dxfId="291" priority="291">
      <formula>E52&gt;0</formula>
    </cfRule>
  </conditionalFormatting>
  <conditionalFormatting sqref="C53">
    <cfRule type="expression" dxfId="290" priority="290">
      <formula>E53&gt;0</formula>
    </cfRule>
  </conditionalFormatting>
  <conditionalFormatting sqref="C54">
    <cfRule type="expression" dxfId="289" priority="289">
      <formula>E54&gt;0</formula>
    </cfRule>
  </conditionalFormatting>
  <conditionalFormatting sqref="C55">
    <cfRule type="expression" dxfId="288" priority="288">
      <formula>E55&gt;0</formula>
    </cfRule>
  </conditionalFormatting>
  <conditionalFormatting sqref="C56">
    <cfRule type="expression" dxfId="287" priority="287">
      <formula>E56&gt;0</formula>
    </cfRule>
  </conditionalFormatting>
  <conditionalFormatting sqref="C57">
    <cfRule type="expression" dxfId="286" priority="286">
      <formula>E57&gt;0</formula>
    </cfRule>
  </conditionalFormatting>
  <conditionalFormatting sqref="C58">
    <cfRule type="expression" dxfId="285" priority="285">
      <formula>E58&gt;0</formula>
    </cfRule>
  </conditionalFormatting>
  <conditionalFormatting sqref="C59">
    <cfRule type="expression" dxfId="284" priority="284">
      <formula>E59&gt;0</formula>
    </cfRule>
  </conditionalFormatting>
  <conditionalFormatting sqref="C60">
    <cfRule type="expression" dxfId="283" priority="283">
      <formula>E60&gt;0</formula>
    </cfRule>
  </conditionalFormatting>
  <conditionalFormatting sqref="C61">
    <cfRule type="expression" dxfId="282" priority="282">
      <formula>E61&gt;0</formula>
    </cfRule>
  </conditionalFormatting>
  <conditionalFormatting sqref="C61">
    <cfRule type="expression" dxfId="281" priority="281">
      <formula>E61&gt;0</formula>
    </cfRule>
  </conditionalFormatting>
  <conditionalFormatting sqref="C62">
    <cfRule type="expression" dxfId="280" priority="280">
      <formula>E62&gt;0</formula>
    </cfRule>
  </conditionalFormatting>
  <conditionalFormatting sqref="C63">
    <cfRule type="expression" dxfId="279" priority="279">
      <formula>E63&gt;0</formula>
    </cfRule>
  </conditionalFormatting>
  <conditionalFormatting sqref="C64">
    <cfRule type="expression" dxfId="278" priority="278">
      <formula>E64&gt;0</formula>
    </cfRule>
  </conditionalFormatting>
  <conditionalFormatting sqref="C65">
    <cfRule type="expression" dxfId="277" priority="277">
      <formula>E65&gt;0</formula>
    </cfRule>
  </conditionalFormatting>
  <conditionalFormatting sqref="C66">
    <cfRule type="expression" dxfId="276" priority="276">
      <formula>E66&gt;0</formula>
    </cfRule>
  </conditionalFormatting>
  <conditionalFormatting sqref="C67">
    <cfRule type="expression" dxfId="275" priority="275">
      <formula>E67&gt;0</formula>
    </cfRule>
  </conditionalFormatting>
  <conditionalFormatting sqref="C68">
    <cfRule type="expression" dxfId="274" priority="274">
      <formula>E68&gt;0</formula>
    </cfRule>
  </conditionalFormatting>
  <conditionalFormatting sqref="C69">
    <cfRule type="expression" dxfId="273" priority="273">
      <formula>E69&gt;0</formula>
    </cfRule>
  </conditionalFormatting>
  <conditionalFormatting sqref="C70">
    <cfRule type="expression" dxfId="272" priority="272">
      <formula>E70&gt;0</formula>
    </cfRule>
  </conditionalFormatting>
  <conditionalFormatting sqref="C71">
    <cfRule type="expression" dxfId="271" priority="271">
      <formula>E71&gt;0</formula>
    </cfRule>
  </conditionalFormatting>
  <conditionalFormatting sqref="C72">
    <cfRule type="expression" dxfId="270" priority="270">
      <formula>E72&gt;0</formula>
    </cfRule>
  </conditionalFormatting>
  <conditionalFormatting sqref="C73">
    <cfRule type="expression" dxfId="269" priority="269">
      <formula>E73&gt;0</formula>
    </cfRule>
  </conditionalFormatting>
  <conditionalFormatting sqref="C74">
    <cfRule type="expression" dxfId="268" priority="268">
      <formula>E74&gt;0</formula>
    </cfRule>
  </conditionalFormatting>
  <conditionalFormatting sqref="C75">
    <cfRule type="expression" dxfId="267" priority="267">
      <formula>E75&gt;0</formula>
    </cfRule>
  </conditionalFormatting>
  <conditionalFormatting sqref="C76">
    <cfRule type="expression" dxfId="266" priority="266">
      <formula>E76&gt;0</formula>
    </cfRule>
  </conditionalFormatting>
  <conditionalFormatting sqref="C77">
    <cfRule type="expression" dxfId="265" priority="265">
      <formula>E77&gt;0</formula>
    </cfRule>
  </conditionalFormatting>
  <conditionalFormatting sqref="C78">
    <cfRule type="expression" dxfId="264" priority="264">
      <formula>E78&gt;0</formula>
    </cfRule>
  </conditionalFormatting>
  <conditionalFormatting sqref="C79">
    <cfRule type="expression" dxfId="263" priority="263">
      <formula>E79&gt;0</formula>
    </cfRule>
  </conditionalFormatting>
  <conditionalFormatting sqref="C80">
    <cfRule type="expression" dxfId="262" priority="262">
      <formula>E80&gt;0</formula>
    </cfRule>
  </conditionalFormatting>
  <conditionalFormatting sqref="C81">
    <cfRule type="expression" dxfId="261" priority="261">
      <formula>E81&gt;0</formula>
    </cfRule>
  </conditionalFormatting>
  <conditionalFormatting sqref="C82">
    <cfRule type="expression" dxfId="260" priority="260">
      <formula>E82&gt;0</formula>
    </cfRule>
  </conditionalFormatting>
  <conditionalFormatting sqref="C83">
    <cfRule type="expression" dxfId="259" priority="259">
      <formula>E83&gt;0</formula>
    </cfRule>
  </conditionalFormatting>
  <conditionalFormatting sqref="C84">
    <cfRule type="expression" dxfId="258" priority="258">
      <formula>E84&gt;0</formula>
    </cfRule>
  </conditionalFormatting>
  <conditionalFormatting sqref="C85">
    <cfRule type="expression" dxfId="257" priority="257">
      <formula>E85&gt;0</formula>
    </cfRule>
  </conditionalFormatting>
  <conditionalFormatting sqref="C86">
    <cfRule type="expression" dxfId="256" priority="256">
      <formula>E86&gt;0</formula>
    </cfRule>
  </conditionalFormatting>
  <conditionalFormatting sqref="C87">
    <cfRule type="expression" dxfId="255" priority="255">
      <formula>E87&gt;0</formula>
    </cfRule>
  </conditionalFormatting>
  <conditionalFormatting sqref="C88">
    <cfRule type="expression" dxfId="254" priority="254">
      <formula>E88&gt;0</formula>
    </cfRule>
  </conditionalFormatting>
  <conditionalFormatting sqref="C89">
    <cfRule type="expression" dxfId="253" priority="253">
      <formula>E89&gt;0</formula>
    </cfRule>
  </conditionalFormatting>
  <conditionalFormatting sqref="C90">
    <cfRule type="expression" dxfId="252" priority="252">
      <formula>E90&gt;0</formula>
    </cfRule>
  </conditionalFormatting>
  <conditionalFormatting sqref="C91">
    <cfRule type="expression" dxfId="251" priority="251">
      <formula>E91&gt;0</formula>
    </cfRule>
  </conditionalFormatting>
  <conditionalFormatting sqref="C92">
    <cfRule type="expression" dxfId="250" priority="250">
      <formula>E92&gt;0</formula>
    </cfRule>
  </conditionalFormatting>
  <conditionalFormatting sqref="C93">
    <cfRule type="expression" dxfId="249" priority="249">
      <formula>E93&gt;0</formula>
    </cfRule>
  </conditionalFormatting>
  <conditionalFormatting sqref="C94">
    <cfRule type="expression" dxfId="248" priority="248">
      <formula>E94&gt;0</formula>
    </cfRule>
  </conditionalFormatting>
  <conditionalFormatting sqref="C95">
    <cfRule type="expression" dxfId="247" priority="247">
      <formula>E95&gt;0</formula>
    </cfRule>
  </conditionalFormatting>
  <conditionalFormatting sqref="C96">
    <cfRule type="expression" dxfId="246" priority="246">
      <formula>E96&gt;0</formula>
    </cfRule>
  </conditionalFormatting>
  <conditionalFormatting sqref="C97">
    <cfRule type="expression" dxfId="245" priority="245">
      <formula>E97&gt;0</formula>
    </cfRule>
  </conditionalFormatting>
  <conditionalFormatting sqref="C188">
    <cfRule type="expression" dxfId="244" priority="244">
      <formula>E188&gt;0</formula>
    </cfRule>
  </conditionalFormatting>
  <conditionalFormatting sqref="C189">
    <cfRule type="expression" dxfId="243" priority="243">
      <formula>E189&gt;0</formula>
    </cfRule>
  </conditionalFormatting>
  <conditionalFormatting sqref="C98">
    <cfRule type="expression" dxfId="242" priority="242">
      <formula>E98&gt;0</formula>
    </cfRule>
  </conditionalFormatting>
  <conditionalFormatting sqref="C99:C187">
    <cfRule type="expression" dxfId="241" priority="241">
      <formula>E99&gt;0</formula>
    </cfRule>
  </conditionalFormatting>
  <conditionalFormatting sqref="C100">
    <cfRule type="expression" dxfId="240" priority="240">
      <formula>E100&gt;0</formula>
    </cfRule>
  </conditionalFormatting>
  <conditionalFormatting sqref="C101">
    <cfRule type="expression" dxfId="239" priority="239">
      <formula>E101&gt;0</formula>
    </cfRule>
  </conditionalFormatting>
  <conditionalFormatting sqref="C102">
    <cfRule type="expression" dxfId="238" priority="238">
      <formula>E102&gt;0</formula>
    </cfRule>
  </conditionalFormatting>
  <conditionalFormatting sqref="C103">
    <cfRule type="expression" dxfId="237" priority="237">
      <formula>E103&gt;0</formula>
    </cfRule>
  </conditionalFormatting>
  <conditionalFormatting sqref="C104">
    <cfRule type="expression" dxfId="236" priority="236">
      <formula>E104&gt;0</formula>
    </cfRule>
  </conditionalFormatting>
  <conditionalFormatting sqref="C105">
    <cfRule type="expression" dxfId="235" priority="235">
      <formula>E105&gt;0</formula>
    </cfRule>
  </conditionalFormatting>
  <conditionalFormatting sqref="C106">
    <cfRule type="expression" dxfId="234" priority="234">
      <formula>E106&gt;0</formula>
    </cfRule>
  </conditionalFormatting>
  <conditionalFormatting sqref="C107">
    <cfRule type="expression" dxfId="233" priority="233">
      <formula>E107&gt;0</formula>
    </cfRule>
  </conditionalFormatting>
  <conditionalFormatting sqref="C108">
    <cfRule type="expression" dxfId="232" priority="232">
      <formula>E108&gt;0</formula>
    </cfRule>
  </conditionalFormatting>
  <conditionalFormatting sqref="C109">
    <cfRule type="expression" dxfId="231" priority="231">
      <formula>E109&gt;0</formula>
    </cfRule>
  </conditionalFormatting>
  <conditionalFormatting sqref="C101">
    <cfRule type="expression" dxfId="230" priority="230">
      <formula>E101&gt;0</formula>
    </cfRule>
  </conditionalFormatting>
  <conditionalFormatting sqref="C102">
    <cfRule type="expression" dxfId="229" priority="229">
      <formula>E102&gt;0</formula>
    </cfRule>
  </conditionalFormatting>
  <conditionalFormatting sqref="C103">
    <cfRule type="expression" dxfId="228" priority="228">
      <formula>E103&gt;0</formula>
    </cfRule>
  </conditionalFormatting>
  <conditionalFormatting sqref="C104">
    <cfRule type="expression" dxfId="227" priority="227">
      <formula>E104&gt;0</formula>
    </cfRule>
  </conditionalFormatting>
  <conditionalFormatting sqref="C105">
    <cfRule type="expression" dxfId="226" priority="226">
      <formula>E105&gt;0</formula>
    </cfRule>
  </conditionalFormatting>
  <conditionalFormatting sqref="C106">
    <cfRule type="expression" dxfId="225" priority="225">
      <formula>E106&gt;0</formula>
    </cfRule>
  </conditionalFormatting>
  <conditionalFormatting sqref="C107">
    <cfRule type="expression" dxfId="224" priority="224">
      <formula>E107&gt;0</formula>
    </cfRule>
  </conditionalFormatting>
  <conditionalFormatting sqref="C108">
    <cfRule type="expression" dxfId="223" priority="223">
      <formula>E108&gt;0</formula>
    </cfRule>
  </conditionalFormatting>
  <conditionalFormatting sqref="C109">
    <cfRule type="expression" dxfId="222" priority="222">
      <formula>E109&gt;0</formula>
    </cfRule>
  </conditionalFormatting>
  <conditionalFormatting sqref="C110">
    <cfRule type="expression" dxfId="221" priority="221">
      <formula>E110&gt;0</formula>
    </cfRule>
  </conditionalFormatting>
  <conditionalFormatting sqref="C100">
    <cfRule type="expression" dxfId="220" priority="220">
      <formula>E100&gt;0</formula>
    </cfRule>
  </conditionalFormatting>
  <conditionalFormatting sqref="C111">
    <cfRule type="expression" dxfId="219" priority="219">
      <formula>E111&gt;0</formula>
    </cfRule>
  </conditionalFormatting>
  <conditionalFormatting sqref="C111">
    <cfRule type="expression" dxfId="218" priority="218">
      <formula>E111&gt;0</formula>
    </cfRule>
  </conditionalFormatting>
  <conditionalFormatting sqref="C112">
    <cfRule type="expression" dxfId="217" priority="217">
      <formula>E112&gt;0</formula>
    </cfRule>
  </conditionalFormatting>
  <conditionalFormatting sqref="C113">
    <cfRule type="expression" dxfId="216" priority="216">
      <formula>E113&gt;0</formula>
    </cfRule>
  </conditionalFormatting>
  <conditionalFormatting sqref="C114">
    <cfRule type="expression" dxfId="215" priority="215">
      <formula>E114&gt;0</formula>
    </cfRule>
  </conditionalFormatting>
  <conditionalFormatting sqref="C115">
    <cfRule type="expression" dxfId="214" priority="214">
      <formula>E115&gt;0</formula>
    </cfRule>
  </conditionalFormatting>
  <conditionalFormatting sqref="C116">
    <cfRule type="expression" dxfId="213" priority="213">
      <formula>E116&gt;0</formula>
    </cfRule>
  </conditionalFormatting>
  <conditionalFormatting sqref="C117">
    <cfRule type="expression" dxfId="212" priority="212">
      <formula>E117&gt;0</formula>
    </cfRule>
  </conditionalFormatting>
  <conditionalFormatting sqref="C118">
    <cfRule type="expression" dxfId="211" priority="211">
      <formula>E118&gt;0</formula>
    </cfRule>
  </conditionalFormatting>
  <conditionalFormatting sqref="C119">
    <cfRule type="expression" dxfId="210" priority="210">
      <formula>E119&gt;0</formula>
    </cfRule>
  </conditionalFormatting>
  <conditionalFormatting sqref="C120">
    <cfRule type="expression" dxfId="209" priority="209">
      <formula>E120&gt;0</formula>
    </cfRule>
  </conditionalFormatting>
  <conditionalFormatting sqref="C121">
    <cfRule type="expression" dxfId="208" priority="208">
      <formula>E121&gt;0</formula>
    </cfRule>
  </conditionalFormatting>
  <conditionalFormatting sqref="C122">
    <cfRule type="expression" dxfId="207" priority="207">
      <formula>E122&gt;0</formula>
    </cfRule>
  </conditionalFormatting>
  <conditionalFormatting sqref="C123">
    <cfRule type="expression" dxfId="206" priority="206">
      <formula>E123&gt;0</formula>
    </cfRule>
  </conditionalFormatting>
  <conditionalFormatting sqref="C124">
    <cfRule type="expression" dxfId="205" priority="205">
      <formula>E124&gt;0</formula>
    </cfRule>
  </conditionalFormatting>
  <conditionalFormatting sqref="C116">
    <cfRule type="expression" dxfId="204" priority="204">
      <formula>E116&gt;0</formula>
    </cfRule>
  </conditionalFormatting>
  <conditionalFormatting sqref="C117">
    <cfRule type="expression" dxfId="203" priority="203">
      <formula>E117&gt;0</formula>
    </cfRule>
  </conditionalFormatting>
  <conditionalFormatting sqref="C118">
    <cfRule type="expression" dxfId="202" priority="202">
      <formula>E118&gt;0</formula>
    </cfRule>
  </conditionalFormatting>
  <conditionalFormatting sqref="C119">
    <cfRule type="expression" dxfId="201" priority="201">
      <formula>E119&gt;0</formula>
    </cfRule>
  </conditionalFormatting>
  <conditionalFormatting sqref="C120">
    <cfRule type="expression" dxfId="200" priority="200">
      <formula>E120&gt;0</formula>
    </cfRule>
  </conditionalFormatting>
  <conditionalFormatting sqref="C121">
    <cfRule type="expression" dxfId="199" priority="199">
      <formula>E121&gt;0</formula>
    </cfRule>
  </conditionalFormatting>
  <conditionalFormatting sqref="C122">
    <cfRule type="expression" dxfId="198" priority="198">
      <formula>E122&gt;0</formula>
    </cfRule>
  </conditionalFormatting>
  <conditionalFormatting sqref="C123">
    <cfRule type="expression" dxfId="197" priority="197">
      <formula>E123&gt;0</formula>
    </cfRule>
  </conditionalFormatting>
  <conditionalFormatting sqref="C124">
    <cfRule type="expression" dxfId="196" priority="196">
      <formula>E124&gt;0</formula>
    </cfRule>
  </conditionalFormatting>
  <conditionalFormatting sqref="C125">
    <cfRule type="expression" dxfId="195" priority="195">
      <formula>E125&gt;0</formula>
    </cfRule>
  </conditionalFormatting>
  <conditionalFormatting sqref="C126">
    <cfRule type="expression" dxfId="194" priority="194">
      <formula>E126&gt;0</formula>
    </cfRule>
  </conditionalFormatting>
  <conditionalFormatting sqref="C127">
    <cfRule type="expression" dxfId="193" priority="193">
      <formula>E127&gt;0</formula>
    </cfRule>
  </conditionalFormatting>
  <conditionalFormatting sqref="C128">
    <cfRule type="expression" dxfId="192" priority="192">
      <formula>E128&gt;0</formula>
    </cfRule>
  </conditionalFormatting>
  <conditionalFormatting sqref="C129">
    <cfRule type="expression" dxfId="191" priority="191">
      <formula>E129&gt;0</formula>
    </cfRule>
  </conditionalFormatting>
  <conditionalFormatting sqref="C129">
    <cfRule type="expression" dxfId="190" priority="190">
      <formula>E129&gt;0</formula>
    </cfRule>
  </conditionalFormatting>
  <conditionalFormatting sqref="C130">
    <cfRule type="expression" dxfId="189" priority="189">
      <formula>E130&gt;0</formula>
    </cfRule>
  </conditionalFormatting>
  <conditionalFormatting sqref="C131">
    <cfRule type="expression" dxfId="188" priority="188">
      <formula>E131&gt;0</formula>
    </cfRule>
  </conditionalFormatting>
  <conditionalFormatting sqref="C132">
    <cfRule type="expression" dxfId="187" priority="187">
      <formula>E132&gt;0</formula>
    </cfRule>
  </conditionalFormatting>
  <conditionalFormatting sqref="C133">
    <cfRule type="expression" dxfId="186" priority="186">
      <formula>E133&gt;0</formula>
    </cfRule>
  </conditionalFormatting>
  <conditionalFormatting sqref="C126">
    <cfRule type="expression" dxfId="185" priority="185">
      <formula>E126&gt;0</formula>
    </cfRule>
  </conditionalFormatting>
  <conditionalFormatting sqref="C126">
    <cfRule type="expression" dxfId="184" priority="184">
      <formula>E126&gt;0</formula>
    </cfRule>
  </conditionalFormatting>
  <conditionalFormatting sqref="C129">
    <cfRule type="expression" dxfId="183" priority="183">
      <formula>E129&gt;0</formula>
    </cfRule>
  </conditionalFormatting>
  <conditionalFormatting sqref="C130">
    <cfRule type="expression" dxfId="182" priority="182">
      <formula>E130&gt;0</formula>
    </cfRule>
  </conditionalFormatting>
  <conditionalFormatting sqref="C131">
    <cfRule type="expression" dxfId="181" priority="181">
      <formula>E131&gt;0</formula>
    </cfRule>
  </conditionalFormatting>
  <conditionalFormatting sqref="C132">
    <cfRule type="expression" dxfId="180" priority="180">
      <formula>E132&gt;0</formula>
    </cfRule>
  </conditionalFormatting>
  <conditionalFormatting sqref="C133">
    <cfRule type="expression" dxfId="179" priority="179">
      <formula>E133&gt;0</formula>
    </cfRule>
  </conditionalFormatting>
  <conditionalFormatting sqref="C133">
    <cfRule type="expression" dxfId="178" priority="178">
      <formula>E133&gt;0</formula>
    </cfRule>
  </conditionalFormatting>
  <conditionalFormatting sqref="C132">
    <cfRule type="expression" dxfId="177" priority="177">
      <formula>E132&gt;0</formula>
    </cfRule>
  </conditionalFormatting>
  <conditionalFormatting sqref="C133:C142">
    <cfRule type="expression" dxfId="176" priority="176">
      <formula>E133&gt;0</formula>
    </cfRule>
  </conditionalFormatting>
  <conditionalFormatting sqref="C133">
    <cfRule type="expression" dxfId="175" priority="175">
      <formula>E133&gt;0</formula>
    </cfRule>
  </conditionalFormatting>
  <conditionalFormatting sqref="C133">
    <cfRule type="expression" dxfId="174" priority="174">
      <formula>E133&gt;0</formula>
    </cfRule>
  </conditionalFormatting>
  <conditionalFormatting sqref="C133">
    <cfRule type="expression" dxfId="173" priority="173">
      <formula>E133&gt;0</formula>
    </cfRule>
  </conditionalFormatting>
  <conditionalFormatting sqref="C133">
    <cfRule type="expression" dxfId="172" priority="172">
      <formula>E133&gt;0</formula>
    </cfRule>
  </conditionalFormatting>
  <conditionalFormatting sqref="C134">
    <cfRule type="expression" dxfId="171" priority="171">
      <formula>E134&gt;0</formula>
    </cfRule>
  </conditionalFormatting>
  <conditionalFormatting sqref="C135">
    <cfRule type="expression" dxfId="170" priority="170">
      <formula>E135&gt;0</formula>
    </cfRule>
  </conditionalFormatting>
  <conditionalFormatting sqref="C136">
    <cfRule type="expression" dxfId="169" priority="169">
      <formula>E136&gt;0</formula>
    </cfRule>
  </conditionalFormatting>
  <conditionalFormatting sqref="C137">
    <cfRule type="expression" dxfId="168" priority="168">
      <formula>E137&gt;0</formula>
    </cfRule>
  </conditionalFormatting>
  <conditionalFormatting sqref="C138">
    <cfRule type="expression" dxfId="167" priority="167">
      <formula>E138&gt;0</formula>
    </cfRule>
  </conditionalFormatting>
  <conditionalFormatting sqref="C139">
    <cfRule type="expression" dxfId="166" priority="166">
      <formula>E139&gt;0</formula>
    </cfRule>
  </conditionalFormatting>
  <conditionalFormatting sqref="C140">
    <cfRule type="expression" dxfId="165" priority="165">
      <formula>E140&gt;0</formula>
    </cfRule>
  </conditionalFormatting>
  <conditionalFormatting sqref="C141">
    <cfRule type="expression" dxfId="164" priority="164">
      <formula>E141&gt;0</formula>
    </cfRule>
  </conditionalFormatting>
  <conditionalFormatting sqref="C133">
    <cfRule type="expression" dxfId="163" priority="163">
      <formula>E133&gt;0</formula>
    </cfRule>
  </conditionalFormatting>
  <conditionalFormatting sqref="C134">
    <cfRule type="expression" dxfId="162" priority="162">
      <formula>E134&gt;0</formula>
    </cfRule>
  </conditionalFormatting>
  <conditionalFormatting sqref="C135">
    <cfRule type="expression" dxfId="161" priority="161">
      <formula>E135&gt;0</formula>
    </cfRule>
  </conditionalFormatting>
  <conditionalFormatting sqref="C136">
    <cfRule type="expression" dxfId="160" priority="160">
      <formula>E136&gt;0</formula>
    </cfRule>
  </conditionalFormatting>
  <conditionalFormatting sqref="C137">
    <cfRule type="expression" dxfId="159" priority="159">
      <formula>E137&gt;0</formula>
    </cfRule>
  </conditionalFormatting>
  <conditionalFormatting sqref="C138">
    <cfRule type="expression" dxfId="158" priority="158">
      <formula>E138&gt;0</formula>
    </cfRule>
  </conditionalFormatting>
  <conditionalFormatting sqref="C139">
    <cfRule type="expression" dxfId="157" priority="157">
      <formula>E139&gt;0</formula>
    </cfRule>
  </conditionalFormatting>
  <conditionalFormatting sqref="C140">
    <cfRule type="expression" dxfId="156" priority="156">
      <formula>E140&gt;0</formula>
    </cfRule>
  </conditionalFormatting>
  <conditionalFormatting sqref="C141">
    <cfRule type="expression" dxfId="155" priority="155">
      <formula>E141&gt;0</formula>
    </cfRule>
  </conditionalFormatting>
  <conditionalFormatting sqref="C142">
    <cfRule type="expression" dxfId="154" priority="154">
      <formula>E142&gt;0</formula>
    </cfRule>
  </conditionalFormatting>
  <conditionalFormatting sqref="C143:C186">
    <cfRule type="expression" dxfId="153" priority="153">
      <formula>E143&gt;0</formula>
    </cfRule>
  </conditionalFormatting>
  <conditionalFormatting sqref="C143:C186">
    <cfRule type="expression" dxfId="152" priority="152">
      <formula>E143&gt;0</formula>
    </cfRule>
  </conditionalFormatting>
  <conditionalFormatting sqref="C143:C186">
    <cfRule type="expression" dxfId="151" priority="151">
      <formula>E143&gt;0</formula>
    </cfRule>
  </conditionalFormatting>
  <conditionalFormatting sqref="C144">
    <cfRule type="expression" dxfId="150" priority="150">
      <formula>E144&gt;0</formula>
    </cfRule>
  </conditionalFormatting>
  <conditionalFormatting sqref="C145">
    <cfRule type="expression" dxfId="149" priority="149">
      <formula>E145&gt;0</formula>
    </cfRule>
  </conditionalFormatting>
  <conditionalFormatting sqref="C145">
    <cfRule type="expression" dxfId="148" priority="148">
      <formula>E145&gt;0</formula>
    </cfRule>
  </conditionalFormatting>
  <conditionalFormatting sqref="C146">
    <cfRule type="expression" dxfId="147" priority="147">
      <formula>E146&gt;0</formula>
    </cfRule>
  </conditionalFormatting>
  <conditionalFormatting sqref="C147">
    <cfRule type="expression" dxfId="146" priority="146">
      <formula>E147&gt;0</formula>
    </cfRule>
  </conditionalFormatting>
  <conditionalFormatting sqref="C145">
    <cfRule type="expression" dxfId="145" priority="145">
      <formula>E145&gt;0</formula>
    </cfRule>
  </conditionalFormatting>
  <conditionalFormatting sqref="C146">
    <cfRule type="expression" dxfId="144" priority="144">
      <formula>E146&gt;0</formula>
    </cfRule>
  </conditionalFormatting>
  <conditionalFormatting sqref="C147">
    <cfRule type="expression" dxfId="143" priority="143">
      <formula>E147&gt;0</formula>
    </cfRule>
  </conditionalFormatting>
  <conditionalFormatting sqref="C148">
    <cfRule type="expression" dxfId="142" priority="142">
      <formula>E148&gt;0</formula>
    </cfRule>
  </conditionalFormatting>
  <conditionalFormatting sqref="C149">
    <cfRule type="expression" dxfId="141" priority="141">
      <formula>E149&gt;0</formula>
    </cfRule>
  </conditionalFormatting>
  <conditionalFormatting sqref="C149">
    <cfRule type="expression" dxfId="140" priority="140">
      <formula>E149&gt;0</formula>
    </cfRule>
  </conditionalFormatting>
  <conditionalFormatting sqref="C149">
    <cfRule type="expression" dxfId="139" priority="139">
      <formula>E149&gt;0</formula>
    </cfRule>
  </conditionalFormatting>
  <conditionalFormatting sqref="C149:C158">
    <cfRule type="expression" dxfId="138" priority="138">
      <formula>E149&gt;0</formula>
    </cfRule>
  </conditionalFormatting>
  <conditionalFormatting sqref="C149">
    <cfRule type="expression" dxfId="137" priority="137">
      <formula>E149&gt;0</formula>
    </cfRule>
  </conditionalFormatting>
  <conditionalFormatting sqref="C149">
    <cfRule type="expression" dxfId="136" priority="136">
      <formula>E149&gt;0</formula>
    </cfRule>
  </conditionalFormatting>
  <conditionalFormatting sqref="C149">
    <cfRule type="expression" dxfId="135" priority="135">
      <formula>E149&gt;0</formula>
    </cfRule>
  </conditionalFormatting>
  <conditionalFormatting sqref="C149">
    <cfRule type="expression" dxfId="134" priority="134">
      <formula>E149&gt;0</formula>
    </cfRule>
  </conditionalFormatting>
  <conditionalFormatting sqref="C150">
    <cfRule type="expression" dxfId="133" priority="133">
      <formula>E150&gt;0</formula>
    </cfRule>
  </conditionalFormatting>
  <conditionalFormatting sqref="C151">
    <cfRule type="expression" dxfId="132" priority="132">
      <formula>E151&gt;0</formula>
    </cfRule>
  </conditionalFormatting>
  <conditionalFormatting sqref="C152">
    <cfRule type="expression" dxfId="131" priority="131">
      <formula>E152&gt;0</formula>
    </cfRule>
  </conditionalFormatting>
  <conditionalFormatting sqref="C153">
    <cfRule type="expression" dxfId="130" priority="130">
      <formula>E153&gt;0</formula>
    </cfRule>
  </conditionalFormatting>
  <conditionalFormatting sqref="C154">
    <cfRule type="expression" dxfId="129" priority="129">
      <formula>E154&gt;0</formula>
    </cfRule>
  </conditionalFormatting>
  <conditionalFormatting sqref="C155">
    <cfRule type="expression" dxfId="128" priority="128">
      <formula>E155&gt;0</formula>
    </cfRule>
  </conditionalFormatting>
  <conditionalFormatting sqref="C156">
    <cfRule type="expression" dxfId="127" priority="127">
      <formula>E156&gt;0</formula>
    </cfRule>
  </conditionalFormatting>
  <conditionalFormatting sqref="C157">
    <cfRule type="expression" dxfId="126" priority="126">
      <formula>E157&gt;0</formula>
    </cfRule>
  </conditionalFormatting>
  <conditionalFormatting sqref="C149">
    <cfRule type="expression" dxfId="125" priority="125">
      <formula>E149&gt;0</formula>
    </cfRule>
  </conditionalFormatting>
  <conditionalFormatting sqref="C150">
    <cfRule type="expression" dxfId="124" priority="124">
      <formula>E150&gt;0</formula>
    </cfRule>
  </conditionalFormatting>
  <conditionalFormatting sqref="C151">
    <cfRule type="expression" dxfId="123" priority="123">
      <formula>E151&gt;0</formula>
    </cfRule>
  </conditionalFormatting>
  <conditionalFormatting sqref="C152">
    <cfRule type="expression" dxfId="122" priority="122">
      <formula>E152&gt;0</formula>
    </cfRule>
  </conditionalFormatting>
  <conditionalFormatting sqref="C153">
    <cfRule type="expression" dxfId="121" priority="121">
      <formula>E153&gt;0</formula>
    </cfRule>
  </conditionalFormatting>
  <conditionalFormatting sqref="C154">
    <cfRule type="expression" dxfId="120" priority="120">
      <formula>E154&gt;0</formula>
    </cfRule>
  </conditionalFormatting>
  <conditionalFormatting sqref="C155">
    <cfRule type="expression" dxfId="119" priority="119">
      <formula>E155&gt;0</formula>
    </cfRule>
  </conditionalFormatting>
  <conditionalFormatting sqref="C156">
    <cfRule type="expression" dxfId="118" priority="118">
      <formula>E156&gt;0</formula>
    </cfRule>
  </conditionalFormatting>
  <conditionalFormatting sqref="C157">
    <cfRule type="expression" dxfId="117" priority="117">
      <formula>E157&gt;0</formula>
    </cfRule>
  </conditionalFormatting>
  <conditionalFormatting sqref="C158">
    <cfRule type="expression" dxfId="116" priority="116">
      <formula>E158&gt;0</formula>
    </cfRule>
  </conditionalFormatting>
  <conditionalFormatting sqref="C160">
    <cfRule type="expression" dxfId="115" priority="115">
      <formula>E160&gt;0</formula>
    </cfRule>
  </conditionalFormatting>
  <conditionalFormatting sqref="C161">
    <cfRule type="expression" dxfId="114" priority="114">
      <formula>E161&gt;0</formula>
    </cfRule>
  </conditionalFormatting>
  <conditionalFormatting sqref="C161">
    <cfRule type="expression" dxfId="113" priority="113">
      <formula>E161&gt;0</formula>
    </cfRule>
  </conditionalFormatting>
  <conditionalFormatting sqref="C162">
    <cfRule type="expression" dxfId="112" priority="112">
      <formula>E162&gt;0</formula>
    </cfRule>
  </conditionalFormatting>
  <conditionalFormatting sqref="C163">
    <cfRule type="expression" dxfId="111" priority="111">
      <formula>E163&gt;0</formula>
    </cfRule>
  </conditionalFormatting>
  <conditionalFormatting sqref="C161">
    <cfRule type="expression" dxfId="110" priority="110">
      <formula>E161&gt;0</formula>
    </cfRule>
  </conditionalFormatting>
  <conditionalFormatting sqref="C162">
    <cfRule type="expression" dxfId="109" priority="109">
      <formula>E162&gt;0</formula>
    </cfRule>
  </conditionalFormatting>
  <conditionalFormatting sqref="C163">
    <cfRule type="expression" dxfId="108" priority="108">
      <formula>E163&gt;0</formula>
    </cfRule>
  </conditionalFormatting>
  <conditionalFormatting sqref="C165">
    <cfRule type="expression" dxfId="107" priority="107">
      <formula>E165&gt;0</formula>
    </cfRule>
  </conditionalFormatting>
  <conditionalFormatting sqref="C165">
    <cfRule type="expression" dxfId="106" priority="106">
      <formula>E165&gt;0</formula>
    </cfRule>
  </conditionalFormatting>
  <conditionalFormatting sqref="C165">
    <cfRule type="expression" dxfId="105" priority="105">
      <formula>E165&gt;0</formula>
    </cfRule>
  </conditionalFormatting>
  <conditionalFormatting sqref="C166">
    <cfRule type="expression" dxfId="104" priority="104">
      <formula>E166&gt;0</formula>
    </cfRule>
  </conditionalFormatting>
  <conditionalFormatting sqref="C166">
    <cfRule type="expression" dxfId="103" priority="103">
      <formula>E166&gt;0</formula>
    </cfRule>
  </conditionalFormatting>
  <conditionalFormatting sqref="C166">
    <cfRule type="expression" dxfId="102" priority="102">
      <formula>E166&gt;0</formula>
    </cfRule>
  </conditionalFormatting>
  <conditionalFormatting sqref="C166:C175">
    <cfRule type="expression" dxfId="101" priority="101">
      <formula>E166&gt;0</formula>
    </cfRule>
  </conditionalFormatting>
  <conditionalFormatting sqref="C166">
    <cfRule type="expression" dxfId="100" priority="100">
      <formula>E166&gt;0</formula>
    </cfRule>
  </conditionalFormatting>
  <conditionalFormatting sqref="C166">
    <cfRule type="expression" dxfId="99" priority="99">
      <formula>E166&gt;0</formula>
    </cfRule>
  </conditionalFormatting>
  <conditionalFormatting sqref="C166">
    <cfRule type="expression" dxfId="98" priority="98">
      <formula>E166&gt;0</formula>
    </cfRule>
  </conditionalFormatting>
  <conditionalFormatting sqref="C166">
    <cfRule type="expression" dxfId="97" priority="97">
      <formula>E166&gt;0</formula>
    </cfRule>
  </conditionalFormatting>
  <conditionalFormatting sqref="C167">
    <cfRule type="expression" dxfId="96" priority="96">
      <formula>E167&gt;0</formula>
    </cfRule>
  </conditionalFormatting>
  <conditionalFormatting sqref="C168">
    <cfRule type="expression" dxfId="95" priority="95">
      <formula>E168&gt;0</formula>
    </cfRule>
  </conditionalFormatting>
  <conditionalFormatting sqref="C169">
    <cfRule type="expression" dxfId="94" priority="94">
      <formula>E169&gt;0</formula>
    </cfRule>
  </conditionalFormatting>
  <conditionalFormatting sqref="C170">
    <cfRule type="expression" dxfId="93" priority="93">
      <formula>E170&gt;0</formula>
    </cfRule>
  </conditionalFormatting>
  <conditionalFormatting sqref="C171">
    <cfRule type="expression" dxfId="92" priority="92">
      <formula>E171&gt;0</formula>
    </cfRule>
  </conditionalFormatting>
  <conditionalFormatting sqref="C172">
    <cfRule type="expression" dxfId="91" priority="91">
      <formula>E172&gt;0</formula>
    </cfRule>
  </conditionalFormatting>
  <conditionalFormatting sqref="C173">
    <cfRule type="expression" dxfId="90" priority="90">
      <formula>E173&gt;0</formula>
    </cfRule>
  </conditionalFormatting>
  <conditionalFormatting sqref="C174">
    <cfRule type="expression" dxfId="89" priority="89">
      <formula>E174&gt;0</formula>
    </cfRule>
  </conditionalFormatting>
  <conditionalFormatting sqref="C166">
    <cfRule type="expression" dxfId="88" priority="88">
      <formula>E166&gt;0</formula>
    </cfRule>
  </conditionalFormatting>
  <conditionalFormatting sqref="C167">
    <cfRule type="expression" dxfId="87" priority="87">
      <formula>E167&gt;0</formula>
    </cfRule>
  </conditionalFormatting>
  <conditionalFormatting sqref="C168">
    <cfRule type="expression" dxfId="86" priority="86">
      <formula>E168&gt;0</formula>
    </cfRule>
  </conditionalFormatting>
  <conditionalFormatting sqref="C169">
    <cfRule type="expression" dxfId="85" priority="85">
      <formula>E169&gt;0</formula>
    </cfRule>
  </conditionalFormatting>
  <conditionalFormatting sqref="C170">
    <cfRule type="expression" dxfId="84" priority="84">
      <formula>E170&gt;0</formula>
    </cfRule>
  </conditionalFormatting>
  <conditionalFormatting sqref="C171">
    <cfRule type="expression" dxfId="83" priority="83">
      <formula>E171&gt;0</formula>
    </cfRule>
  </conditionalFormatting>
  <conditionalFormatting sqref="C172">
    <cfRule type="expression" dxfId="82" priority="82">
      <formula>E172&gt;0</formula>
    </cfRule>
  </conditionalFormatting>
  <conditionalFormatting sqref="C173">
    <cfRule type="expression" dxfId="81" priority="81">
      <formula>E173&gt;0</formula>
    </cfRule>
  </conditionalFormatting>
  <conditionalFormatting sqref="C174">
    <cfRule type="expression" dxfId="80" priority="80">
      <formula>E174&gt;0</formula>
    </cfRule>
  </conditionalFormatting>
  <conditionalFormatting sqref="C175">
    <cfRule type="expression" dxfId="79" priority="79">
      <formula>E175&gt;0</formula>
    </cfRule>
  </conditionalFormatting>
  <conditionalFormatting sqref="C177">
    <cfRule type="expression" dxfId="78" priority="78">
      <formula>E177&gt;0</formula>
    </cfRule>
  </conditionalFormatting>
  <conditionalFormatting sqref="C178">
    <cfRule type="expression" dxfId="77" priority="77">
      <formula>E178&gt;0</formula>
    </cfRule>
  </conditionalFormatting>
  <conditionalFormatting sqref="C178">
    <cfRule type="expression" dxfId="76" priority="76">
      <formula>E178&gt;0</formula>
    </cfRule>
  </conditionalFormatting>
  <conditionalFormatting sqref="C179">
    <cfRule type="expression" dxfId="75" priority="75">
      <formula>E179&gt;0</formula>
    </cfRule>
  </conditionalFormatting>
  <conditionalFormatting sqref="C180">
    <cfRule type="expression" dxfId="74" priority="74">
      <formula>E180&gt;0</formula>
    </cfRule>
  </conditionalFormatting>
  <conditionalFormatting sqref="C178">
    <cfRule type="expression" dxfId="73" priority="73">
      <formula>E178&gt;0</formula>
    </cfRule>
  </conditionalFormatting>
  <conditionalFormatting sqref="C179">
    <cfRule type="expression" dxfId="72" priority="72">
      <formula>E179&gt;0</formula>
    </cfRule>
  </conditionalFormatting>
  <conditionalFormatting sqref="C180">
    <cfRule type="expression" dxfId="71" priority="71">
      <formula>E180&gt;0</formula>
    </cfRule>
  </conditionalFormatting>
  <conditionalFormatting sqref="C181">
    <cfRule type="expression" dxfId="70" priority="70">
      <formula>E181&gt;0</formula>
    </cfRule>
  </conditionalFormatting>
  <conditionalFormatting sqref="C5:C9">
    <cfRule type="expression" dxfId="69" priority="69">
      <formula>E5&gt;0</formula>
    </cfRule>
  </conditionalFormatting>
  <conditionalFormatting sqref="C5:C9">
    <cfRule type="expression" dxfId="68" priority="68">
      <formula>E5&gt;0</formula>
    </cfRule>
  </conditionalFormatting>
  <conditionalFormatting sqref="C5:C9">
    <cfRule type="expression" dxfId="67" priority="67">
      <formula>E5&gt;0</formula>
    </cfRule>
  </conditionalFormatting>
  <conditionalFormatting sqref="C5:C9">
    <cfRule type="expression" dxfId="66" priority="66">
      <formula>E5&gt;0</formula>
    </cfRule>
  </conditionalFormatting>
  <conditionalFormatting sqref="C6">
    <cfRule type="expression" dxfId="65" priority="65">
      <formula>E6&gt;0</formula>
    </cfRule>
  </conditionalFormatting>
  <conditionalFormatting sqref="C7">
    <cfRule type="expression" dxfId="64" priority="64">
      <formula>E7&gt;0</formula>
    </cfRule>
  </conditionalFormatting>
  <conditionalFormatting sqref="C7">
    <cfRule type="expression" dxfId="63" priority="63">
      <formula>E7&gt;0</formula>
    </cfRule>
  </conditionalFormatting>
  <conditionalFormatting sqref="C8">
    <cfRule type="expression" dxfId="62" priority="62">
      <formula>E8&gt;0</formula>
    </cfRule>
  </conditionalFormatting>
  <conditionalFormatting sqref="C9">
    <cfRule type="expression" dxfId="61" priority="61">
      <formula>E9&gt;0</formula>
    </cfRule>
  </conditionalFormatting>
  <conditionalFormatting sqref="C7">
    <cfRule type="expression" dxfId="60" priority="60">
      <formula>E7&gt;0</formula>
    </cfRule>
  </conditionalFormatting>
  <conditionalFormatting sqref="C8">
    <cfRule type="expression" dxfId="59" priority="59">
      <formula>E8&gt;0</formula>
    </cfRule>
  </conditionalFormatting>
  <conditionalFormatting sqref="C9">
    <cfRule type="expression" dxfId="58" priority="58">
      <formula>E9&gt;0</formula>
    </cfRule>
  </conditionalFormatting>
  <conditionalFormatting sqref="C10">
    <cfRule type="expression" dxfId="57" priority="57">
      <formula>E10&gt;0</formula>
    </cfRule>
  </conditionalFormatting>
  <conditionalFormatting sqref="C10">
    <cfRule type="expression" dxfId="56" priority="56">
      <formula>E10&gt;0</formula>
    </cfRule>
  </conditionalFormatting>
  <conditionalFormatting sqref="C10">
    <cfRule type="expression" dxfId="55" priority="55">
      <formula>E10&gt;0</formula>
    </cfRule>
  </conditionalFormatting>
  <conditionalFormatting sqref="C10">
    <cfRule type="expression" dxfId="54" priority="54">
      <formula>E10&gt;0</formula>
    </cfRule>
  </conditionalFormatting>
  <conditionalFormatting sqref="C10">
    <cfRule type="expression" dxfId="53" priority="53">
      <formula>E10&gt;0</formula>
    </cfRule>
  </conditionalFormatting>
  <conditionalFormatting sqref="C10">
    <cfRule type="expression" dxfId="52" priority="52">
      <formula>E10&gt;0</formula>
    </cfRule>
  </conditionalFormatting>
  <conditionalFormatting sqref="C10">
    <cfRule type="expression" dxfId="51" priority="51">
      <formula>E10&gt;0</formula>
    </cfRule>
  </conditionalFormatting>
  <conditionalFormatting sqref="C8">
    <cfRule type="expression" dxfId="50" priority="50">
      <formula>E8&gt;0</formula>
    </cfRule>
  </conditionalFormatting>
  <conditionalFormatting sqref="C8">
    <cfRule type="expression" dxfId="49" priority="49">
      <formula>E8&gt;0</formula>
    </cfRule>
  </conditionalFormatting>
  <conditionalFormatting sqref="C8">
    <cfRule type="expression" dxfId="48" priority="48">
      <formula>E8&gt;0</formula>
    </cfRule>
  </conditionalFormatting>
  <conditionalFormatting sqref="C8">
    <cfRule type="expression" dxfId="47" priority="47">
      <formula>E8&gt;0</formula>
    </cfRule>
  </conditionalFormatting>
  <conditionalFormatting sqref="C14">
    <cfRule type="expression" dxfId="46" priority="46">
      <formula>E14&gt;0</formula>
    </cfRule>
  </conditionalFormatting>
  <conditionalFormatting sqref="C14">
    <cfRule type="expression" dxfId="45" priority="45">
      <formula>E14&gt;0</formula>
    </cfRule>
  </conditionalFormatting>
  <conditionalFormatting sqref="C14">
    <cfRule type="expression" dxfId="44" priority="44">
      <formula>E14&gt;0</formula>
    </cfRule>
  </conditionalFormatting>
  <conditionalFormatting sqref="C14">
    <cfRule type="expression" dxfId="43" priority="43">
      <formula>E14&gt;0</formula>
    </cfRule>
  </conditionalFormatting>
  <conditionalFormatting sqref="C14">
    <cfRule type="expression" dxfId="42" priority="42">
      <formula>E14&gt;0</formula>
    </cfRule>
  </conditionalFormatting>
  <conditionalFormatting sqref="C14">
    <cfRule type="expression" dxfId="41" priority="41">
      <formula>E14&gt;0</formula>
    </cfRule>
  </conditionalFormatting>
  <conditionalFormatting sqref="G5:G16">
    <cfRule type="containsText" dxfId="40" priority="39" operator="containsText" text="ΟΧΙ">
      <formula>NOT(ISERROR(SEARCH("ΟΧΙ",G5)))</formula>
    </cfRule>
    <cfRule type="containsText" dxfId="39" priority="40" operator="containsText" text="ΝΑΙ">
      <formula>NOT(ISERROR(SEARCH("ΝΑΙ",G5)))</formula>
    </cfRule>
  </conditionalFormatting>
  <conditionalFormatting sqref="C19">
    <cfRule type="expression" dxfId="38" priority="38">
      <formula>E19&gt;0</formula>
    </cfRule>
  </conditionalFormatting>
  <conditionalFormatting sqref="C21">
    <cfRule type="expression" dxfId="37" priority="37">
      <formula>E21&gt;0</formula>
    </cfRule>
  </conditionalFormatting>
  <conditionalFormatting sqref="C21">
    <cfRule type="expression" dxfId="36" priority="36">
      <formula>E21&gt;0</formula>
    </cfRule>
  </conditionalFormatting>
  <conditionalFormatting sqref="C19">
    <cfRule type="expression" dxfId="35" priority="35">
      <formula>E19&gt;0</formula>
    </cfRule>
  </conditionalFormatting>
  <conditionalFormatting sqref="C22">
    <cfRule type="expression" dxfId="34" priority="34">
      <formula>E22&gt;0</formula>
    </cfRule>
  </conditionalFormatting>
  <conditionalFormatting sqref="C22">
    <cfRule type="expression" dxfId="33" priority="33">
      <formula>E22&gt;0</formula>
    </cfRule>
  </conditionalFormatting>
  <conditionalFormatting sqref="C22">
    <cfRule type="expression" dxfId="32" priority="32">
      <formula>E22&gt;0</formula>
    </cfRule>
  </conditionalFormatting>
  <conditionalFormatting sqref="C21">
    <cfRule type="expression" dxfId="31" priority="31">
      <formula>E21&gt;0</formula>
    </cfRule>
  </conditionalFormatting>
  <conditionalFormatting sqref="C23">
    <cfRule type="expression" dxfId="30" priority="30">
      <formula>E23&gt;0</formula>
    </cfRule>
  </conditionalFormatting>
  <conditionalFormatting sqref="C23">
    <cfRule type="expression" dxfId="29" priority="29">
      <formula>E23&gt;0</formula>
    </cfRule>
  </conditionalFormatting>
  <conditionalFormatting sqref="C23">
    <cfRule type="expression" dxfId="28" priority="28">
      <formula>E23&gt;0</formula>
    </cfRule>
  </conditionalFormatting>
  <conditionalFormatting sqref="C23">
    <cfRule type="expression" dxfId="27" priority="27">
      <formula>E23&gt;0</formula>
    </cfRule>
  </conditionalFormatting>
  <conditionalFormatting sqref="C24">
    <cfRule type="expression" dxfId="26" priority="26">
      <formula>E24&gt;0</formula>
    </cfRule>
  </conditionalFormatting>
  <conditionalFormatting sqref="C25">
    <cfRule type="expression" dxfId="25" priority="25">
      <formula>E25&gt;0</formula>
    </cfRule>
  </conditionalFormatting>
  <conditionalFormatting sqref="C26">
    <cfRule type="expression" dxfId="24" priority="24">
      <formula>E26&gt;0</formula>
    </cfRule>
  </conditionalFormatting>
  <conditionalFormatting sqref="C27">
    <cfRule type="expression" dxfId="23" priority="23">
      <formula>E27&gt;0</formula>
    </cfRule>
  </conditionalFormatting>
  <conditionalFormatting sqref="C27">
    <cfRule type="expression" dxfId="22" priority="22">
      <formula>E27&gt;0</formula>
    </cfRule>
  </conditionalFormatting>
  <conditionalFormatting sqref="C27">
    <cfRule type="expression" dxfId="21" priority="21">
      <formula>E27&gt;0</formula>
    </cfRule>
  </conditionalFormatting>
  <conditionalFormatting sqref="C27">
    <cfRule type="expression" dxfId="20" priority="20">
      <formula>E27&gt;0</formula>
    </cfRule>
  </conditionalFormatting>
  <conditionalFormatting sqref="C27">
    <cfRule type="expression" dxfId="19" priority="19">
      <formula>E27&gt;0</formula>
    </cfRule>
  </conditionalFormatting>
  <conditionalFormatting sqref="C27">
    <cfRule type="expression" dxfId="18" priority="18">
      <formula>E27&gt;0</formula>
    </cfRule>
  </conditionalFormatting>
  <conditionalFormatting sqref="C24">
    <cfRule type="expression" dxfId="17" priority="17">
      <formula>E24&gt;0</formula>
    </cfRule>
  </conditionalFormatting>
  <conditionalFormatting sqref="C24">
    <cfRule type="expression" dxfId="16" priority="16">
      <formula>E24&gt;0</formula>
    </cfRule>
  </conditionalFormatting>
  <conditionalFormatting sqref="C30">
    <cfRule type="expression" dxfId="15" priority="15">
      <formula>E30&gt;0</formula>
    </cfRule>
  </conditionalFormatting>
  <conditionalFormatting sqref="C30">
    <cfRule type="expression" dxfId="14" priority="14">
      <formula>E30&gt;0</formula>
    </cfRule>
  </conditionalFormatting>
  <conditionalFormatting sqref="C30">
    <cfRule type="expression" dxfId="13" priority="13">
      <formula>E30&gt;0</formula>
    </cfRule>
  </conditionalFormatting>
  <conditionalFormatting sqref="C30">
    <cfRule type="expression" dxfId="12" priority="12">
      <formula>E30&gt;0</formula>
    </cfRule>
  </conditionalFormatting>
  <conditionalFormatting sqref="C30">
    <cfRule type="expression" dxfId="11" priority="11">
      <formula>E30&gt;0</formula>
    </cfRule>
  </conditionalFormatting>
  <conditionalFormatting sqref="C30">
    <cfRule type="expression" dxfId="10" priority="10">
      <formula>E30&gt;0</formula>
    </cfRule>
  </conditionalFormatting>
  <conditionalFormatting sqref="C30">
    <cfRule type="expression" dxfId="9" priority="9">
      <formula>E30&gt;0</formula>
    </cfRule>
  </conditionalFormatting>
  <conditionalFormatting sqref="C31">
    <cfRule type="expression" dxfId="8" priority="8">
      <formula>E31&gt;0</formula>
    </cfRule>
  </conditionalFormatting>
  <conditionalFormatting sqref="C31">
    <cfRule type="expression" dxfId="7" priority="7">
      <formula>E31&gt;0</formula>
    </cfRule>
  </conditionalFormatting>
  <conditionalFormatting sqref="C31">
    <cfRule type="expression" dxfId="6" priority="6">
      <formula>E31&gt;0</formula>
    </cfRule>
  </conditionalFormatting>
  <conditionalFormatting sqref="C31">
    <cfRule type="expression" dxfId="5" priority="5">
      <formula>E31&gt;0</formula>
    </cfRule>
  </conditionalFormatting>
  <conditionalFormatting sqref="C31">
    <cfRule type="expression" dxfId="4" priority="4">
      <formula>E31&gt;0</formula>
    </cfRule>
  </conditionalFormatting>
  <conditionalFormatting sqref="C31">
    <cfRule type="expression" dxfId="3" priority="3">
      <formula>E31&gt;0</formula>
    </cfRule>
  </conditionalFormatting>
  <conditionalFormatting sqref="C31">
    <cfRule type="expression" dxfId="2" priority="2">
      <formula>E31&gt;0</formula>
    </cfRule>
  </conditionalFormatting>
  <conditionalFormatting sqref="C31">
    <cfRule type="expression" dxfId="1" priority="1">
      <formula>E31&gt;0</formula>
    </cfRule>
  </conditionalFormatting>
  <dataValidations count="1">
    <dataValidation type="list" allowBlank="1" showInputMessage="1" showErrorMessage="1" sqref="G4:G189">
      <formula1>$G$2:$G$3</formula1>
    </dataValidation>
  </dataValidations>
  <hyperlinks>
    <hyperlink ref="L2:N3" location="ΠΛΟΗΓΗΣΗ!A1" display="Επιστροφή   στην   ΠΛΟΗΓΗΣΗ"/>
  </hyperlinks>
  <pageMargins left="0.39370078740157483" right="0.39370078740157483" top="0.39370078740157483" bottom="0.39370078740157483" header="0.31496062992125984" footer="0.31496062992125984"/>
  <pageSetup paperSize="9" orientation="landscape" r:id="rId1"/>
  <customProperties>
    <customPr name="DVSECTIONID" r:id="rId2"/>
  </customProperties>
</worksheet>
</file>

<file path=xl/worksheets/sheet24.xml><?xml version="1.0" encoding="utf-8"?>
<worksheet xmlns="http://schemas.openxmlformats.org/spreadsheetml/2006/main" xmlns:r="http://schemas.openxmlformats.org/officeDocument/2006/relationships">
  <sheetPr codeName="Φύλλο16">
    <tabColor rgb="FF0070C0"/>
  </sheetPr>
  <dimension ref="A1:AB23"/>
  <sheetViews>
    <sheetView zoomScaleNormal="100" workbookViewId="0">
      <selection activeCell="A22" sqref="A22:AA22"/>
    </sheetView>
  </sheetViews>
  <sheetFormatPr defaultRowHeight="12"/>
  <cols>
    <col min="1" max="1" width="4.140625" style="9" bestFit="1" customWidth="1"/>
    <col min="2" max="2" width="7.42578125" style="9" bestFit="1" customWidth="1"/>
    <col min="3" max="3" width="17.28515625" style="9" customWidth="1"/>
    <col min="4" max="4" width="28.140625" style="9" customWidth="1"/>
    <col min="5" max="5" width="13.140625" style="9" customWidth="1"/>
    <col min="6" max="27" width="5.85546875" style="9" customWidth="1"/>
    <col min="28" max="16384" width="9.140625" style="9"/>
  </cols>
  <sheetData>
    <row r="1" spans="1:28" s="14" customFormat="1" ht="62.25" customHeight="1">
      <c r="A1" s="515"/>
      <c r="B1" s="516"/>
      <c r="C1" s="861" t="str">
        <f>ΣΤΟΙΧΕΙΑ!$C$3</f>
        <v>Κ Ο Ι Ν Ο Χ Ρ Η Σ Τ Α :</v>
      </c>
      <c r="D1" s="861"/>
      <c r="E1" s="861"/>
      <c r="F1" s="865" t="str">
        <f>ΣΤΟΙΧΕΙΑ!$C$12</f>
        <v>Διευθύνση 123</v>
      </c>
      <c r="G1" s="865"/>
      <c r="H1" s="865"/>
      <c r="I1" s="865"/>
      <c r="J1" s="865"/>
      <c r="K1" s="865"/>
      <c r="L1" s="865"/>
      <c r="M1" s="865"/>
      <c r="N1" s="865" t="str">
        <f>ΣΤΟΙΧΕΙΑ!$C$13</f>
        <v>Νεάπολη - ΑΤΤΙΚΗΣ.</v>
      </c>
      <c r="O1" s="865"/>
      <c r="P1" s="865"/>
      <c r="Q1" s="865"/>
      <c r="R1" s="865"/>
      <c r="S1" s="865"/>
      <c r="T1" s="865"/>
      <c r="U1" s="866">
        <f>ΣΤΟΙΧΕΙΑ!$C$11</f>
        <v>40878</v>
      </c>
      <c r="V1" s="866"/>
      <c r="W1" s="866"/>
      <c r="X1" s="866"/>
      <c r="Y1" s="866"/>
      <c r="Z1" s="866"/>
      <c r="AA1" s="867"/>
    </row>
    <row r="2" spans="1:28" s="503" customFormat="1" ht="26.25">
      <c r="A2" s="859" t="str">
        <f>ΣΤΟΙΧΕΙΑ!$C$7</f>
        <v>Επεξεργασία: Φ.Τσιρίδης, 6977-66.66.99</v>
      </c>
      <c r="B2" s="860"/>
      <c r="C2" s="860"/>
      <c r="D2" s="860"/>
      <c r="E2" s="869" t="s">
        <v>545</v>
      </c>
      <c r="F2" s="870"/>
      <c r="G2" s="870"/>
      <c r="H2" s="870"/>
      <c r="I2" s="870"/>
      <c r="J2" s="870"/>
      <c r="K2" s="870"/>
      <c r="L2" s="870"/>
      <c r="M2" s="870"/>
      <c r="N2" s="870"/>
      <c r="O2" s="870"/>
      <c r="P2" s="870"/>
      <c r="Q2" s="870"/>
      <c r="R2" s="868" t="str">
        <f>ΣΤΟΙΧΕΙΑ!$C$8</f>
        <v>Διαχειριστής: Φ.Διαχειριστίδης, 697-1234567</v>
      </c>
      <c r="S2" s="868"/>
      <c r="T2" s="868"/>
      <c r="U2" s="868"/>
      <c r="V2" s="868"/>
      <c r="W2" s="868"/>
      <c r="X2" s="868"/>
      <c r="Y2" s="868"/>
      <c r="Z2" s="868"/>
      <c r="AA2" s="868"/>
    </row>
    <row r="3" spans="1:28" s="28" customFormat="1" ht="21" customHeight="1">
      <c r="A3" s="497" t="s">
        <v>24</v>
      </c>
      <c r="B3" s="497" t="s">
        <v>40</v>
      </c>
      <c r="C3" s="497" t="s">
        <v>30</v>
      </c>
      <c r="D3" s="497" t="s">
        <v>489</v>
      </c>
      <c r="E3" s="501" t="s">
        <v>58</v>
      </c>
      <c r="F3" s="513" t="str">
        <f>Διαμερίσματα!B$6</f>
        <v>Κ1</v>
      </c>
      <c r="G3" s="513" t="str">
        <f>Διαμερίσματα!B7</f>
        <v>Κ2</v>
      </c>
      <c r="H3" s="513" t="str">
        <f>Διαμερίσματα!B8</f>
        <v>Κ3</v>
      </c>
      <c r="I3" s="514" t="str">
        <f>Διαμερίσματα!B9</f>
        <v>Α1</v>
      </c>
      <c r="J3" s="514" t="str">
        <f>Διαμερίσματα!B10</f>
        <v>Α2</v>
      </c>
      <c r="K3" s="514" t="str">
        <f>Διαμερίσματα!B11</f>
        <v>Α3</v>
      </c>
      <c r="L3" s="514" t="str">
        <f>Διαμερίσματα!B12</f>
        <v>Α4</v>
      </c>
      <c r="M3" s="514" t="str">
        <f>Διαμερίσματα!B13</f>
        <v>Β1</v>
      </c>
      <c r="N3" s="514" t="str">
        <f>Διαμερίσματα!B14</f>
        <v>Β2</v>
      </c>
      <c r="O3" s="514" t="str">
        <f>Διαμερίσματα!B15</f>
        <v>Β3</v>
      </c>
      <c r="P3" s="514" t="str">
        <f>Διαμερίσματα!B16</f>
        <v>Β4</v>
      </c>
      <c r="Q3" s="514" t="str">
        <f>Διαμερίσματα!B17</f>
        <v>Γ1</v>
      </c>
      <c r="R3" s="514" t="str">
        <f>Διαμερίσματα!B18</f>
        <v>Γ2</v>
      </c>
      <c r="S3" s="514" t="str">
        <f>Διαμερίσματα!B19</f>
        <v>Γ3</v>
      </c>
      <c r="T3" s="514" t="str">
        <f>Διαμερίσματα!B20</f>
        <v>Γ4</v>
      </c>
      <c r="U3" s="514" t="str">
        <f>Διαμερίσματα!B21</f>
        <v>Δ1</v>
      </c>
      <c r="V3" s="514" t="str">
        <f>Διαμερίσματα!B22</f>
        <v>Δ2</v>
      </c>
      <c r="W3" s="514" t="str">
        <f>Διαμερίσματα!B23</f>
        <v>Δ3</v>
      </c>
      <c r="X3" s="514" t="str">
        <f>Διαμερίσματα!B24</f>
        <v>Δ4</v>
      </c>
      <c r="Y3" s="514" t="str">
        <f>Διαμερίσματα!B25</f>
        <v>Ε1</v>
      </c>
      <c r="Z3" s="514" t="str">
        <f>Διαμερίσματα!B26</f>
        <v>Ε2</v>
      </c>
      <c r="AA3" s="514" t="str">
        <f>Διαμερίσματα!B27</f>
        <v>Ε3</v>
      </c>
    </row>
    <row r="4" spans="1:28" s="28" customFormat="1" ht="21" customHeight="1">
      <c r="A4" s="504" t="s">
        <v>484</v>
      </c>
      <c r="B4" s="504" t="s">
        <v>485</v>
      </c>
      <c r="C4" s="504" t="s">
        <v>486</v>
      </c>
      <c r="D4" s="504" t="s">
        <v>487</v>
      </c>
      <c r="E4" s="504" t="s">
        <v>488</v>
      </c>
      <c r="F4" s="497">
        <v>1</v>
      </c>
      <c r="G4" s="497">
        <f t="shared" ref="G4:P4" si="0">F4+1</f>
        <v>2</v>
      </c>
      <c r="H4" s="497">
        <f t="shared" si="0"/>
        <v>3</v>
      </c>
      <c r="I4" s="497">
        <f t="shared" si="0"/>
        <v>4</v>
      </c>
      <c r="J4" s="497">
        <f t="shared" si="0"/>
        <v>5</v>
      </c>
      <c r="K4" s="497">
        <f t="shared" si="0"/>
        <v>6</v>
      </c>
      <c r="L4" s="497">
        <f t="shared" si="0"/>
        <v>7</v>
      </c>
      <c r="M4" s="497">
        <f t="shared" si="0"/>
        <v>8</v>
      </c>
      <c r="N4" s="497">
        <f t="shared" si="0"/>
        <v>9</v>
      </c>
      <c r="O4" s="497">
        <f t="shared" si="0"/>
        <v>10</v>
      </c>
      <c r="P4" s="497">
        <f t="shared" si="0"/>
        <v>11</v>
      </c>
      <c r="Q4" s="541">
        <f t="shared" ref="Q4" si="1">P4+1</f>
        <v>12</v>
      </c>
      <c r="R4" s="541">
        <f t="shared" ref="R4" si="2">Q4+1</f>
        <v>13</v>
      </c>
      <c r="S4" s="541">
        <f t="shared" ref="S4" si="3">R4+1</f>
        <v>14</v>
      </c>
      <c r="T4" s="541">
        <f t="shared" ref="T4" si="4">S4+1</f>
        <v>15</v>
      </c>
      <c r="U4" s="541">
        <f t="shared" ref="U4" si="5">T4+1</f>
        <v>16</v>
      </c>
      <c r="V4" s="541">
        <f t="shared" ref="V4" si="6">U4+1</f>
        <v>17</v>
      </c>
      <c r="W4" s="541">
        <f t="shared" ref="W4" si="7">V4+1</f>
        <v>18</v>
      </c>
      <c r="X4" s="541">
        <f t="shared" ref="X4" si="8">W4+1</f>
        <v>19</v>
      </c>
      <c r="Y4" s="541">
        <f t="shared" ref="Y4" si="9">X4+1</f>
        <v>20</v>
      </c>
      <c r="Z4" s="541">
        <f t="shared" ref="Z4" si="10">Y4+1</f>
        <v>21</v>
      </c>
      <c r="AA4" s="541">
        <f t="shared" ref="AA4" si="11">Z4+1</f>
        <v>22</v>
      </c>
    </row>
    <row r="5" spans="1:28" s="500" customFormat="1" ht="21" customHeight="1">
      <c r="A5" s="498">
        <f>IF(B5="","",1)</f>
        <v>1</v>
      </c>
      <c r="B5" s="79" t="str">
        <f>Δαπάνες!$B$9</f>
        <v>Α1</v>
      </c>
      <c r="C5" s="824" t="str">
        <f>Δαπάνες!$C$9</f>
        <v>Γενικά Κοινόχρηστα</v>
      </c>
      <c r="D5" s="499" t="str">
        <f>Δαπάνες!$D$9</f>
        <v>ΔΕΗ Κοινόχρηστων Χώρων</v>
      </c>
      <c r="E5" s="509">
        <f>IF(Δαπάνες!$F$9="","",Δαπάνες!$F$9)</f>
        <v>100</v>
      </c>
      <c r="F5" s="82">
        <f ca="1">'1-2'!G9</f>
        <v>3.3401608739251958</v>
      </c>
      <c r="G5" s="505">
        <f ca="1">'1-2'!G34</f>
        <v>6.4648274979197318</v>
      </c>
      <c r="H5" s="82">
        <f ca="1">'3-4'!G9</f>
        <v>4.6203247348994001</v>
      </c>
      <c r="I5" s="505">
        <f ca="1">'3-4'!G34</f>
        <v>3.3390940707077172</v>
      </c>
      <c r="J5" s="82">
        <f ca="1">'5-6'!G9</f>
        <v>3.3401608739251958</v>
      </c>
      <c r="K5" s="505">
        <f ca="1">'5-6'!G34</f>
        <v>3.3401608739251958</v>
      </c>
      <c r="L5" s="82">
        <f ca="1">'7-8'!G9</f>
        <v>10.775779299750367</v>
      </c>
      <c r="M5" s="505">
        <f ca="1">'7-8'!G34</f>
        <v>3.3401608739251958</v>
      </c>
      <c r="N5" s="82">
        <f ca="1">'9-10'!G9</f>
        <v>14.008193048710236</v>
      </c>
      <c r="O5" s="505">
        <f ca="1">'9-10'!G34</f>
        <v>14.008193048710236</v>
      </c>
      <c r="P5" s="82">
        <f ca="1">'11-12'!G9</f>
        <v>0</v>
      </c>
      <c r="Q5" s="505">
        <f ca="1">'11-12'!G34</f>
        <v>3.3401608739251958</v>
      </c>
      <c r="R5" s="82">
        <f ca="1">'13-14'!G9</f>
        <v>3.3401608739251958</v>
      </c>
      <c r="S5" s="505">
        <f ca="1">'13-14'!G34</f>
        <v>3.3401608739251958</v>
      </c>
      <c r="T5" s="82">
        <f ca="1">'15-16'!G9</f>
        <v>3.3401608739251958</v>
      </c>
      <c r="U5" s="505">
        <f ca="1">'15-16'!G34</f>
        <v>3.3401608739251958</v>
      </c>
      <c r="V5" s="82">
        <f ca="1">'17-18'!G9</f>
        <v>3.3401608739251958</v>
      </c>
      <c r="W5" s="505">
        <f ca="1">'17-18'!G34</f>
        <v>3.3614969382747657</v>
      </c>
      <c r="X5" s="82">
        <f ca="1">'19-20'!G9</f>
        <v>3.3401608739251958</v>
      </c>
      <c r="Y5" s="505">
        <f ca="1">'19-20'!G34</f>
        <v>3.3401608739251958</v>
      </c>
      <c r="Z5" s="82">
        <f ca="1">'21-22'!G9</f>
        <v>3.3401608739251958</v>
      </c>
      <c r="AA5" s="505">
        <f ca="1">'21-22'!G34</f>
        <v>0</v>
      </c>
    </row>
    <row r="6" spans="1:28" s="500" customFormat="1" ht="21" customHeight="1">
      <c r="A6" s="498">
        <f>IF(B6="","",A5+1)</f>
        <v>2</v>
      </c>
      <c r="B6" s="79" t="str">
        <f>Δαπάνες!$B$10</f>
        <v>Α2</v>
      </c>
      <c r="C6" s="824"/>
      <c r="D6" s="499" t="str">
        <f>Δαπάνες!$D$10</f>
        <v>Καθαρισμός Κοινόχρηστων Χώρων</v>
      </c>
      <c r="E6" s="509">
        <f>IF(Δαπάνες!$F$10="","",Δαπάνες!$F$10)</f>
        <v>70</v>
      </c>
      <c r="F6" s="82">
        <f ca="1">'1-2'!G10</f>
        <v>2.3381126117476367</v>
      </c>
      <c r="G6" s="505">
        <f ca="1">'1-2'!G35</f>
        <v>4.5253792485438122</v>
      </c>
      <c r="H6" s="82">
        <f ca="1">'3-4'!G10</f>
        <v>3.2342273144295803</v>
      </c>
      <c r="I6" s="505">
        <f ca="1">'3-4'!G35</f>
        <v>2.3373658494954022</v>
      </c>
      <c r="J6" s="82">
        <f ca="1">'5-6'!G10</f>
        <v>2.3381126117476367</v>
      </c>
      <c r="K6" s="505">
        <f ca="1">'5-6'!G35</f>
        <v>2.3381126117476367</v>
      </c>
      <c r="L6" s="82">
        <f ca="1">'7-8'!G10</f>
        <v>7.5430455098252569</v>
      </c>
      <c r="M6" s="505">
        <f ca="1">'7-8'!G35</f>
        <v>2.3381126117476367</v>
      </c>
      <c r="N6" s="82">
        <f ca="1">'9-10'!G10</f>
        <v>9.8057351340971657</v>
      </c>
      <c r="O6" s="505">
        <f ca="1">'9-10'!G35</f>
        <v>9.8057351340971657</v>
      </c>
      <c r="P6" s="82">
        <f ca="1">'11-12'!G10</f>
        <v>0</v>
      </c>
      <c r="Q6" s="505">
        <f ca="1">'11-12'!G35</f>
        <v>2.3381126117476367</v>
      </c>
      <c r="R6" s="82">
        <f ca="1">'13-14'!G10</f>
        <v>2.3381126117476367</v>
      </c>
      <c r="S6" s="505">
        <f ca="1">'13-14'!G35</f>
        <v>2.3381126117476367</v>
      </c>
      <c r="T6" s="82">
        <f ca="1">'15-16'!G10</f>
        <v>2.3381126117476367</v>
      </c>
      <c r="U6" s="505">
        <f ca="1">'15-16'!G35</f>
        <v>2.3381126117476367</v>
      </c>
      <c r="V6" s="82">
        <f ca="1">'17-18'!G10</f>
        <v>2.3381126117476367</v>
      </c>
      <c r="W6" s="505">
        <f ca="1">'17-18'!G35</f>
        <v>2.3530478567923359</v>
      </c>
      <c r="X6" s="82">
        <f ca="1">'19-20'!G10</f>
        <v>2.3381126117476367</v>
      </c>
      <c r="Y6" s="505">
        <f ca="1">'19-20'!G35</f>
        <v>2.3381126117476367</v>
      </c>
      <c r="Z6" s="82">
        <f ca="1">'21-22'!G10</f>
        <v>2.3381126117476367</v>
      </c>
      <c r="AA6" s="505">
        <f ca="1">'21-22'!G35</f>
        <v>0</v>
      </c>
    </row>
    <row r="7" spans="1:28" s="500" customFormat="1" ht="21" customHeight="1">
      <c r="A7" s="498">
        <f t="shared" ref="A7:A16" si="12">IF(B7="","",A6+1)</f>
        <v>3</v>
      </c>
      <c r="B7" s="79" t="str">
        <f>Δαπάνες!$B$11</f>
        <v>Α3</v>
      </c>
      <c r="C7" s="824"/>
      <c r="D7" s="499" t="str">
        <f>Δαπάνες!$D$11</f>
        <v>Υλικά Αναλώσιμα (Λάμπες κλπ)</v>
      </c>
      <c r="E7" s="509">
        <f>IF(Δαπάνες!$F$11="","",Δαπάνες!$F$11)</f>
        <v>10</v>
      </c>
      <c r="F7" s="82">
        <f ca="1">'1-2'!G11</f>
        <v>0.33401608739251959</v>
      </c>
      <c r="G7" s="505">
        <f ca="1">'1-2'!G36</f>
        <v>0.64648274979197318</v>
      </c>
      <c r="H7" s="82">
        <f ca="1">'3-4'!G11</f>
        <v>0.46203247348994003</v>
      </c>
      <c r="I7" s="505">
        <f ca="1">'3-4'!G36</f>
        <v>0.33390940707077171</v>
      </c>
      <c r="J7" s="82">
        <f ca="1">'5-6'!G11</f>
        <v>0.33401608739251959</v>
      </c>
      <c r="K7" s="505">
        <f ca="1">'5-6'!G36</f>
        <v>0.33401608739251959</v>
      </c>
      <c r="L7" s="82">
        <f ca="1">'7-8'!G11</f>
        <v>1.0775779299750368</v>
      </c>
      <c r="M7" s="505">
        <f ca="1">'7-8'!G36</f>
        <v>0.33401608739251959</v>
      </c>
      <c r="N7" s="82">
        <f ca="1">'9-10'!G11</f>
        <v>1.4008193048710236</v>
      </c>
      <c r="O7" s="505">
        <f ca="1">'9-10'!G36</f>
        <v>1.4008193048710236</v>
      </c>
      <c r="P7" s="82">
        <f ca="1">'11-12'!G11</f>
        <v>0</v>
      </c>
      <c r="Q7" s="505">
        <f ca="1">'11-12'!G36</f>
        <v>0.33401608739251959</v>
      </c>
      <c r="R7" s="82">
        <f ca="1">'13-14'!G11</f>
        <v>0.33401608739251959</v>
      </c>
      <c r="S7" s="505">
        <f ca="1">'13-14'!G36</f>
        <v>0.33401608739251959</v>
      </c>
      <c r="T7" s="82">
        <f ca="1">'15-16'!G11</f>
        <v>0.33401608739251959</v>
      </c>
      <c r="U7" s="505">
        <f ca="1">'15-16'!G36</f>
        <v>0.33401608739251959</v>
      </c>
      <c r="V7" s="82">
        <f ca="1">'17-18'!G11</f>
        <v>0.33401608739251959</v>
      </c>
      <c r="W7" s="505">
        <f ca="1">'17-18'!G36</f>
        <v>0.33614969382747661</v>
      </c>
      <c r="X7" s="82">
        <f ca="1">'19-20'!G11</f>
        <v>0.33401608739251959</v>
      </c>
      <c r="Y7" s="505">
        <f ca="1">'19-20'!G36</f>
        <v>0.33401608739251959</v>
      </c>
      <c r="Z7" s="82">
        <f ca="1">'21-22'!G11</f>
        <v>0.33401608739251959</v>
      </c>
      <c r="AA7" s="505">
        <f ca="1">'21-22'!G36</f>
        <v>0</v>
      </c>
    </row>
    <row r="8" spans="1:28" s="500" customFormat="1" ht="21" customHeight="1">
      <c r="A8" s="498">
        <f t="shared" si="12"/>
        <v>4</v>
      </c>
      <c r="B8" s="83" t="str">
        <f>Δαπάνες!$B$12</f>
        <v>Β1</v>
      </c>
      <c r="C8" s="83" t="str">
        <f>Δαπάνες!$C$12</f>
        <v>Ανελκυστήρας</v>
      </c>
      <c r="D8" s="83" t="str">
        <f>Δαπάνες!$D$12</f>
        <v>Συντήρηση Ανελκυστήρα</v>
      </c>
      <c r="E8" s="510">
        <f>IF(Δαπάνες!$F$12="","",Δαπάνες!$F$12)</f>
        <v>50</v>
      </c>
      <c r="F8" s="85">
        <f ca="1">'1-2'!G12</f>
        <v>2.3101623674497</v>
      </c>
      <c r="G8" s="506">
        <f ca="1">'1-2'!G37</f>
        <v>1.6700804369625979</v>
      </c>
      <c r="H8" s="85">
        <f ca="1">'3-4'!G12</f>
        <v>3.2324137489598659</v>
      </c>
      <c r="I8" s="506">
        <f ca="1">'3-4'!G37</f>
        <v>1.6695470353538586</v>
      </c>
      <c r="J8" s="85">
        <f ca="1">'5-6'!G12</f>
        <v>1.6700804369625979</v>
      </c>
      <c r="K8" s="506">
        <f ca="1">'5-6'!G37</f>
        <v>1.6700804369625979</v>
      </c>
      <c r="L8" s="85">
        <f ca="1">'7-8'!G12</f>
        <v>5.3878896498751834</v>
      </c>
      <c r="M8" s="506">
        <f ca="1">'7-8'!G37</f>
        <v>1.6700804369625979</v>
      </c>
      <c r="N8" s="85">
        <f ca="1">'9-10'!G12</f>
        <v>7.0040965243551181</v>
      </c>
      <c r="O8" s="506">
        <f ca="1">'9-10'!G37</f>
        <v>7.0040965243551181</v>
      </c>
      <c r="P8" s="85">
        <f ca="1">'11-12'!G12</f>
        <v>0</v>
      </c>
      <c r="Q8" s="506">
        <f ca="1">'11-12'!G37</f>
        <v>1.6700804369625979</v>
      </c>
      <c r="R8" s="85">
        <f ca="1">'13-14'!G12</f>
        <v>1.6700804369625979</v>
      </c>
      <c r="S8" s="506">
        <f ca="1">'13-14'!G37</f>
        <v>1.6700804369625979</v>
      </c>
      <c r="T8" s="85">
        <f ca="1">'15-16'!G12</f>
        <v>1.6700804369625979</v>
      </c>
      <c r="U8" s="506">
        <f ca="1">'15-16'!G37</f>
        <v>1.6700804369625979</v>
      </c>
      <c r="V8" s="85">
        <f ca="1">'17-18'!G12</f>
        <v>1.6700804369625979</v>
      </c>
      <c r="W8" s="506">
        <f ca="1">'17-18'!G37</f>
        <v>1.6807484691373829</v>
      </c>
      <c r="X8" s="85">
        <f ca="1">'19-20'!G12</f>
        <v>1.6700804369625979</v>
      </c>
      <c r="Y8" s="506">
        <f ca="1">'19-20'!G37</f>
        <v>1.6700804369625979</v>
      </c>
      <c r="Z8" s="85">
        <f ca="1">'21-22'!G12</f>
        <v>1.6700804369625979</v>
      </c>
      <c r="AA8" s="506">
        <f ca="1">'21-22'!G37</f>
        <v>0</v>
      </c>
    </row>
    <row r="9" spans="1:28" s="500" customFormat="1" ht="21" customHeight="1">
      <c r="A9" s="498">
        <f t="shared" si="12"/>
        <v>5</v>
      </c>
      <c r="B9" s="86" t="str">
        <f>Δαπάνες!$B$13</f>
        <v>Γ1</v>
      </c>
      <c r="C9" s="825" t="str">
        <f>Δαπάνες!$C$13</f>
        <v>Έξοδα Κήπου</v>
      </c>
      <c r="D9" s="499" t="str">
        <f>Δαπάνες!$D$13</f>
        <v>Συντήρηση Κήπου</v>
      </c>
      <c r="E9" s="509">
        <f>IF(Δαπάνες!$F$13="","",Δαπάνες!$F$13)</f>
        <v>60</v>
      </c>
      <c r="F9" s="82">
        <f ca="1">'1-2'!G13</f>
        <v>3.8788964987518395</v>
      </c>
      <c r="G9" s="505">
        <f ca="1">'1-2'!G38</f>
        <v>2.7721948409396404</v>
      </c>
      <c r="H9" s="82">
        <f ca="1">'3-4'!G13</f>
        <v>2.0040965243551172</v>
      </c>
      <c r="I9" s="505">
        <f ca="1">'3-4'!G38</f>
        <v>2.0034564424246302</v>
      </c>
      <c r="J9" s="82">
        <f ca="1">'5-6'!G13</f>
        <v>2.0040965243551172</v>
      </c>
      <c r="K9" s="505">
        <f ca="1">'5-6'!G38</f>
        <v>2.0040965243551172</v>
      </c>
      <c r="L9" s="82">
        <f ca="1">'7-8'!G13</f>
        <v>6.4654675798502206</v>
      </c>
      <c r="M9" s="505">
        <f ca="1">'7-8'!G38</f>
        <v>2.0040965243551172</v>
      </c>
      <c r="N9" s="82">
        <f ca="1">'9-10'!G13</f>
        <v>8.404915829226141</v>
      </c>
      <c r="O9" s="505">
        <f ca="1">'9-10'!G38</f>
        <v>8.404915829226141</v>
      </c>
      <c r="P9" s="82">
        <f ca="1">'11-12'!G13</f>
        <v>0</v>
      </c>
      <c r="Q9" s="505">
        <f ca="1">'11-12'!G38</f>
        <v>2.0040965243551172</v>
      </c>
      <c r="R9" s="82">
        <f ca="1">'13-14'!G13</f>
        <v>2.0040965243551172</v>
      </c>
      <c r="S9" s="505">
        <f ca="1">'13-14'!G38</f>
        <v>2.0040965243551172</v>
      </c>
      <c r="T9" s="82">
        <f ca="1">'15-16'!G13</f>
        <v>2.0040965243551172</v>
      </c>
      <c r="U9" s="505">
        <f ca="1">'15-16'!G38</f>
        <v>2.0040965243551172</v>
      </c>
      <c r="V9" s="82">
        <f ca="1">'17-18'!G13</f>
        <v>2.0040965243551172</v>
      </c>
      <c r="W9" s="505">
        <f ca="1">'17-18'!G38</f>
        <v>2.0168981629648597</v>
      </c>
      <c r="X9" s="82">
        <f ca="1">'19-20'!G13</f>
        <v>2.0040965243551172</v>
      </c>
      <c r="Y9" s="505">
        <f ca="1">'19-20'!G38</f>
        <v>2.0040965243551172</v>
      </c>
      <c r="Z9" s="82">
        <f ca="1">'21-22'!G13</f>
        <v>2.0040965243551172</v>
      </c>
      <c r="AA9" s="505">
        <f ca="1">'21-22'!G38</f>
        <v>0</v>
      </c>
    </row>
    <row r="10" spans="1:28" s="500" customFormat="1" ht="21" customHeight="1">
      <c r="A10" s="498">
        <f t="shared" si="12"/>
        <v>6</v>
      </c>
      <c r="B10" s="86" t="str">
        <f>Δαπάνες!$B$14</f>
        <v>Γ2</v>
      </c>
      <c r="C10" s="825"/>
      <c r="D10" s="499" t="str">
        <f>Δαπάνες!$D$14</f>
        <v>ΕΥΔΑΠ (Νερό) Κοινόχρηστων Χώρων</v>
      </c>
      <c r="E10" s="509">
        <f>IF(Δαπάνες!$F$14="","",Δαπάνες!$F$14)</f>
        <v>20</v>
      </c>
      <c r="F10" s="82">
        <f ca="1">'1-2'!G14</f>
        <v>1.2929654995839464</v>
      </c>
      <c r="G10" s="505">
        <f ca="1">'1-2'!G39</f>
        <v>0.92406494697988006</v>
      </c>
      <c r="H10" s="82">
        <f ca="1">'3-4'!G14</f>
        <v>0.66803217478503918</v>
      </c>
      <c r="I10" s="505">
        <f ca="1">'3-4'!G39</f>
        <v>0.66781881414154343</v>
      </c>
      <c r="J10" s="82">
        <f ca="1">'5-6'!G14</f>
        <v>0.66803217478503918</v>
      </c>
      <c r="K10" s="505">
        <f ca="1">'5-6'!G39</f>
        <v>0.66803217478503918</v>
      </c>
      <c r="L10" s="82">
        <f ca="1">'7-8'!G14</f>
        <v>2.1551558599500735</v>
      </c>
      <c r="M10" s="505">
        <f ca="1">'7-8'!G39</f>
        <v>0.66803217478503918</v>
      </c>
      <c r="N10" s="82">
        <f ca="1">'9-10'!G14</f>
        <v>2.8016386097420471</v>
      </c>
      <c r="O10" s="505">
        <f ca="1">'9-10'!G39</f>
        <v>2.8016386097420471</v>
      </c>
      <c r="P10" s="82">
        <f ca="1">'11-12'!G14</f>
        <v>0</v>
      </c>
      <c r="Q10" s="505">
        <f ca="1">'11-12'!G39</f>
        <v>0.66803217478503918</v>
      </c>
      <c r="R10" s="82">
        <f ca="1">'13-14'!G14</f>
        <v>0.66803217478503918</v>
      </c>
      <c r="S10" s="505">
        <f ca="1">'13-14'!G39</f>
        <v>0.66803217478503918</v>
      </c>
      <c r="T10" s="82">
        <f ca="1">'15-16'!G14</f>
        <v>0.66803217478503918</v>
      </c>
      <c r="U10" s="505">
        <f ca="1">'15-16'!G39</f>
        <v>0.66803217478503918</v>
      </c>
      <c r="V10" s="82">
        <f ca="1">'17-18'!G14</f>
        <v>0.66803217478503918</v>
      </c>
      <c r="W10" s="505">
        <f ca="1">'17-18'!G39</f>
        <v>0.67229938765495323</v>
      </c>
      <c r="X10" s="82">
        <f ca="1">'19-20'!G14</f>
        <v>0.66803217478503918</v>
      </c>
      <c r="Y10" s="505">
        <f ca="1">'19-20'!G39</f>
        <v>0.66803217478503918</v>
      </c>
      <c r="Z10" s="82">
        <f ca="1">'21-22'!G14</f>
        <v>0.66803217478503918</v>
      </c>
      <c r="AA10" s="505">
        <f ca="1">'21-22'!G39</f>
        <v>0</v>
      </c>
    </row>
    <row r="11" spans="1:28" s="500" customFormat="1" ht="21" customHeight="1">
      <c r="A11" s="498">
        <f t="shared" si="12"/>
        <v>7</v>
      </c>
      <c r="B11" s="87" t="str">
        <f>Δαπάνες!$B$15</f>
        <v>Δ1</v>
      </c>
      <c r="C11" s="820" t="str">
        <f>Δαπάνες!$C$15</f>
        <v>Θέρμανση</v>
      </c>
      <c r="D11" s="106" t="str">
        <f>Δαπάνες!$D$15</f>
        <v>Πετρέλαιο Αυτόνομης Θέρμανσης</v>
      </c>
      <c r="E11" s="511">
        <f>IF(Δαπάνες!$F$15="","",Δαπάνες!$F$15)</f>
        <v>700</v>
      </c>
      <c r="F11" s="502">
        <f ca="1">'1-2'!G15</f>
        <v>0</v>
      </c>
      <c r="G11" s="507">
        <f ca="1">'1-2'!G40</f>
        <v>9.1612042276075591</v>
      </c>
      <c r="H11" s="502">
        <f ca="1">'3-4'!G15</f>
        <v>193.17297509721948</v>
      </c>
      <c r="I11" s="507">
        <f ca="1">'3-4'!G40</f>
        <v>148.41655119520013</v>
      </c>
      <c r="J11" s="502">
        <f ca="1">'5-6'!G15</f>
        <v>136.1527170625443</v>
      </c>
      <c r="K11" s="507">
        <f ca="1">'5-6'!G40</f>
        <v>0</v>
      </c>
      <c r="L11" s="502">
        <f ca="1">'7-8'!G15</f>
        <v>0</v>
      </c>
      <c r="M11" s="507">
        <f ca="1">'7-8'!G40</f>
        <v>48.49401387912873</v>
      </c>
      <c r="N11" s="502">
        <f ca="1">'9-10'!G15</f>
        <v>30.311423180712552</v>
      </c>
      <c r="O11" s="507">
        <f ca="1">'9-10'!G40</f>
        <v>134.29111535758724</v>
      </c>
      <c r="P11" s="85">
        <f ca="1">'11-12'!G15</f>
        <v>0</v>
      </c>
      <c r="Q11" s="506">
        <f ca="1">'11-12'!G40</f>
        <v>0</v>
      </c>
      <c r="R11" s="85">
        <f ca="1">'13-14'!G15</f>
        <v>0</v>
      </c>
      <c r="S11" s="506">
        <f ca="1">'13-14'!G40</f>
        <v>0</v>
      </c>
      <c r="T11" s="85">
        <f ca="1">'15-16'!G15</f>
        <v>0</v>
      </c>
      <c r="U11" s="506">
        <f ca="1">'15-16'!G40</f>
        <v>0</v>
      </c>
      <c r="V11" s="85">
        <f ca="1">'17-18'!G15</f>
        <v>0</v>
      </c>
      <c r="W11" s="506">
        <f ca="1">'17-18'!G40</f>
        <v>0</v>
      </c>
      <c r="X11" s="85">
        <f ca="1">'19-20'!G15</f>
        <v>0</v>
      </c>
      <c r="Y11" s="506">
        <f ca="1">'19-20'!G40</f>
        <v>0</v>
      </c>
      <c r="Z11" s="85">
        <f ca="1">'21-22'!G15</f>
        <v>0</v>
      </c>
      <c r="AA11" s="506">
        <f ca="1">'21-22'!G40</f>
        <v>0</v>
      </c>
    </row>
    <row r="12" spans="1:28" s="500" customFormat="1" ht="21" customHeight="1">
      <c r="A12" s="498">
        <f t="shared" si="12"/>
        <v>8</v>
      </c>
      <c r="B12" s="87" t="str">
        <f>Δαπάνες!$B$16</f>
        <v>Δ2</v>
      </c>
      <c r="C12" s="821"/>
      <c r="D12" s="83" t="str">
        <f>Δαπάνες!$D$16</f>
        <v>Συντήρηση Καυστήρα</v>
      </c>
      <c r="E12" s="510">
        <f>IF(Δαπάνες!$F$16="","",Δαπάνες!$F$16)</f>
        <v>70</v>
      </c>
      <c r="F12" s="85">
        <f ca="1">'1-2'!G16</f>
        <v>5.2535496957403636</v>
      </c>
      <c r="G12" s="506">
        <f ca="1">'1-2'!G41</f>
        <v>4.4688801110280769</v>
      </c>
      <c r="H12" s="85">
        <f ca="1">'3-4'!G16</f>
        <v>3.9532400982171443</v>
      </c>
      <c r="I12" s="506">
        <f ca="1">'3-4'!G41</f>
        <v>5.5748905732892053</v>
      </c>
      <c r="J12" s="85">
        <f ca="1">'5-6'!G16</f>
        <v>4.2745809757659856</v>
      </c>
      <c r="K12" s="506">
        <f ca="1">'5-6'!G41</f>
        <v>5.6272018789366918</v>
      </c>
      <c r="L12" s="85">
        <f ca="1">'7-8'!G16</f>
        <v>2.757553111988897</v>
      </c>
      <c r="M12" s="506">
        <f ca="1">'7-8'!G41</f>
        <v>4.8574783815522569</v>
      </c>
      <c r="N12" s="85">
        <f ca="1">'9-10'!G16</f>
        <v>5.3133340450517759</v>
      </c>
      <c r="O12" s="506">
        <f ca="1">'9-10'!G41</f>
        <v>4.7080175082737252</v>
      </c>
      <c r="P12" s="85">
        <f ca="1">'11-12'!G16</f>
        <v>0</v>
      </c>
      <c r="Q12" s="506">
        <f ca="1">'11-12'!G41</f>
        <v>2.2942244048254508</v>
      </c>
      <c r="R12" s="85">
        <f ca="1">'13-14'!G16</f>
        <v>2.3241165794811565</v>
      </c>
      <c r="S12" s="506">
        <f ca="1">'13-14'!G41</f>
        <v>2.3241165794811565</v>
      </c>
      <c r="T12" s="85">
        <f ca="1">'15-16'!G16</f>
        <v>2.3241165794811565</v>
      </c>
      <c r="U12" s="506">
        <f ca="1">'15-16'!G41</f>
        <v>2.3241165794811565</v>
      </c>
      <c r="V12" s="85">
        <f ca="1">'17-18'!G16</f>
        <v>2.3241165794811565</v>
      </c>
      <c r="W12" s="506">
        <f ca="1">'17-18'!G41</f>
        <v>2.3241165794811565</v>
      </c>
      <c r="X12" s="85">
        <f ca="1">'19-20'!G16</f>
        <v>2.3241165794811565</v>
      </c>
      <c r="Y12" s="506">
        <f ca="1">'19-20'!G41</f>
        <v>2.3241165794811565</v>
      </c>
      <c r="Z12" s="85">
        <f ca="1">'21-22'!G16</f>
        <v>2.3241165794811565</v>
      </c>
      <c r="AA12" s="506">
        <f ca="1">'21-22'!G41</f>
        <v>0</v>
      </c>
    </row>
    <row r="13" spans="1:28" s="500" customFormat="1" ht="21" customHeight="1">
      <c r="A13" s="498">
        <f t="shared" si="12"/>
        <v>9</v>
      </c>
      <c r="B13" s="499" t="str">
        <f>Δαπάνες!$B$17</f>
        <v>Ε1</v>
      </c>
      <c r="C13" s="499" t="str">
        <f>Δαπάνες!$C$17</f>
        <v>Έξοδα Ιδιοκτητών</v>
      </c>
      <c r="D13" s="499" t="str">
        <f>Δαπάνες!$D$17</f>
        <v>Συντήρηση Πολυκατοικίας</v>
      </c>
      <c r="E13" s="509">
        <f>IF(Δαπάνες!$F$17="","",Δαπάνες!$F$17)</f>
        <v>100</v>
      </c>
      <c r="F13" s="82">
        <f ca="1">'1-2'!G17</f>
        <v>6.4648274979197318</v>
      </c>
      <c r="G13" s="505">
        <f ca="1">'1-2'!G42</f>
        <v>4.6203247348994001</v>
      </c>
      <c r="H13" s="82">
        <f ca="1">'3-4'!G17</f>
        <v>3.3401608739251958</v>
      </c>
      <c r="I13" s="505">
        <f ca="1">'3-4'!G42</f>
        <v>3.3390940707077172</v>
      </c>
      <c r="J13" s="82">
        <f ca="1">'5-6'!G17</f>
        <v>3.3401608739251958</v>
      </c>
      <c r="K13" s="505">
        <f ca="1">'5-6'!G42</f>
        <v>3.3401608739251958</v>
      </c>
      <c r="L13" s="82">
        <f ca="1">'7-8'!G17</f>
        <v>10.775779299750367</v>
      </c>
      <c r="M13" s="505">
        <f ca="1">'7-8'!G42</f>
        <v>3.3401608739251958</v>
      </c>
      <c r="N13" s="82">
        <f ca="1">'9-10'!G17</f>
        <v>14.008193048710236</v>
      </c>
      <c r="O13" s="505">
        <f ca="1">'9-10'!G42</f>
        <v>14.008193048710236</v>
      </c>
      <c r="P13" s="82">
        <f ca="1">'11-12'!G17</f>
        <v>0</v>
      </c>
      <c r="Q13" s="505">
        <f ca="1">'11-12'!G42</f>
        <v>3.3401608739251958</v>
      </c>
      <c r="R13" s="82">
        <f ca="1">'13-14'!G17</f>
        <v>3.3401608739251958</v>
      </c>
      <c r="S13" s="505">
        <f ca="1">'13-14'!G42</f>
        <v>3.3401608739251958</v>
      </c>
      <c r="T13" s="82">
        <f ca="1">'15-16'!G17</f>
        <v>3.3401608739251958</v>
      </c>
      <c r="U13" s="505">
        <f ca="1">'15-16'!G42</f>
        <v>3.3401608739251958</v>
      </c>
      <c r="V13" s="82">
        <f ca="1">'17-18'!G17</f>
        <v>3.3401608739251958</v>
      </c>
      <c r="W13" s="505">
        <f ca="1">'17-18'!G42</f>
        <v>3.3614969382747657</v>
      </c>
      <c r="X13" s="82">
        <f ca="1">'19-20'!G17</f>
        <v>3.3401608739251958</v>
      </c>
      <c r="Y13" s="505">
        <f ca="1">'19-20'!G42</f>
        <v>3.3401608739251958</v>
      </c>
      <c r="Z13" s="82">
        <f ca="1">'21-22'!G17</f>
        <v>3.3401608739251958</v>
      </c>
      <c r="AA13" s="505">
        <f ca="1">'21-22'!G42</f>
        <v>0</v>
      </c>
      <c r="AB13" s="90"/>
    </row>
    <row r="14" spans="1:28" s="500" customFormat="1" ht="21" customHeight="1">
      <c r="A14" s="498">
        <f t="shared" si="12"/>
        <v>10</v>
      </c>
      <c r="B14" s="89" t="str">
        <f>Δαπάνες!$B$18</f>
        <v>Ζ1</v>
      </c>
      <c r="C14" s="83" t="str">
        <f>Δαπάνες!$C$18</f>
        <v>Λοιπά Έξοδα</v>
      </c>
      <c r="D14" s="83" t="str">
        <f>Δαπάνες!$D$18</f>
        <v>Πάγιο Αποθεματικό</v>
      </c>
      <c r="E14" s="510">
        <f>IF(Δαπάνες!$F$18="","",Δαπάνες!$F$18)</f>
        <v>200</v>
      </c>
      <c r="F14" s="85">
        <f ca="1">'1-2'!G18</f>
        <v>12.929654995839464</v>
      </c>
      <c r="G14" s="506">
        <f ca="1">'1-2'!G43</f>
        <v>9.2406494697988002</v>
      </c>
      <c r="H14" s="85">
        <f ca="1">'3-4'!G18</f>
        <v>6.6803217478503916</v>
      </c>
      <c r="I14" s="506">
        <f ca="1">'3-4'!G43</f>
        <v>6.6781881414154345</v>
      </c>
      <c r="J14" s="85">
        <f ca="1">'5-6'!G18</f>
        <v>6.6803217478503916</v>
      </c>
      <c r="K14" s="506">
        <f ca="1">'5-6'!G43</f>
        <v>6.6803217478503916</v>
      </c>
      <c r="L14" s="85">
        <f ca="1">'7-8'!G18</f>
        <v>21.551558599500733</v>
      </c>
      <c r="M14" s="506">
        <f ca="1">'7-8'!G43</f>
        <v>6.6803217478503916</v>
      </c>
      <c r="N14" s="85">
        <f ca="1">'9-10'!G18</f>
        <v>28.016386097420472</v>
      </c>
      <c r="O14" s="506">
        <f ca="1">'9-10'!G43</f>
        <v>28.016386097420472</v>
      </c>
      <c r="P14" s="85">
        <f ca="1">'11-12'!G18</f>
        <v>0</v>
      </c>
      <c r="Q14" s="506">
        <f ca="1">'11-12'!G43</f>
        <v>6.6803217478503916</v>
      </c>
      <c r="R14" s="85">
        <f ca="1">'13-14'!G18</f>
        <v>6.6803217478503916</v>
      </c>
      <c r="S14" s="506">
        <f ca="1">'13-14'!G43</f>
        <v>6.6803217478503916</v>
      </c>
      <c r="T14" s="85">
        <f ca="1">'15-16'!G18</f>
        <v>6.6803217478503916</v>
      </c>
      <c r="U14" s="506">
        <f ca="1">'15-16'!G43</f>
        <v>6.6803217478503916</v>
      </c>
      <c r="V14" s="85">
        <f ca="1">'17-18'!G18</f>
        <v>6.6803217478503916</v>
      </c>
      <c r="W14" s="506">
        <f ca="1">'17-18'!G43</f>
        <v>6.7229938765495314</v>
      </c>
      <c r="X14" s="85">
        <f ca="1">'19-20'!G18</f>
        <v>6.6803217478503916</v>
      </c>
      <c r="Y14" s="506">
        <f ca="1">'19-20'!G43</f>
        <v>6.6803217478503916</v>
      </c>
      <c r="Z14" s="85">
        <f ca="1">'21-22'!G18</f>
        <v>6.6803217478503916</v>
      </c>
      <c r="AA14" s="506">
        <f ca="1">'21-22'!G43</f>
        <v>0</v>
      </c>
    </row>
    <row r="15" spans="1:28" s="500" customFormat="1" ht="21" customHeight="1">
      <c r="A15" s="498">
        <f t="shared" si="12"/>
        <v>11</v>
      </c>
      <c r="B15" s="79" t="str">
        <f>Δαπάνες!$B$19</f>
        <v>Η1</v>
      </c>
      <c r="C15" s="822" t="str">
        <f>Δαπάνες!$C$19</f>
        <v>Διαχείριση</v>
      </c>
      <c r="D15" s="499" t="str">
        <f>Δαπάνες!$D$19</f>
        <v>Αμοιβή Διαχειριστή</v>
      </c>
      <c r="E15" s="509">
        <f>IF(Δαπάνες!$F$19="","",Δαπάνες!$F$19)</f>
        <v>80</v>
      </c>
      <c r="F15" s="82">
        <f ca="1">'1-2'!G19</f>
        <v>5.1718619983357854</v>
      </c>
      <c r="G15" s="505">
        <f ca="1">'1-2'!G44</f>
        <v>3.6962597879195203</v>
      </c>
      <c r="H15" s="82">
        <f ca="1">'3-4'!G19</f>
        <v>2.6721286991401567</v>
      </c>
      <c r="I15" s="505">
        <f ca="1">'3-4'!G44</f>
        <v>2.6712752565661737</v>
      </c>
      <c r="J15" s="82">
        <f ca="1">'5-6'!G19</f>
        <v>2.6721286991401567</v>
      </c>
      <c r="K15" s="505">
        <f ca="1">'5-6'!G44</f>
        <v>2.6721286991401567</v>
      </c>
      <c r="L15" s="82">
        <f ca="1">'7-8'!G19</f>
        <v>8.6206234398002941</v>
      </c>
      <c r="M15" s="505">
        <f ca="1">'7-8'!G44</f>
        <v>2.6721286991401567</v>
      </c>
      <c r="N15" s="82">
        <f ca="1">'9-10'!G19</f>
        <v>11.206554438968189</v>
      </c>
      <c r="O15" s="505">
        <f ca="1">'9-10'!G44</f>
        <v>11.206554438968189</v>
      </c>
      <c r="P15" s="82">
        <f ca="1">'11-12'!G19</f>
        <v>0</v>
      </c>
      <c r="Q15" s="505">
        <f ca="1">'11-12'!G44</f>
        <v>2.6721286991401567</v>
      </c>
      <c r="R15" s="82">
        <f ca="1">'13-14'!G19</f>
        <v>2.6721286991401567</v>
      </c>
      <c r="S15" s="505">
        <f ca="1">'13-14'!G44</f>
        <v>2.6721286991401567</v>
      </c>
      <c r="T15" s="82">
        <f ca="1">'15-16'!G19</f>
        <v>2.6721286991401567</v>
      </c>
      <c r="U15" s="505">
        <f ca="1">'15-16'!G44</f>
        <v>2.6721286991401567</v>
      </c>
      <c r="V15" s="82">
        <f ca="1">'17-18'!G19</f>
        <v>2.6721286991401567</v>
      </c>
      <c r="W15" s="505">
        <f ca="1">'17-18'!G44</f>
        <v>2.6891975506198129</v>
      </c>
      <c r="X15" s="82">
        <f ca="1">'19-20'!G19</f>
        <v>2.6721286991401567</v>
      </c>
      <c r="Y15" s="505">
        <f ca="1">'19-20'!G44</f>
        <v>2.6721286991401567</v>
      </c>
      <c r="Z15" s="82">
        <f ca="1">'21-22'!G19</f>
        <v>2.6721286991401567</v>
      </c>
      <c r="AA15" s="505">
        <f ca="1">'21-22'!G44</f>
        <v>0</v>
      </c>
    </row>
    <row r="16" spans="1:28" s="500" customFormat="1" ht="21" customHeight="1">
      <c r="A16" s="498">
        <f t="shared" si="12"/>
        <v>12</v>
      </c>
      <c r="B16" s="79" t="str">
        <f>Δαπάνες!$B$20</f>
        <v>Η2</v>
      </c>
      <c r="C16" s="823"/>
      <c r="D16" s="499" t="str">
        <f>Δαπάνες!$D$20</f>
        <v>Έκδοση Κοινοχρήστων</v>
      </c>
      <c r="E16" s="509">
        <f>IF(Δαπάνες!$F$20="","",Δαπάνες!$F$20)</f>
        <v>20</v>
      </c>
      <c r="F16" s="82">
        <f>'1-2'!G20</f>
        <v>1</v>
      </c>
      <c r="G16" s="505">
        <f>'1-2'!G45</f>
        <v>1</v>
      </c>
      <c r="H16" s="82">
        <f>'3-4'!G20</f>
        <v>1</v>
      </c>
      <c r="I16" s="505">
        <f>'3-4'!G45</f>
        <v>1</v>
      </c>
      <c r="J16" s="82">
        <f>'5-6'!G20</f>
        <v>1</v>
      </c>
      <c r="K16" s="505">
        <f>'5-6'!G45</f>
        <v>1</v>
      </c>
      <c r="L16" s="82">
        <f>'7-8'!G20</f>
        <v>1</v>
      </c>
      <c r="M16" s="505">
        <f>'7-8'!G45</f>
        <v>1</v>
      </c>
      <c r="N16" s="82">
        <f>'9-10'!G20</f>
        <v>1</v>
      </c>
      <c r="O16" s="505">
        <f>'9-10'!G45</f>
        <v>1</v>
      </c>
      <c r="P16" s="82">
        <f>'11-12'!G20</f>
        <v>0</v>
      </c>
      <c r="Q16" s="505">
        <f>'11-12'!G45</f>
        <v>1</v>
      </c>
      <c r="R16" s="82">
        <f>'13-14'!G20</f>
        <v>1</v>
      </c>
      <c r="S16" s="505">
        <f>'13-14'!G45</f>
        <v>1</v>
      </c>
      <c r="T16" s="82">
        <f>'15-16'!G20</f>
        <v>1</v>
      </c>
      <c r="U16" s="505">
        <f>'15-16'!G45</f>
        <v>1</v>
      </c>
      <c r="V16" s="82">
        <f>'17-18'!G20</f>
        <v>1</v>
      </c>
      <c r="W16" s="505">
        <f>'17-18'!G45</f>
        <v>1</v>
      </c>
      <c r="X16" s="82">
        <f>'19-20'!G20</f>
        <v>1</v>
      </c>
      <c r="Y16" s="505">
        <f>'19-20'!G45</f>
        <v>1</v>
      </c>
      <c r="Z16" s="82">
        <f>'21-22'!G20</f>
        <v>1</v>
      </c>
      <c r="AA16" s="505">
        <f>'21-22'!G45</f>
        <v>0</v>
      </c>
    </row>
    <row r="17" spans="1:27" s="29" customFormat="1" ht="21" customHeight="1">
      <c r="A17" s="745" t="s">
        <v>454</v>
      </c>
      <c r="B17" s="745"/>
      <c r="C17" s="745"/>
      <c r="D17" s="745"/>
      <c r="E17" s="512">
        <f>SUM(E5:E16)</f>
        <v>1480</v>
      </c>
      <c r="F17" s="234">
        <f ca="1">SUM(F5:F16)</f>
        <v>44.314208126686182</v>
      </c>
      <c r="G17" s="508">
        <f ca="1">SUM(G5:G16)</f>
        <v>49.190348052390995</v>
      </c>
      <c r="H17" s="234">
        <f t="shared" ref="H17:P17" ca="1" si="13">SUM(H5:H16)</f>
        <v>225.0399534872713</v>
      </c>
      <c r="I17" s="508">
        <f t="shared" ca="1" si="13"/>
        <v>178.03119085637255</v>
      </c>
      <c r="J17" s="234">
        <f t="shared" ca="1" si="13"/>
        <v>164.47440806839413</v>
      </c>
      <c r="K17" s="508">
        <f t="shared" ca="1" si="13"/>
        <v>29.674311909020545</v>
      </c>
      <c r="L17" s="234">
        <f t="shared" ca="1" si="13"/>
        <v>78.110430280266428</v>
      </c>
      <c r="M17" s="508">
        <f t="shared" ca="1" si="13"/>
        <v>77.398602290764842</v>
      </c>
      <c r="N17" s="234">
        <f t="shared" ca="1" si="13"/>
        <v>133.28128926186497</v>
      </c>
      <c r="O17" s="508">
        <f t="shared" ca="1" si="13"/>
        <v>236.65566490196161</v>
      </c>
      <c r="P17" s="234">
        <f t="shared" ca="1" si="13"/>
        <v>0</v>
      </c>
      <c r="Q17" s="234">
        <f t="shared" ref="Q17:AA17" ca="1" si="14">SUM(Q5:Q16)</f>
        <v>26.341334434909303</v>
      </c>
      <c r="R17" s="234">
        <f t="shared" ca="1" si="14"/>
        <v>26.37122660956501</v>
      </c>
      <c r="S17" s="234">
        <f t="shared" ca="1" si="14"/>
        <v>26.37122660956501</v>
      </c>
      <c r="T17" s="234">
        <f t="shared" ca="1" si="14"/>
        <v>26.37122660956501</v>
      </c>
      <c r="U17" s="234">
        <f t="shared" ca="1" si="14"/>
        <v>26.37122660956501</v>
      </c>
      <c r="V17" s="234">
        <f t="shared" ca="1" si="14"/>
        <v>26.37122660956501</v>
      </c>
      <c r="W17" s="234">
        <f t="shared" ca="1" si="14"/>
        <v>26.518445453577037</v>
      </c>
      <c r="X17" s="234">
        <f t="shared" ca="1" si="14"/>
        <v>26.37122660956501</v>
      </c>
      <c r="Y17" s="234">
        <f t="shared" ca="1" si="14"/>
        <v>26.37122660956501</v>
      </c>
      <c r="Z17" s="234">
        <f t="shared" ca="1" si="14"/>
        <v>26.37122660956501</v>
      </c>
      <c r="AA17" s="234">
        <f t="shared" ca="1" si="14"/>
        <v>0</v>
      </c>
    </row>
    <row r="19" spans="1:27" ht="18.75">
      <c r="A19" s="862" t="s">
        <v>490</v>
      </c>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row>
    <row r="20" spans="1:27" ht="18.75">
      <c r="A20" s="863" t="str">
        <f>IFERROR(VLOOKUP(U1,Σχόλια!$A$4:$C$16,2,FALSE),0)</f>
        <v>Έγινε συντήρηση του καυστήρα.</v>
      </c>
      <c r="B20" s="863"/>
      <c r="C20" s="863"/>
      <c r="D20" s="863"/>
      <c r="E20" s="863"/>
      <c r="F20" s="863"/>
      <c r="G20" s="863"/>
      <c r="H20" s="863"/>
      <c r="I20" s="863"/>
      <c r="J20" s="863"/>
      <c r="K20" s="863"/>
      <c r="L20" s="863"/>
      <c r="M20" s="863"/>
      <c r="N20" s="863"/>
      <c r="O20" s="863"/>
      <c r="P20" s="863"/>
      <c r="Q20" s="863"/>
      <c r="R20" s="863"/>
      <c r="S20" s="863"/>
      <c r="T20" s="863"/>
      <c r="U20" s="863"/>
      <c r="V20" s="863"/>
      <c r="W20" s="863"/>
      <c r="X20" s="863"/>
      <c r="Y20" s="863"/>
      <c r="Z20" s="863"/>
      <c r="AA20" s="863"/>
    </row>
    <row r="21" spans="1:27" ht="21">
      <c r="A21" s="864" t="str">
        <f>IFERROR(VLOOKUP(U1,Σχόλια!$A$4:$C$16,3,FALSE),0)</f>
        <v>Η συντήρηση του Ανελκυστήρα, από 55€*12μήνες, έγινε 55€*8μήνες.</v>
      </c>
      <c r="B21" s="864"/>
      <c r="C21" s="864"/>
      <c r="D21" s="864"/>
      <c r="E21" s="864"/>
      <c r="F21" s="864"/>
      <c r="G21" s="864"/>
      <c r="H21" s="864"/>
      <c r="I21" s="864"/>
      <c r="J21" s="864"/>
      <c r="K21" s="864"/>
      <c r="L21" s="864"/>
      <c r="M21" s="864"/>
      <c r="N21" s="864"/>
      <c r="O21" s="864"/>
      <c r="P21" s="864"/>
      <c r="Q21" s="864"/>
      <c r="R21" s="864"/>
      <c r="S21" s="864"/>
      <c r="T21" s="864"/>
      <c r="U21" s="864"/>
      <c r="V21" s="864"/>
      <c r="W21" s="864"/>
      <c r="X21" s="864"/>
      <c r="Y21" s="864"/>
      <c r="Z21" s="864"/>
      <c r="AA21" s="864"/>
    </row>
    <row r="22" spans="1:27" ht="18.75">
      <c r="A22" s="858"/>
      <c r="B22" s="858"/>
      <c r="C22" s="858"/>
      <c r="D22" s="858"/>
      <c r="E22" s="858"/>
      <c r="F22" s="858"/>
      <c r="G22" s="858"/>
      <c r="H22" s="858"/>
      <c r="I22" s="858"/>
      <c r="J22" s="858"/>
      <c r="K22" s="858"/>
      <c r="L22" s="858"/>
      <c r="M22" s="858"/>
      <c r="N22" s="858"/>
      <c r="O22" s="858"/>
      <c r="P22" s="858"/>
      <c r="Q22" s="858"/>
      <c r="R22" s="858"/>
      <c r="S22" s="858"/>
      <c r="T22" s="858"/>
      <c r="U22" s="858"/>
      <c r="V22" s="858"/>
      <c r="W22" s="858"/>
      <c r="X22" s="858"/>
      <c r="Y22" s="858"/>
      <c r="Z22" s="858"/>
      <c r="AA22" s="858"/>
    </row>
    <row r="23" spans="1:27" ht="18.75">
      <c r="A23" s="858"/>
      <c r="B23" s="858"/>
      <c r="C23" s="858"/>
      <c r="D23" s="858"/>
      <c r="E23" s="858"/>
      <c r="F23" s="858"/>
      <c r="G23" s="858"/>
      <c r="H23" s="858"/>
      <c r="I23" s="858"/>
      <c r="J23" s="858"/>
      <c r="K23" s="858"/>
      <c r="L23" s="858"/>
      <c r="M23" s="858"/>
      <c r="N23" s="858"/>
      <c r="O23" s="858"/>
      <c r="P23" s="858"/>
      <c r="Q23" s="858"/>
      <c r="R23" s="858"/>
      <c r="S23" s="858"/>
      <c r="T23" s="858"/>
      <c r="U23" s="858"/>
      <c r="V23" s="858"/>
      <c r="W23" s="858"/>
      <c r="X23" s="858"/>
      <c r="Y23" s="858"/>
      <c r="Z23" s="858"/>
      <c r="AA23" s="858"/>
    </row>
  </sheetData>
  <sheetProtection password="E4A3" sheet="1" objects="1" scenarios="1" selectLockedCells="1"/>
  <mergeCells count="17">
    <mergeCell ref="E2:Q2"/>
    <mergeCell ref="A22:AA22"/>
    <mergeCell ref="A23:AA23"/>
    <mergeCell ref="A2:D2"/>
    <mergeCell ref="C1:E1"/>
    <mergeCell ref="A19:AA19"/>
    <mergeCell ref="A20:AA20"/>
    <mergeCell ref="A21:AA21"/>
    <mergeCell ref="C15:C16"/>
    <mergeCell ref="A17:D17"/>
    <mergeCell ref="C5:C7"/>
    <mergeCell ref="C9:C10"/>
    <mergeCell ref="C11:C12"/>
    <mergeCell ref="F1:M1"/>
    <mergeCell ref="N1:T1"/>
    <mergeCell ref="U1:AA1"/>
    <mergeCell ref="R2:AA2"/>
  </mergeCells>
  <pageMargins left="0.19685039370078741" right="0.39370078740157483" top="0.78740157480314965" bottom="0.39370078740157483" header="0.31496062992125984" footer="0.31496062992125984"/>
  <pageSetup paperSize="9" scale="70" orientation="landscape" r:id="rId1"/>
  <drawing r:id="rId2"/>
</worksheet>
</file>

<file path=xl/worksheets/sheet25.xml><?xml version="1.0" encoding="utf-8"?>
<worksheet xmlns="http://schemas.openxmlformats.org/spreadsheetml/2006/main" xmlns:r="http://schemas.openxmlformats.org/officeDocument/2006/relationships">
  <sheetPr>
    <tabColor theme="1"/>
    <pageSetUpPr autoPageBreaks="0"/>
  </sheetPr>
  <dimension ref="A1:U252"/>
  <sheetViews>
    <sheetView zoomScaleNormal="100" workbookViewId="0">
      <pane ySplit="4" topLeftCell="A5" activePane="bottomLeft" state="frozen"/>
      <selection pane="bottomLeft" activeCell="A5" sqref="A5"/>
    </sheetView>
  </sheetViews>
  <sheetFormatPr defaultColWidth="11.42578125" defaultRowHeight="15"/>
  <cols>
    <col min="1" max="1" width="9.7109375" style="581" customWidth="1"/>
    <col min="2" max="2" width="7.7109375" style="581" customWidth="1"/>
    <col min="3" max="3" width="5.7109375" style="610" customWidth="1"/>
    <col min="4" max="4" width="5.42578125" style="581" customWidth="1"/>
    <col min="5" max="5" width="9.85546875" style="610" bestFit="1" customWidth="1"/>
    <col min="6" max="6" width="4.5703125" style="581" customWidth="1"/>
    <col min="7" max="7" width="5.42578125" style="581" bestFit="1" customWidth="1"/>
    <col min="8" max="8" width="22" style="581" bestFit="1" customWidth="1"/>
    <col min="9" max="9" width="21.5703125" style="581" bestFit="1" customWidth="1"/>
    <col min="10" max="10" width="21" style="581" bestFit="1" customWidth="1"/>
    <col min="11" max="12" width="8.28515625" style="581" bestFit="1" customWidth="1"/>
    <col min="13" max="13" width="28.42578125" style="581" customWidth="1"/>
    <col min="14" max="16" width="11.42578125" style="608"/>
    <col min="17" max="17" width="11.42578125" style="609"/>
    <col min="18" max="18" width="11.42578125" style="608"/>
    <col min="19" max="19" width="11.28515625" style="608" bestFit="1" customWidth="1"/>
    <col min="20" max="20" width="6.42578125" style="608" bestFit="1" customWidth="1"/>
    <col min="21" max="21" width="15.42578125" style="609" customWidth="1"/>
    <col min="22" max="245" width="11.42578125" style="581"/>
    <col min="246" max="246" width="9.7109375" style="581" customWidth="1"/>
    <col min="247" max="247" width="7.7109375" style="581" customWidth="1"/>
    <col min="248" max="248" width="5.7109375" style="581" customWidth="1"/>
    <col min="249" max="249" width="5.42578125" style="581" customWidth="1"/>
    <col min="250" max="250" width="4.5703125" style="581" customWidth="1"/>
    <col min="251" max="253" width="0" style="581" hidden="1" customWidth="1"/>
    <col min="254" max="254" width="5.42578125" style="581" bestFit="1" customWidth="1"/>
    <col min="255" max="255" width="0" style="581" hidden="1" customWidth="1"/>
    <col min="256" max="256" width="10" style="581" bestFit="1" customWidth="1"/>
    <col min="257" max="258" width="0" style="581" hidden="1" customWidth="1"/>
    <col min="259" max="259" width="15.5703125" style="581" customWidth="1"/>
    <col min="260" max="265" width="0" style="581" hidden="1" customWidth="1"/>
    <col min="266" max="266" width="18.85546875" style="581" bestFit="1" customWidth="1"/>
    <col min="267" max="267" width="6.42578125" style="581" bestFit="1" customWidth="1"/>
    <col min="268" max="501" width="11.42578125" style="581"/>
    <col min="502" max="502" width="9.7109375" style="581" customWidth="1"/>
    <col min="503" max="503" width="7.7109375" style="581" customWidth="1"/>
    <col min="504" max="504" width="5.7109375" style="581" customWidth="1"/>
    <col min="505" max="505" width="5.42578125" style="581" customWidth="1"/>
    <col min="506" max="506" width="4.5703125" style="581" customWidth="1"/>
    <col min="507" max="509" width="0" style="581" hidden="1" customWidth="1"/>
    <col min="510" max="510" width="5.42578125" style="581" bestFit="1" customWidth="1"/>
    <col min="511" max="511" width="0" style="581" hidden="1" customWidth="1"/>
    <col min="512" max="512" width="10" style="581" bestFit="1" customWidth="1"/>
    <col min="513" max="514" width="0" style="581" hidden="1" customWidth="1"/>
    <col min="515" max="515" width="15.5703125" style="581" customWidth="1"/>
    <col min="516" max="521" width="0" style="581" hidden="1" customWidth="1"/>
    <col min="522" max="522" width="18.85546875" style="581" bestFit="1" customWidth="1"/>
    <col min="523" max="523" width="6.42578125" style="581" bestFit="1" customWidth="1"/>
    <col min="524" max="757" width="11.42578125" style="581"/>
    <col min="758" max="758" width="9.7109375" style="581" customWidth="1"/>
    <col min="759" max="759" width="7.7109375" style="581" customWidth="1"/>
    <col min="760" max="760" width="5.7109375" style="581" customWidth="1"/>
    <col min="761" max="761" width="5.42578125" style="581" customWidth="1"/>
    <col min="762" max="762" width="4.5703125" style="581" customWidth="1"/>
    <col min="763" max="765" width="0" style="581" hidden="1" customWidth="1"/>
    <col min="766" max="766" width="5.42578125" style="581" bestFit="1" customWidth="1"/>
    <col min="767" max="767" width="0" style="581" hidden="1" customWidth="1"/>
    <col min="768" max="768" width="10" style="581" bestFit="1" customWidth="1"/>
    <col min="769" max="770" width="0" style="581" hidden="1" customWidth="1"/>
    <col min="771" max="771" width="15.5703125" style="581" customWidth="1"/>
    <col min="772" max="777" width="0" style="581" hidden="1" customWidth="1"/>
    <col min="778" max="778" width="18.85546875" style="581" bestFit="1" customWidth="1"/>
    <col min="779" max="779" width="6.42578125" style="581" bestFit="1" customWidth="1"/>
    <col min="780" max="1013" width="11.42578125" style="581"/>
    <col min="1014" max="1014" width="9.7109375" style="581" customWidth="1"/>
    <col min="1015" max="1015" width="7.7109375" style="581" customWidth="1"/>
    <col min="1016" max="1016" width="5.7109375" style="581" customWidth="1"/>
    <col min="1017" max="1017" width="5.42578125" style="581" customWidth="1"/>
    <col min="1018" max="1018" width="4.5703125" style="581" customWidth="1"/>
    <col min="1019" max="1021" width="0" style="581" hidden="1" customWidth="1"/>
    <col min="1022" max="1022" width="5.42578125" style="581" bestFit="1" customWidth="1"/>
    <col min="1023" max="1023" width="0" style="581" hidden="1" customWidth="1"/>
    <col min="1024" max="1024" width="10" style="581" bestFit="1" customWidth="1"/>
    <col min="1025" max="1026" width="0" style="581" hidden="1" customWidth="1"/>
    <col min="1027" max="1027" width="15.5703125" style="581" customWidth="1"/>
    <col min="1028" max="1033" width="0" style="581" hidden="1" customWidth="1"/>
    <col min="1034" max="1034" width="18.85546875" style="581" bestFit="1" customWidth="1"/>
    <col min="1035" max="1035" width="6.42578125" style="581" bestFit="1" customWidth="1"/>
    <col min="1036" max="1269" width="11.42578125" style="581"/>
    <col min="1270" max="1270" width="9.7109375" style="581" customWidth="1"/>
    <col min="1271" max="1271" width="7.7109375" style="581" customWidth="1"/>
    <col min="1272" max="1272" width="5.7109375" style="581" customWidth="1"/>
    <col min="1273" max="1273" width="5.42578125" style="581" customWidth="1"/>
    <col min="1274" max="1274" width="4.5703125" style="581" customWidth="1"/>
    <col min="1275" max="1277" width="0" style="581" hidden="1" customWidth="1"/>
    <col min="1278" max="1278" width="5.42578125" style="581" bestFit="1" customWidth="1"/>
    <col min="1279" max="1279" width="0" style="581" hidden="1" customWidth="1"/>
    <col min="1280" max="1280" width="10" style="581" bestFit="1" customWidth="1"/>
    <col min="1281" max="1282" width="0" style="581" hidden="1" customWidth="1"/>
    <col min="1283" max="1283" width="15.5703125" style="581" customWidth="1"/>
    <col min="1284" max="1289" width="0" style="581" hidden="1" customWidth="1"/>
    <col min="1290" max="1290" width="18.85546875" style="581" bestFit="1" customWidth="1"/>
    <col min="1291" max="1291" width="6.42578125" style="581" bestFit="1" customWidth="1"/>
    <col min="1292" max="1525" width="11.42578125" style="581"/>
    <col min="1526" max="1526" width="9.7109375" style="581" customWidth="1"/>
    <col min="1527" max="1527" width="7.7109375" style="581" customWidth="1"/>
    <col min="1528" max="1528" width="5.7109375" style="581" customWidth="1"/>
    <col min="1529" max="1529" width="5.42578125" style="581" customWidth="1"/>
    <col min="1530" max="1530" width="4.5703125" style="581" customWidth="1"/>
    <col min="1531" max="1533" width="0" style="581" hidden="1" customWidth="1"/>
    <col min="1534" max="1534" width="5.42578125" style="581" bestFit="1" customWidth="1"/>
    <col min="1535" max="1535" width="0" style="581" hidden="1" customWidth="1"/>
    <col min="1536" max="1536" width="10" style="581" bestFit="1" customWidth="1"/>
    <col min="1537" max="1538" width="0" style="581" hidden="1" customWidth="1"/>
    <col min="1539" max="1539" width="15.5703125" style="581" customWidth="1"/>
    <col min="1540" max="1545" width="0" style="581" hidden="1" customWidth="1"/>
    <col min="1546" max="1546" width="18.85546875" style="581" bestFit="1" customWidth="1"/>
    <col min="1547" max="1547" width="6.42578125" style="581" bestFit="1" customWidth="1"/>
    <col min="1548" max="1781" width="11.42578125" style="581"/>
    <col min="1782" max="1782" width="9.7109375" style="581" customWidth="1"/>
    <col min="1783" max="1783" width="7.7109375" style="581" customWidth="1"/>
    <col min="1784" max="1784" width="5.7109375" style="581" customWidth="1"/>
    <col min="1785" max="1785" width="5.42578125" style="581" customWidth="1"/>
    <col min="1786" max="1786" width="4.5703125" style="581" customWidth="1"/>
    <col min="1787" max="1789" width="0" style="581" hidden="1" customWidth="1"/>
    <col min="1790" max="1790" width="5.42578125" style="581" bestFit="1" customWidth="1"/>
    <col min="1791" max="1791" width="0" style="581" hidden="1" customWidth="1"/>
    <col min="1792" max="1792" width="10" style="581" bestFit="1" customWidth="1"/>
    <col min="1793" max="1794" width="0" style="581" hidden="1" customWidth="1"/>
    <col min="1795" max="1795" width="15.5703125" style="581" customWidth="1"/>
    <col min="1796" max="1801" width="0" style="581" hidden="1" customWidth="1"/>
    <col min="1802" max="1802" width="18.85546875" style="581" bestFit="1" customWidth="1"/>
    <col min="1803" max="1803" width="6.42578125" style="581" bestFit="1" customWidth="1"/>
    <col min="1804" max="2037" width="11.42578125" style="581"/>
    <col min="2038" max="2038" width="9.7109375" style="581" customWidth="1"/>
    <col min="2039" max="2039" width="7.7109375" style="581" customWidth="1"/>
    <col min="2040" max="2040" width="5.7109375" style="581" customWidth="1"/>
    <col min="2041" max="2041" width="5.42578125" style="581" customWidth="1"/>
    <col min="2042" max="2042" width="4.5703125" style="581" customWidth="1"/>
    <col min="2043" max="2045" width="0" style="581" hidden="1" customWidth="1"/>
    <col min="2046" max="2046" width="5.42578125" style="581" bestFit="1" customWidth="1"/>
    <col min="2047" max="2047" width="0" style="581" hidden="1" customWidth="1"/>
    <col min="2048" max="2048" width="10" style="581" bestFit="1" customWidth="1"/>
    <col min="2049" max="2050" width="0" style="581" hidden="1" customWidth="1"/>
    <col min="2051" max="2051" width="15.5703125" style="581" customWidth="1"/>
    <col min="2052" max="2057" width="0" style="581" hidden="1" customWidth="1"/>
    <col min="2058" max="2058" width="18.85546875" style="581" bestFit="1" customWidth="1"/>
    <col min="2059" max="2059" width="6.42578125" style="581" bestFit="1" customWidth="1"/>
    <col min="2060" max="2293" width="11.42578125" style="581"/>
    <col min="2294" max="2294" width="9.7109375" style="581" customWidth="1"/>
    <col min="2295" max="2295" width="7.7109375" style="581" customWidth="1"/>
    <col min="2296" max="2296" width="5.7109375" style="581" customWidth="1"/>
    <col min="2297" max="2297" width="5.42578125" style="581" customWidth="1"/>
    <col min="2298" max="2298" width="4.5703125" style="581" customWidth="1"/>
    <col min="2299" max="2301" width="0" style="581" hidden="1" customWidth="1"/>
    <col min="2302" max="2302" width="5.42578125" style="581" bestFit="1" customWidth="1"/>
    <col min="2303" max="2303" width="0" style="581" hidden="1" customWidth="1"/>
    <col min="2304" max="2304" width="10" style="581" bestFit="1" customWidth="1"/>
    <col min="2305" max="2306" width="0" style="581" hidden="1" customWidth="1"/>
    <col min="2307" max="2307" width="15.5703125" style="581" customWidth="1"/>
    <col min="2308" max="2313" width="0" style="581" hidden="1" customWidth="1"/>
    <col min="2314" max="2314" width="18.85546875" style="581" bestFit="1" customWidth="1"/>
    <col min="2315" max="2315" width="6.42578125" style="581" bestFit="1" customWidth="1"/>
    <col min="2316" max="2549" width="11.42578125" style="581"/>
    <col min="2550" max="2550" width="9.7109375" style="581" customWidth="1"/>
    <col min="2551" max="2551" width="7.7109375" style="581" customWidth="1"/>
    <col min="2552" max="2552" width="5.7109375" style="581" customWidth="1"/>
    <col min="2553" max="2553" width="5.42578125" style="581" customWidth="1"/>
    <col min="2554" max="2554" width="4.5703125" style="581" customWidth="1"/>
    <col min="2555" max="2557" width="0" style="581" hidden="1" customWidth="1"/>
    <col min="2558" max="2558" width="5.42578125" style="581" bestFit="1" customWidth="1"/>
    <col min="2559" max="2559" width="0" style="581" hidden="1" customWidth="1"/>
    <col min="2560" max="2560" width="10" style="581" bestFit="1" customWidth="1"/>
    <col min="2561" max="2562" width="0" style="581" hidden="1" customWidth="1"/>
    <col min="2563" max="2563" width="15.5703125" style="581" customWidth="1"/>
    <col min="2564" max="2569" width="0" style="581" hidden="1" customWidth="1"/>
    <col min="2570" max="2570" width="18.85546875" style="581" bestFit="1" customWidth="1"/>
    <col min="2571" max="2571" width="6.42578125" style="581" bestFit="1" customWidth="1"/>
    <col min="2572" max="2805" width="11.42578125" style="581"/>
    <col min="2806" max="2806" width="9.7109375" style="581" customWidth="1"/>
    <col min="2807" max="2807" width="7.7109375" style="581" customWidth="1"/>
    <col min="2808" max="2808" width="5.7109375" style="581" customWidth="1"/>
    <col min="2809" max="2809" width="5.42578125" style="581" customWidth="1"/>
    <col min="2810" max="2810" width="4.5703125" style="581" customWidth="1"/>
    <col min="2811" max="2813" width="0" style="581" hidden="1" customWidth="1"/>
    <col min="2814" max="2814" width="5.42578125" style="581" bestFit="1" customWidth="1"/>
    <col min="2815" max="2815" width="0" style="581" hidden="1" customWidth="1"/>
    <col min="2816" max="2816" width="10" style="581" bestFit="1" customWidth="1"/>
    <col min="2817" max="2818" width="0" style="581" hidden="1" customWidth="1"/>
    <col min="2819" max="2819" width="15.5703125" style="581" customWidth="1"/>
    <col min="2820" max="2825" width="0" style="581" hidden="1" customWidth="1"/>
    <col min="2826" max="2826" width="18.85546875" style="581" bestFit="1" customWidth="1"/>
    <col min="2827" max="2827" width="6.42578125" style="581" bestFit="1" customWidth="1"/>
    <col min="2828" max="3061" width="11.42578125" style="581"/>
    <col min="3062" max="3062" width="9.7109375" style="581" customWidth="1"/>
    <col min="3063" max="3063" width="7.7109375" style="581" customWidth="1"/>
    <col min="3064" max="3064" width="5.7109375" style="581" customWidth="1"/>
    <col min="3065" max="3065" width="5.42578125" style="581" customWidth="1"/>
    <col min="3066" max="3066" width="4.5703125" style="581" customWidth="1"/>
    <col min="3067" max="3069" width="0" style="581" hidden="1" customWidth="1"/>
    <col min="3070" max="3070" width="5.42578125" style="581" bestFit="1" customWidth="1"/>
    <col min="3071" max="3071" width="0" style="581" hidden="1" customWidth="1"/>
    <col min="3072" max="3072" width="10" style="581" bestFit="1" customWidth="1"/>
    <col min="3073" max="3074" width="0" style="581" hidden="1" customWidth="1"/>
    <col min="3075" max="3075" width="15.5703125" style="581" customWidth="1"/>
    <col min="3076" max="3081" width="0" style="581" hidden="1" customWidth="1"/>
    <col min="3082" max="3082" width="18.85546875" style="581" bestFit="1" customWidth="1"/>
    <col min="3083" max="3083" width="6.42578125" style="581" bestFit="1" customWidth="1"/>
    <col min="3084" max="3317" width="11.42578125" style="581"/>
    <col min="3318" max="3318" width="9.7109375" style="581" customWidth="1"/>
    <col min="3319" max="3319" width="7.7109375" style="581" customWidth="1"/>
    <col min="3320" max="3320" width="5.7109375" style="581" customWidth="1"/>
    <col min="3321" max="3321" width="5.42578125" style="581" customWidth="1"/>
    <col min="3322" max="3322" width="4.5703125" style="581" customWidth="1"/>
    <col min="3323" max="3325" width="0" style="581" hidden="1" customWidth="1"/>
    <col min="3326" max="3326" width="5.42578125" style="581" bestFit="1" customWidth="1"/>
    <col min="3327" max="3327" width="0" style="581" hidden="1" customWidth="1"/>
    <col min="3328" max="3328" width="10" style="581" bestFit="1" customWidth="1"/>
    <col min="3329" max="3330" width="0" style="581" hidden="1" customWidth="1"/>
    <col min="3331" max="3331" width="15.5703125" style="581" customWidth="1"/>
    <col min="3332" max="3337" width="0" style="581" hidden="1" customWidth="1"/>
    <col min="3338" max="3338" width="18.85546875" style="581" bestFit="1" customWidth="1"/>
    <col min="3339" max="3339" width="6.42578125" style="581" bestFit="1" customWidth="1"/>
    <col min="3340" max="3573" width="11.42578125" style="581"/>
    <col min="3574" max="3574" width="9.7109375" style="581" customWidth="1"/>
    <col min="3575" max="3575" width="7.7109375" style="581" customWidth="1"/>
    <col min="3576" max="3576" width="5.7109375" style="581" customWidth="1"/>
    <col min="3577" max="3577" width="5.42578125" style="581" customWidth="1"/>
    <col min="3578" max="3578" width="4.5703125" style="581" customWidth="1"/>
    <col min="3579" max="3581" width="0" style="581" hidden="1" customWidth="1"/>
    <col min="3582" max="3582" width="5.42578125" style="581" bestFit="1" customWidth="1"/>
    <col min="3583" max="3583" width="0" style="581" hidden="1" customWidth="1"/>
    <col min="3584" max="3584" width="10" style="581" bestFit="1" customWidth="1"/>
    <col min="3585" max="3586" width="0" style="581" hidden="1" customWidth="1"/>
    <col min="3587" max="3587" width="15.5703125" style="581" customWidth="1"/>
    <col min="3588" max="3593" width="0" style="581" hidden="1" customWidth="1"/>
    <col min="3594" max="3594" width="18.85546875" style="581" bestFit="1" customWidth="1"/>
    <col min="3595" max="3595" width="6.42578125" style="581" bestFit="1" customWidth="1"/>
    <col min="3596" max="3829" width="11.42578125" style="581"/>
    <col min="3830" max="3830" width="9.7109375" style="581" customWidth="1"/>
    <col min="3831" max="3831" width="7.7109375" style="581" customWidth="1"/>
    <col min="3832" max="3832" width="5.7109375" style="581" customWidth="1"/>
    <col min="3833" max="3833" width="5.42578125" style="581" customWidth="1"/>
    <col min="3834" max="3834" width="4.5703125" style="581" customWidth="1"/>
    <col min="3835" max="3837" width="0" style="581" hidden="1" customWidth="1"/>
    <col min="3838" max="3838" width="5.42578125" style="581" bestFit="1" customWidth="1"/>
    <col min="3839" max="3839" width="0" style="581" hidden="1" customWidth="1"/>
    <col min="3840" max="3840" width="10" style="581" bestFit="1" customWidth="1"/>
    <col min="3841" max="3842" width="0" style="581" hidden="1" customWidth="1"/>
    <col min="3843" max="3843" width="15.5703125" style="581" customWidth="1"/>
    <col min="3844" max="3849" width="0" style="581" hidden="1" customWidth="1"/>
    <col min="3850" max="3850" width="18.85546875" style="581" bestFit="1" customWidth="1"/>
    <col min="3851" max="3851" width="6.42578125" style="581" bestFit="1" customWidth="1"/>
    <col min="3852" max="4085" width="11.42578125" style="581"/>
    <col min="4086" max="4086" width="9.7109375" style="581" customWidth="1"/>
    <col min="4087" max="4087" width="7.7109375" style="581" customWidth="1"/>
    <col min="4088" max="4088" width="5.7109375" style="581" customWidth="1"/>
    <col min="4089" max="4089" width="5.42578125" style="581" customWidth="1"/>
    <col min="4090" max="4090" width="4.5703125" style="581" customWidth="1"/>
    <col min="4091" max="4093" width="0" style="581" hidden="1" customWidth="1"/>
    <col min="4094" max="4094" width="5.42578125" style="581" bestFit="1" customWidth="1"/>
    <col min="4095" max="4095" width="0" style="581" hidden="1" customWidth="1"/>
    <col min="4096" max="4096" width="10" style="581" bestFit="1" customWidth="1"/>
    <col min="4097" max="4098" width="0" style="581" hidden="1" customWidth="1"/>
    <col min="4099" max="4099" width="15.5703125" style="581" customWidth="1"/>
    <col min="4100" max="4105" width="0" style="581" hidden="1" customWidth="1"/>
    <col min="4106" max="4106" width="18.85546875" style="581" bestFit="1" customWidth="1"/>
    <col min="4107" max="4107" width="6.42578125" style="581" bestFit="1" customWidth="1"/>
    <col min="4108" max="4341" width="11.42578125" style="581"/>
    <col min="4342" max="4342" width="9.7109375" style="581" customWidth="1"/>
    <col min="4343" max="4343" width="7.7109375" style="581" customWidth="1"/>
    <col min="4344" max="4344" width="5.7109375" style="581" customWidth="1"/>
    <col min="4345" max="4345" width="5.42578125" style="581" customWidth="1"/>
    <col min="4346" max="4346" width="4.5703125" style="581" customWidth="1"/>
    <col min="4347" max="4349" width="0" style="581" hidden="1" customWidth="1"/>
    <col min="4350" max="4350" width="5.42578125" style="581" bestFit="1" customWidth="1"/>
    <col min="4351" max="4351" width="0" style="581" hidden="1" customWidth="1"/>
    <col min="4352" max="4352" width="10" style="581" bestFit="1" customWidth="1"/>
    <col min="4353" max="4354" width="0" style="581" hidden="1" customWidth="1"/>
    <col min="4355" max="4355" width="15.5703125" style="581" customWidth="1"/>
    <col min="4356" max="4361" width="0" style="581" hidden="1" customWidth="1"/>
    <col min="4362" max="4362" width="18.85546875" style="581" bestFit="1" customWidth="1"/>
    <col min="4363" max="4363" width="6.42578125" style="581" bestFit="1" customWidth="1"/>
    <col min="4364" max="4597" width="11.42578125" style="581"/>
    <col min="4598" max="4598" width="9.7109375" style="581" customWidth="1"/>
    <col min="4599" max="4599" width="7.7109375" style="581" customWidth="1"/>
    <col min="4600" max="4600" width="5.7109375" style="581" customWidth="1"/>
    <col min="4601" max="4601" width="5.42578125" style="581" customWidth="1"/>
    <col min="4602" max="4602" width="4.5703125" style="581" customWidth="1"/>
    <col min="4603" max="4605" width="0" style="581" hidden="1" customWidth="1"/>
    <col min="4606" max="4606" width="5.42578125" style="581" bestFit="1" customWidth="1"/>
    <col min="4607" max="4607" width="0" style="581" hidden="1" customWidth="1"/>
    <col min="4608" max="4608" width="10" style="581" bestFit="1" customWidth="1"/>
    <col min="4609" max="4610" width="0" style="581" hidden="1" customWidth="1"/>
    <col min="4611" max="4611" width="15.5703125" style="581" customWidth="1"/>
    <col min="4612" max="4617" width="0" style="581" hidden="1" customWidth="1"/>
    <col min="4618" max="4618" width="18.85546875" style="581" bestFit="1" customWidth="1"/>
    <col min="4619" max="4619" width="6.42578125" style="581" bestFit="1" customWidth="1"/>
    <col min="4620" max="4853" width="11.42578125" style="581"/>
    <col min="4854" max="4854" width="9.7109375" style="581" customWidth="1"/>
    <col min="4855" max="4855" width="7.7109375" style="581" customWidth="1"/>
    <col min="4856" max="4856" width="5.7109375" style="581" customWidth="1"/>
    <col min="4857" max="4857" width="5.42578125" style="581" customWidth="1"/>
    <col min="4858" max="4858" width="4.5703125" style="581" customWidth="1"/>
    <col min="4859" max="4861" width="0" style="581" hidden="1" customWidth="1"/>
    <col min="4862" max="4862" width="5.42578125" style="581" bestFit="1" customWidth="1"/>
    <col min="4863" max="4863" width="0" style="581" hidden="1" customWidth="1"/>
    <col min="4864" max="4864" width="10" style="581" bestFit="1" customWidth="1"/>
    <col min="4865" max="4866" width="0" style="581" hidden="1" customWidth="1"/>
    <col min="4867" max="4867" width="15.5703125" style="581" customWidth="1"/>
    <col min="4868" max="4873" width="0" style="581" hidden="1" customWidth="1"/>
    <col min="4874" max="4874" width="18.85546875" style="581" bestFit="1" customWidth="1"/>
    <col min="4875" max="4875" width="6.42578125" style="581" bestFit="1" customWidth="1"/>
    <col min="4876" max="5109" width="11.42578125" style="581"/>
    <col min="5110" max="5110" width="9.7109375" style="581" customWidth="1"/>
    <col min="5111" max="5111" width="7.7109375" style="581" customWidth="1"/>
    <col min="5112" max="5112" width="5.7109375" style="581" customWidth="1"/>
    <col min="5113" max="5113" width="5.42578125" style="581" customWidth="1"/>
    <col min="5114" max="5114" width="4.5703125" style="581" customWidth="1"/>
    <col min="5115" max="5117" width="0" style="581" hidden="1" customWidth="1"/>
    <col min="5118" max="5118" width="5.42578125" style="581" bestFit="1" customWidth="1"/>
    <col min="5119" max="5119" width="0" style="581" hidden="1" customWidth="1"/>
    <col min="5120" max="5120" width="10" style="581" bestFit="1" customWidth="1"/>
    <col min="5121" max="5122" width="0" style="581" hidden="1" customWidth="1"/>
    <col min="5123" max="5123" width="15.5703125" style="581" customWidth="1"/>
    <col min="5124" max="5129" width="0" style="581" hidden="1" customWidth="1"/>
    <col min="5130" max="5130" width="18.85546875" style="581" bestFit="1" customWidth="1"/>
    <col min="5131" max="5131" width="6.42578125" style="581" bestFit="1" customWidth="1"/>
    <col min="5132" max="5365" width="11.42578125" style="581"/>
    <col min="5366" max="5366" width="9.7109375" style="581" customWidth="1"/>
    <col min="5367" max="5367" width="7.7109375" style="581" customWidth="1"/>
    <col min="5368" max="5368" width="5.7109375" style="581" customWidth="1"/>
    <col min="5369" max="5369" width="5.42578125" style="581" customWidth="1"/>
    <col min="5370" max="5370" width="4.5703125" style="581" customWidth="1"/>
    <col min="5371" max="5373" width="0" style="581" hidden="1" customWidth="1"/>
    <col min="5374" max="5374" width="5.42578125" style="581" bestFit="1" customWidth="1"/>
    <col min="5375" max="5375" width="0" style="581" hidden="1" customWidth="1"/>
    <col min="5376" max="5376" width="10" style="581" bestFit="1" customWidth="1"/>
    <col min="5377" max="5378" width="0" style="581" hidden="1" customWidth="1"/>
    <col min="5379" max="5379" width="15.5703125" style="581" customWidth="1"/>
    <col min="5380" max="5385" width="0" style="581" hidden="1" customWidth="1"/>
    <col min="5386" max="5386" width="18.85546875" style="581" bestFit="1" customWidth="1"/>
    <col min="5387" max="5387" width="6.42578125" style="581" bestFit="1" customWidth="1"/>
    <col min="5388" max="5621" width="11.42578125" style="581"/>
    <col min="5622" max="5622" width="9.7109375" style="581" customWidth="1"/>
    <col min="5623" max="5623" width="7.7109375" style="581" customWidth="1"/>
    <col min="5624" max="5624" width="5.7109375" style="581" customWidth="1"/>
    <col min="5625" max="5625" width="5.42578125" style="581" customWidth="1"/>
    <col min="5626" max="5626" width="4.5703125" style="581" customWidth="1"/>
    <col min="5627" max="5629" width="0" style="581" hidden="1" customWidth="1"/>
    <col min="5630" max="5630" width="5.42578125" style="581" bestFit="1" customWidth="1"/>
    <col min="5631" max="5631" width="0" style="581" hidden="1" customWidth="1"/>
    <col min="5632" max="5632" width="10" style="581" bestFit="1" customWidth="1"/>
    <col min="5633" max="5634" width="0" style="581" hidden="1" customWidth="1"/>
    <col min="5635" max="5635" width="15.5703125" style="581" customWidth="1"/>
    <col min="5636" max="5641" width="0" style="581" hidden="1" customWidth="1"/>
    <col min="5642" max="5642" width="18.85546875" style="581" bestFit="1" customWidth="1"/>
    <col min="5643" max="5643" width="6.42578125" style="581" bestFit="1" customWidth="1"/>
    <col min="5644" max="5877" width="11.42578125" style="581"/>
    <col min="5878" max="5878" width="9.7109375" style="581" customWidth="1"/>
    <col min="5879" max="5879" width="7.7109375" style="581" customWidth="1"/>
    <col min="5880" max="5880" width="5.7109375" style="581" customWidth="1"/>
    <col min="5881" max="5881" width="5.42578125" style="581" customWidth="1"/>
    <col min="5882" max="5882" width="4.5703125" style="581" customWidth="1"/>
    <col min="5883" max="5885" width="0" style="581" hidden="1" customWidth="1"/>
    <col min="5886" max="5886" width="5.42578125" style="581" bestFit="1" customWidth="1"/>
    <col min="5887" max="5887" width="0" style="581" hidden="1" customWidth="1"/>
    <col min="5888" max="5888" width="10" style="581" bestFit="1" customWidth="1"/>
    <col min="5889" max="5890" width="0" style="581" hidden="1" customWidth="1"/>
    <col min="5891" max="5891" width="15.5703125" style="581" customWidth="1"/>
    <col min="5892" max="5897" width="0" style="581" hidden="1" customWidth="1"/>
    <col min="5898" max="5898" width="18.85546875" style="581" bestFit="1" customWidth="1"/>
    <col min="5899" max="5899" width="6.42578125" style="581" bestFit="1" customWidth="1"/>
    <col min="5900" max="6133" width="11.42578125" style="581"/>
    <col min="6134" max="6134" width="9.7109375" style="581" customWidth="1"/>
    <col min="6135" max="6135" width="7.7109375" style="581" customWidth="1"/>
    <col min="6136" max="6136" width="5.7109375" style="581" customWidth="1"/>
    <col min="6137" max="6137" width="5.42578125" style="581" customWidth="1"/>
    <col min="6138" max="6138" width="4.5703125" style="581" customWidth="1"/>
    <col min="6139" max="6141" width="0" style="581" hidden="1" customWidth="1"/>
    <col min="6142" max="6142" width="5.42578125" style="581" bestFit="1" customWidth="1"/>
    <col min="6143" max="6143" width="0" style="581" hidden="1" customWidth="1"/>
    <col min="6144" max="6144" width="10" style="581" bestFit="1" customWidth="1"/>
    <col min="6145" max="6146" width="0" style="581" hidden="1" customWidth="1"/>
    <col min="6147" max="6147" width="15.5703125" style="581" customWidth="1"/>
    <col min="6148" max="6153" width="0" style="581" hidden="1" customWidth="1"/>
    <col min="6154" max="6154" width="18.85546875" style="581" bestFit="1" customWidth="1"/>
    <col min="6155" max="6155" width="6.42578125" style="581" bestFit="1" customWidth="1"/>
    <col min="6156" max="6389" width="11.42578125" style="581"/>
    <col min="6390" max="6390" width="9.7109375" style="581" customWidth="1"/>
    <col min="6391" max="6391" width="7.7109375" style="581" customWidth="1"/>
    <col min="6392" max="6392" width="5.7109375" style="581" customWidth="1"/>
    <col min="6393" max="6393" width="5.42578125" style="581" customWidth="1"/>
    <col min="6394" max="6394" width="4.5703125" style="581" customWidth="1"/>
    <col min="6395" max="6397" width="0" style="581" hidden="1" customWidth="1"/>
    <col min="6398" max="6398" width="5.42578125" style="581" bestFit="1" customWidth="1"/>
    <col min="6399" max="6399" width="0" style="581" hidden="1" customWidth="1"/>
    <col min="6400" max="6400" width="10" style="581" bestFit="1" customWidth="1"/>
    <col min="6401" max="6402" width="0" style="581" hidden="1" customWidth="1"/>
    <col min="6403" max="6403" width="15.5703125" style="581" customWidth="1"/>
    <col min="6404" max="6409" width="0" style="581" hidden="1" customWidth="1"/>
    <col min="6410" max="6410" width="18.85546875" style="581" bestFit="1" customWidth="1"/>
    <col min="6411" max="6411" width="6.42578125" style="581" bestFit="1" customWidth="1"/>
    <col min="6412" max="6645" width="11.42578125" style="581"/>
    <col min="6646" max="6646" width="9.7109375" style="581" customWidth="1"/>
    <col min="6647" max="6647" width="7.7109375" style="581" customWidth="1"/>
    <col min="6648" max="6648" width="5.7109375" style="581" customWidth="1"/>
    <col min="6649" max="6649" width="5.42578125" style="581" customWidth="1"/>
    <col min="6650" max="6650" width="4.5703125" style="581" customWidth="1"/>
    <col min="6651" max="6653" width="0" style="581" hidden="1" customWidth="1"/>
    <col min="6654" max="6654" width="5.42578125" style="581" bestFit="1" customWidth="1"/>
    <col min="6655" max="6655" width="0" style="581" hidden="1" customWidth="1"/>
    <col min="6656" max="6656" width="10" style="581" bestFit="1" customWidth="1"/>
    <col min="6657" max="6658" width="0" style="581" hidden="1" customWidth="1"/>
    <col min="6659" max="6659" width="15.5703125" style="581" customWidth="1"/>
    <col min="6660" max="6665" width="0" style="581" hidden="1" customWidth="1"/>
    <col min="6666" max="6666" width="18.85546875" style="581" bestFit="1" customWidth="1"/>
    <col min="6667" max="6667" width="6.42578125" style="581" bestFit="1" customWidth="1"/>
    <col min="6668" max="6901" width="11.42578125" style="581"/>
    <col min="6902" max="6902" width="9.7109375" style="581" customWidth="1"/>
    <col min="6903" max="6903" width="7.7109375" style="581" customWidth="1"/>
    <col min="6904" max="6904" width="5.7109375" style="581" customWidth="1"/>
    <col min="6905" max="6905" width="5.42578125" style="581" customWidth="1"/>
    <col min="6906" max="6906" width="4.5703125" style="581" customWidth="1"/>
    <col min="6907" max="6909" width="0" style="581" hidden="1" customWidth="1"/>
    <col min="6910" max="6910" width="5.42578125" style="581" bestFit="1" customWidth="1"/>
    <col min="6911" max="6911" width="0" style="581" hidden="1" customWidth="1"/>
    <col min="6912" max="6912" width="10" style="581" bestFit="1" customWidth="1"/>
    <col min="6913" max="6914" width="0" style="581" hidden="1" customWidth="1"/>
    <col min="6915" max="6915" width="15.5703125" style="581" customWidth="1"/>
    <col min="6916" max="6921" width="0" style="581" hidden="1" customWidth="1"/>
    <col min="6922" max="6922" width="18.85546875" style="581" bestFit="1" customWidth="1"/>
    <col min="6923" max="6923" width="6.42578125" style="581" bestFit="1" customWidth="1"/>
    <col min="6924" max="7157" width="11.42578125" style="581"/>
    <col min="7158" max="7158" width="9.7109375" style="581" customWidth="1"/>
    <col min="7159" max="7159" width="7.7109375" style="581" customWidth="1"/>
    <col min="7160" max="7160" width="5.7109375" style="581" customWidth="1"/>
    <col min="7161" max="7161" width="5.42578125" style="581" customWidth="1"/>
    <col min="7162" max="7162" width="4.5703125" style="581" customWidth="1"/>
    <col min="7163" max="7165" width="0" style="581" hidden="1" customWidth="1"/>
    <col min="7166" max="7166" width="5.42578125" style="581" bestFit="1" customWidth="1"/>
    <col min="7167" max="7167" width="0" style="581" hidden="1" customWidth="1"/>
    <col min="7168" max="7168" width="10" style="581" bestFit="1" customWidth="1"/>
    <col min="7169" max="7170" width="0" style="581" hidden="1" customWidth="1"/>
    <col min="7171" max="7171" width="15.5703125" style="581" customWidth="1"/>
    <col min="7172" max="7177" width="0" style="581" hidden="1" customWidth="1"/>
    <col min="7178" max="7178" width="18.85546875" style="581" bestFit="1" customWidth="1"/>
    <col min="7179" max="7179" width="6.42578125" style="581" bestFit="1" customWidth="1"/>
    <col min="7180" max="7413" width="11.42578125" style="581"/>
    <col min="7414" max="7414" width="9.7109375" style="581" customWidth="1"/>
    <col min="7415" max="7415" width="7.7109375" style="581" customWidth="1"/>
    <col min="7416" max="7416" width="5.7109375" style="581" customWidth="1"/>
    <col min="7417" max="7417" width="5.42578125" style="581" customWidth="1"/>
    <col min="7418" max="7418" width="4.5703125" style="581" customWidth="1"/>
    <col min="7419" max="7421" width="0" style="581" hidden="1" customWidth="1"/>
    <col min="7422" max="7422" width="5.42578125" style="581" bestFit="1" customWidth="1"/>
    <col min="7423" max="7423" width="0" style="581" hidden="1" customWidth="1"/>
    <col min="7424" max="7424" width="10" style="581" bestFit="1" customWidth="1"/>
    <col min="7425" max="7426" width="0" style="581" hidden="1" customWidth="1"/>
    <col min="7427" max="7427" width="15.5703125" style="581" customWidth="1"/>
    <col min="7428" max="7433" width="0" style="581" hidden="1" customWidth="1"/>
    <col min="7434" max="7434" width="18.85546875" style="581" bestFit="1" customWidth="1"/>
    <col min="7435" max="7435" width="6.42578125" style="581" bestFit="1" customWidth="1"/>
    <col min="7436" max="7669" width="11.42578125" style="581"/>
    <col min="7670" max="7670" width="9.7109375" style="581" customWidth="1"/>
    <col min="7671" max="7671" width="7.7109375" style="581" customWidth="1"/>
    <col min="7672" max="7672" width="5.7109375" style="581" customWidth="1"/>
    <col min="7673" max="7673" width="5.42578125" style="581" customWidth="1"/>
    <col min="7674" max="7674" width="4.5703125" style="581" customWidth="1"/>
    <col min="7675" max="7677" width="0" style="581" hidden="1" customWidth="1"/>
    <col min="7678" max="7678" width="5.42578125" style="581" bestFit="1" customWidth="1"/>
    <col min="7679" max="7679" width="0" style="581" hidden="1" customWidth="1"/>
    <col min="7680" max="7680" width="10" style="581" bestFit="1" customWidth="1"/>
    <col min="7681" max="7682" width="0" style="581" hidden="1" customWidth="1"/>
    <col min="7683" max="7683" width="15.5703125" style="581" customWidth="1"/>
    <col min="7684" max="7689" width="0" style="581" hidden="1" customWidth="1"/>
    <col min="7690" max="7690" width="18.85546875" style="581" bestFit="1" customWidth="1"/>
    <col min="7691" max="7691" width="6.42578125" style="581" bestFit="1" customWidth="1"/>
    <col min="7692" max="7925" width="11.42578125" style="581"/>
    <col min="7926" max="7926" width="9.7109375" style="581" customWidth="1"/>
    <col min="7927" max="7927" width="7.7109375" style="581" customWidth="1"/>
    <col min="7928" max="7928" width="5.7109375" style="581" customWidth="1"/>
    <col min="7929" max="7929" width="5.42578125" style="581" customWidth="1"/>
    <col min="7930" max="7930" width="4.5703125" style="581" customWidth="1"/>
    <col min="7931" max="7933" width="0" style="581" hidden="1" customWidth="1"/>
    <col min="7934" max="7934" width="5.42578125" style="581" bestFit="1" customWidth="1"/>
    <col min="7935" max="7935" width="0" style="581" hidden="1" customWidth="1"/>
    <col min="7936" max="7936" width="10" style="581" bestFit="1" customWidth="1"/>
    <col min="7937" max="7938" width="0" style="581" hidden="1" customWidth="1"/>
    <col min="7939" max="7939" width="15.5703125" style="581" customWidth="1"/>
    <col min="7940" max="7945" width="0" style="581" hidden="1" customWidth="1"/>
    <col min="7946" max="7946" width="18.85546875" style="581" bestFit="1" customWidth="1"/>
    <col min="7947" max="7947" width="6.42578125" style="581" bestFit="1" customWidth="1"/>
    <col min="7948" max="8181" width="11.42578125" style="581"/>
    <col min="8182" max="8182" width="9.7109375" style="581" customWidth="1"/>
    <col min="8183" max="8183" width="7.7109375" style="581" customWidth="1"/>
    <col min="8184" max="8184" width="5.7109375" style="581" customWidth="1"/>
    <col min="8185" max="8185" width="5.42578125" style="581" customWidth="1"/>
    <col min="8186" max="8186" width="4.5703125" style="581" customWidth="1"/>
    <col min="8187" max="8189" width="0" style="581" hidden="1" customWidth="1"/>
    <col min="8190" max="8190" width="5.42578125" style="581" bestFit="1" customWidth="1"/>
    <col min="8191" max="8191" width="0" style="581" hidden="1" customWidth="1"/>
    <col min="8192" max="8192" width="10" style="581" bestFit="1" customWidth="1"/>
    <col min="8193" max="8194" width="0" style="581" hidden="1" customWidth="1"/>
    <col min="8195" max="8195" width="15.5703125" style="581" customWidth="1"/>
    <col min="8196" max="8201" width="0" style="581" hidden="1" customWidth="1"/>
    <col min="8202" max="8202" width="18.85546875" style="581" bestFit="1" customWidth="1"/>
    <col min="8203" max="8203" width="6.42578125" style="581" bestFit="1" customWidth="1"/>
    <col min="8204" max="8437" width="11.42578125" style="581"/>
    <col min="8438" max="8438" width="9.7109375" style="581" customWidth="1"/>
    <col min="8439" max="8439" width="7.7109375" style="581" customWidth="1"/>
    <col min="8440" max="8440" width="5.7109375" style="581" customWidth="1"/>
    <col min="8441" max="8441" width="5.42578125" style="581" customWidth="1"/>
    <col min="8442" max="8442" width="4.5703125" style="581" customWidth="1"/>
    <col min="8443" max="8445" width="0" style="581" hidden="1" customWidth="1"/>
    <col min="8446" max="8446" width="5.42578125" style="581" bestFit="1" customWidth="1"/>
    <col min="8447" max="8447" width="0" style="581" hidden="1" customWidth="1"/>
    <col min="8448" max="8448" width="10" style="581" bestFit="1" customWidth="1"/>
    <col min="8449" max="8450" width="0" style="581" hidden="1" customWidth="1"/>
    <col min="8451" max="8451" width="15.5703125" style="581" customWidth="1"/>
    <col min="8452" max="8457" width="0" style="581" hidden="1" customWidth="1"/>
    <col min="8458" max="8458" width="18.85546875" style="581" bestFit="1" customWidth="1"/>
    <col min="8459" max="8459" width="6.42578125" style="581" bestFit="1" customWidth="1"/>
    <col min="8460" max="8693" width="11.42578125" style="581"/>
    <col min="8694" max="8694" width="9.7109375" style="581" customWidth="1"/>
    <col min="8695" max="8695" width="7.7109375" style="581" customWidth="1"/>
    <col min="8696" max="8696" width="5.7109375" style="581" customWidth="1"/>
    <col min="8697" max="8697" width="5.42578125" style="581" customWidth="1"/>
    <col min="8698" max="8698" width="4.5703125" style="581" customWidth="1"/>
    <col min="8699" max="8701" width="0" style="581" hidden="1" customWidth="1"/>
    <col min="8702" max="8702" width="5.42578125" style="581" bestFit="1" customWidth="1"/>
    <col min="8703" max="8703" width="0" style="581" hidden="1" customWidth="1"/>
    <col min="8704" max="8704" width="10" style="581" bestFit="1" customWidth="1"/>
    <col min="8705" max="8706" width="0" style="581" hidden="1" customWidth="1"/>
    <col min="8707" max="8707" width="15.5703125" style="581" customWidth="1"/>
    <col min="8708" max="8713" width="0" style="581" hidden="1" customWidth="1"/>
    <col min="8714" max="8714" width="18.85546875" style="581" bestFit="1" customWidth="1"/>
    <col min="8715" max="8715" width="6.42578125" style="581" bestFit="1" customWidth="1"/>
    <col min="8716" max="8949" width="11.42578125" style="581"/>
    <col min="8950" max="8950" width="9.7109375" style="581" customWidth="1"/>
    <col min="8951" max="8951" width="7.7109375" style="581" customWidth="1"/>
    <col min="8952" max="8952" width="5.7109375" style="581" customWidth="1"/>
    <col min="8953" max="8953" width="5.42578125" style="581" customWidth="1"/>
    <col min="8954" max="8954" width="4.5703125" style="581" customWidth="1"/>
    <col min="8955" max="8957" width="0" style="581" hidden="1" customWidth="1"/>
    <col min="8958" max="8958" width="5.42578125" style="581" bestFit="1" customWidth="1"/>
    <col min="8959" max="8959" width="0" style="581" hidden="1" customWidth="1"/>
    <col min="8960" max="8960" width="10" style="581" bestFit="1" customWidth="1"/>
    <col min="8961" max="8962" width="0" style="581" hidden="1" customWidth="1"/>
    <col min="8963" max="8963" width="15.5703125" style="581" customWidth="1"/>
    <col min="8964" max="8969" width="0" style="581" hidden="1" customWidth="1"/>
    <col min="8970" max="8970" width="18.85546875" style="581" bestFit="1" customWidth="1"/>
    <col min="8971" max="8971" width="6.42578125" style="581" bestFit="1" customWidth="1"/>
    <col min="8972" max="9205" width="11.42578125" style="581"/>
    <col min="9206" max="9206" width="9.7109375" style="581" customWidth="1"/>
    <col min="9207" max="9207" width="7.7109375" style="581" customWidth="1"/>
    <col min="9208" max="9208" width="5.7109375" style="581" customWidth="1"/>
    <col min="9209" max="9209" width="5.42578125" style="581" customWidth="1"/>
    <col min="9210" max="9210" width="4.5703125" style="581" customWidth="1"/>
    <col min="9211" max="9213" width="0" style="581" hidden="1" customWidth="1"/>
    <col min="9214" max="9214" width="5.42578125" style="581" bestFit="1" customWidth="1"/>
    <col min="9215" max="9215" width="0" style="581" hidden="1" customWidth="1"/>
    <col min="9216" max="9216" width="10" style="581" bestFit="1" customWidth="1"/>
    <col min="9217" max="9218" width="0" style="581" hidden="1" customWidth="1"/>
    <col min="9219" max="9219" width="15.5703125" style="581" customWidth="1"/>
    <col min="9220" max="9225" width="0" style="581" hidden="1" customWidth="1"/>
    <col min="9226" max="9226" width="18.85546875" style="581" bestFit="1" customWidth="1"/>
    <col min="9227" max="9227" width="6.42578125" style="581" bestFit="1" customWidth="1"/>
    <col min="9228" max="9461" width="11.42578125" style="581"/>
    <col min="9462" max="9462" width="9.7109375" style="581" customWidth="1"/>
    <col min="9463" max="9463" width="7.7109375" style="581" customWidth="1"/>
    <col min="9464" max="9464" width="5.7109375" style="581" customWidth="1"/>
    <col min="9465" max="9465" width="5.42578125" style="581" customWidth="1"/>
    <col min="9466" max="9466" width="4.5703125" style="581" customWidth="1"/>
    <col min="9467" max="9469" width="0" style="581" hidden="1" customWidth="1"/>
    <col min="9470" max="9470" width="5.42578125" style="581" bestFit="1" customWidth="1"/>
    <col min="9471" max="9471" width="0" style="581" hidden="1" customWidth="1"/>
    <col min="9472" max="9472" width="10" style="581" bestFit="1" customWidth="1"/>
    <col min="9473" max="9474" width="0" style="581" hidden="1" customWidth="1"/>
    <col min="9475" max="9475" width="15.5703125" style="581" customWidth="1"/>
    <col min="9476" max="9481" width="0" style="581" hidden="1" customWidth="1"/>
    <col min="9482" max="9482" width="18.85546875" style="581" bestFit="1" customWidth="1"/>
    <col min="9483" max="9483" width="6.42578125" style="581" bestFit="1" customWidth="1"/>
    <col min="9484" max="9717" width="11.42578125" style="581"/>
    <col min="9718" max="9718" width="9.7109375" style="581" customWidth="1"/>
    <col min="9719" max="9719" width="7.7109375" style="581" customWidth="1"/>
    <col min="9720" max="9720" width="5.7109375" style="581" customWidth="1"/>
    <col min="9721" max="9721" width="5.42578125" style="581" customWidth="1"/>
    <col min="9722" max="9722" width="4.5703125" style="581" customWidth="1"/>
    <col min="9723" max="9725" width="0" style="581" hidden="1" customWidth="1"/>
    <col min="9726" max="9726" width="5.42578125" style="581" bestFit="1" customWidth="1"/>
    <col min="9727" max="9727" width="0" style="581" hidden="1" customWidth="1"/>
    <col min="9728" max="9728" width="10" style="581" bestFit="1" customWidth="1"/>
    <col min="9729" max="9730" width="0" style="581" hidden="1" customWidth="1"/>
    <col min="9731" max="9731" width="15.5703125" style="581" customWidth="1"/>
    <col min="9732" max="9737" width="0" style="581" hidden="1" customWidth="1"/>
    <col min="9738" max="9738" width="18.85546875" style="581" bestFit="1" customWidth="1"/>
    <col min="9739" max="9739" width="6.42578125" style="581" bestFit="1" customWidth="1"/>
    <col min="9740" max="9973" width="11.42578125" style="581"/>
    <col min="9974" max="9974" width="9.7109375" style="581" customWidth="1"/>
    <col min="9975" max="9975" width="7.7109375" style="581" customWidth="1"/>
    <col min="9976" max="9976" width="5.7109375" style="581" customWidth="1"/>
    <col min="9977" max="9977" width="5.42578125" style="581" customWidth="1"/>
    <col min="9978" max="9978" width="4.5703125" style="581" customWidth="1"/>
    <col min="9979" max="9981" width="0" style="581" hidden="1" customWidth="1"/>
    <col min="9982" max="9982" width="5.42578125" style="581" bestFit="1" customWidth="1"/>
    <col min="9983" max="9983" width="0" style="581" hidden="1" customWidth="1"/>
    <col min="9984" max="9984" width="10" style="581" bestFit="1" customWidth="1"/>
    <col min="9985" max="9986" width="0" style="581" hidden="1" customWidth="1"/>
    <col min="9987" max="9987" width="15.5703125" style="581" customWidth="1"/>
    <col min="9988" max="9993" width="0" style="581" hidden="1" customWidth="1"/>
    <col min="9994" max="9994" width="18.85546875" style="581" bestFit="1" customWidth="1"/>
    <col min="9995" max="9995" width="6.42578125" style="581" bestFit="1" customWidth="1"/>
    <col min="9996" max="10229" width="11.42578125" style="581"/>
    <col min="10230" max="10230" width="9.7109375" style="581" customWidth="1"/>
    <col min="10231" max="10231" width="7.7109375" style="581" customWidth="1"/>
    <col min="10232" max="10232" width="5.7109375" style="581" customWidth="1"/>
    <col min="10233" max="10233" width="5.42578125" style="581" customWidth="1"/>
    <col min="10234" max="10234" width="4.5703125" style="581" customWidth="1"/>
    <col min="10235" max="10237" width="0" style="581" hidden="1" customWidth="1"/>
    <col min="10238" max="10238" width="5.42578125" style="581" bestFit="1" customWidth="1"/>
    <col min="10239" max="10239" width="0" style="581" hidden="1" customWidth="1"/>
    <col min="10240" max="10240" width="10" style="581" bestFit="1" customWidth="1"/>
    <col min="10241" max="10242" width="0" style="581" hidden="1" customWidth="1"/>
    <col min="10243" max="10243" width="15.5703125" style="581" customWidth="1"/>
    <col min="10244" max="10249" width="0" style="581" hidden="1" customWidth="1"/>
    <col min="10250" max="10250" width="18.85546875" style="581" bestFit="1" customWidth="1"/>
    <col min="10251" max="10251" width="6.42578125" style="581" bestFit="1" customWidth="1"/>
    <col min="10252" max="10485" width="11.42578125" style="581"/>
    <col min="10486" max="10486" width="9.7109375" style="581" customWidth="1"/>
    <col min="10487" max="10487" width="7.7109375" style="581" customWidth="1"/>
    <col min="10488" max="10488" width="5.7109375" style="581" customWidth="1"/>
    <col min="10489" max="10489" width="5.42578125" style="581" customWidth="1"/>
    <col min="10490" max="10490" width="4.5703125" style="581" customWidth="1"/>
    <col min="10491" max="10493" width="0" style="581" hidden="1" customWidth="1"/>
    <col min="10494" max="10494" width="5.42578125" style="581" bestFit="1" customWidth="1"/>
    <col min="10495" max="10495" width="0" style="581" hidden="1" customWidth="1"/>
    <col min="10496" max="10496" width="10" style="581" bestFit="1" customWidth="1"/>
    <col min="10497" max="10498" width="0" style="581" hidden="1" customWidth="1"/>
    <col min="10499" max="10499" width="15.5703125" style="581" customWidth="1"/>
    <col min="10500" max="10505" width="0" style="581" hidden="1" customWidth="1"/>
    <col min="10506" max="10506" width="18.85546875" style="581" bestFit="1" customWidth="1"/>
    <col min="10507" max="10507" width="6.42578125" style="581" bestFit="1" customWidth="1"/>
    <col min="10508" max="10741" width="11.42578125" style="581"/>
    <col min="10742" max="10742" width="9.7109375" style="581" customWidth="1"/>
    <col min="10743" max="10743" width="7.7109375" style="581" customWidth="1"/>
    <col min="10744" max="10744" width="5.7109375" style="581" customWidth="1"/>
    <col min="10745" max="10745" width="5.42578125" style="581" customWidth="1"/>
    <col min="10746" max="10746" width="4.5703125" style="581" customWidth="1"/>
    <col min="10747" max="10749" width="0" style="581" hidden="1" customWidth="1"/>
    <col min="10750" max="10750" width="5.42578125" style="581" bestFit="1" customWidth="1"/>
    <col min="10751" max="10751" width="0" style="581" hidden="1" customWidth="1"/>
    <col min="10752" max="10752" width="10" style="581" bestFit="1" customWidth="1"/>
    <col min="10753" max="10754" width="0" style="581" hidden="1" customWidth="1"/>
    <col min="10755" max="10755" width="15.5703125" style="581" customWidth="1"/>
    <col min="10756" max="10761" width="0" style="581" hidden="1" customWidth="1"/>
    <col min="10762" max="10762" width="18.85546875" style="581" bestFit="1" customWidth="1"/>
    <col min="10763" max="10763" width="6.42578125" style="581" bestFit="1" customWidth="1"/>
    <col min="10764" max="10997" width="11.42578125" style="581"/>
    <col min="10998" max="10998" width="9.7109375" style="581" customWidth="1"/>
    <col min="10999" max="10999" width="7.7109375" style="581" customWidth="1"/>
    <col min="11000" max="11000" width="5.7109375" style="581" customWidth="1"/>
    <col min="11001" max="11001" width="5.42578125" style="581" customWidth="1"/>
    <col min="11002" max="11002" width="4.5703125" style="581" customWidth="1"/>
    <col min="11003" max="11005" width="0" style="581" hidden="1" customWidth="1"/>
    <col min="11006" max="11006" width="5.42578125" style="581" bestFit="1" customWidth="1"/>
    <col min="11007" max="11007" width="0" style="581" hidden="1" customWidth="1"/>
    <col min="11008" max="11008" width="10" style="581" bestFit="1" customWidth="1"/>
    <col min="11009" max="11010" width="0" style="581" hidden="1" customWidth="1"/>
    <col min="11011" max="11011" width="15.5703125" style="581" customWidth="1"/>
    <col min="11012" max="11017" width="0" style="581" hidden="1" customWidth="1"/>
    <col min="11018" max="11018" width="18.85546875" style="581" bestFit="1" customWidth="1"/>
    <col min="11019" max="11019" width="6.42578125" style="581" bestFit="1" customWidth="1"/>
    <col min="11020" max="11253" width="11.42578125" style="581"/>
    <col min="11254" max="11254" width="9.7109375" style="581" customWidth="1"/>
    <col min="11255" max="11255" width="7.7109375" style="581" customWidth="1"/>
    <col min="11256" max="11256" width="5.7109375" style="581" customWidth="1"/>
    <col min="11257" max="11257" width="5.42578125" style="581" customWidth="1"/>
    <col min="11258" max="11258" width="4.5703125" style="581" customWidth="1"/>
    <col min="11259" max="11261" width="0" style="581" hidden="1" customWidth="1"/>
    <col min="11262" max="11262" width="5.42578125" style="581" bestFit="1" customWidth="1"/>
    <col min="11263" max="11263" width="0" style="581" hidden="1" customWidth="1"/>
    <col min="11264" max="11264" width="10" style="581" bestFit="1" customWidth="1"/>
    <col min="11265" max="11266" width="0" style="581" hidden="1" customWidth="1"/>
    <col min="11267" max="11267" width="15.5703125" style="581" customWidth="1"/>
    <col min="11268" max="11273" width="0" style="581" hidden="1" customWidth="1"/>
    <col min="11274" max="11274" width="18.85546875" style="581" bestFit="1" customWidth="1"/>
    <col min="11275" max="11275" width="6.42578125" style="581" bestFit="1" customWidth="1"/>
    <col min="11276" max="11509" width="11.42578125" style="581"/>
    <col min="11510" max="11510" width="9.7109375" style="581" customWidth="1"/>
    <col min="11511" max="11511" width="7.7109375" style="581" customWidth="1"/>
    <col min="11512" max="11512" width="5.7109375" style="581" customWidth="1"/>
    <col min="11513" max="11513" width="5.42578125" style="581" customWidth="1"/>
    <col min="11514" max="11514" width="4.5703125" style="581" customWidth="1"/>
    <col min="11515" max="11517" width="0" style="581" hidden="1" customWidth="1"/>
    <col min="11518" max="11518" width="5.42578125" style="581" bestFit="1" customWidth="1"/>
    <col min="11519" max="11519" width="0" style="581" hidden="1" customWidth="1"/>
    <col min="11520" max="11520" width="10" style="581" bestFit="1" customWidth="1"/>
    <col min="11521" max="11522" width="0" style="581" hidden="1" customWidth="1"/>
    <col min="11523" max="11523" width="15.5703125" style="581" customWidth="1"/>
    <col min="11524" max="11529" width="0" style="581" hidden="1" customWidth="1"/>
    <col min="11530" max="11530" width="18.85546875" style="581" bestFit="1" customWidth="1"/>
    <col min="11531" max="11531" width="6.42578125" style="581" bestFit="1" customWidth="1"/>
    <col min="11532" max="11765" width="11.42578125" style="581"/>
    <col min="11766" max="11766" width="9.7109375" style="581" customWidth="1"/>
    <col min="11767" max="11767" width="7.7109375" style="581" customWidth="1"/>
    <col min="11768" max="11768" width="5.7109375" style="581" customWidth="1"/>
    <col min="11769" max="11769" width="5.42578125" style="581" customWidth="1"/>
    <col min="11770" max="11770" width="4.5703125" style="581" customWidth="1"/>
    <col min="11771" max="11773" width="0" style="581" hidden="1" customWidth="1"/>
    <col min="11774" max="11774" width="5.42578125" style="581" bestFit="1" customWidth="1"/>
    <col min="11775" max="11775" width="0" style="581" hidden="1" customWidth="1"/>
    <col min="11776" max="11776" width="10" style="581" bestFit="1" customWidth="1"/>
    <col min="11777" max="11778" width="0" style="581" hidden="1" customWidth="1"/>
    <col min="11779" max="11779" width="15.5703125" style="581" customWidth="1"/>
    <col min="11780" max="11785" width="0" style="581" hidden="1" customWidth="1"/>
    <col min="11786" max="11786" width="18.85546875" style="581" bestFit="1" customWidth="1"/>
    <col min="11787" max="11787" width="6.42578125" style="581" bestFit="1" customWidth="1"/>
    <col min="11788" max="12021" width="11.42578125" style="581"/>
    <col min="12022" max="12022" width="9.7109375" style="581" customWidth="1"/>
    <col min="12023" max="12023" width="7.7109375" style="581" customWidth="1"/>
    <col min="12024" max="12024" width="5.7109375" style="581" customWidth="1"/>
    <col min="12025" max="12025" width="5.42578125" style="581" customWidth="1"/>
    <col min="12026" max="12026" width="4.5703125" style="581" customWidth="1"/>
    <col min="12027" max="12029" width="0" style="581" hidden="1" customWidth="1"/>
    <col min="12030" max="12030" width="5.42578125" style="581" bestFit="1" customWidth="1"/>
    <col min="12031" max="12031" width="0" style="581" hidden="1" customWidth="1"/>
    <col min="12032" max="12032" width="10" style="581" bestFit="1" customWidth="1"/>
    <col min="12033" max="12034" width="0" style="581" hidden="1" customWidth="1"/>
    <col min="12035" max="12035" width="15.5703125" style="581" customWidth="1"/>
    <col min="12036" max="12041" width="0" style="581" hidden="1" customWidth="1"/>
    <col min="12042" max="12042" width="18.85546875" style="581" bestFit="1" customWidth="1"/>
    <col min="12043" max="12043" width="6.42578125" style="581" bestFit="1" customWidth="1"/>
    <col min="12044" max="12277" width="11.42578125" style="581"/>
    <col min="12278" max="12278" width="9.7109375" style="581" customWidth="1"/>
    <col min="12279" max="12279" width="7.7109375" style="581" customWidth="1"/>
    <col min="12280" max="12280" width="5.7109375" style="581" customWidth="1"/>
    <col min="12281" max="12281" width="5.42578125" style="581" customWidth="1"/>
    <col min="12282" max="12282" width="4.5703125" style="581" customWidth="1"/>
    <col min="12283" max="12285" width="0" style="581" hidden="1" customWidth="1"/>
    <col min="12286" max="12286" width="5.42578125" style="581" bestFit="1" customWidth="1"/>
    <col min="12287" max="12287" width="0" style="581" hidden="1" customWidth="1"/>
    <col min="12288" max="12288" width="10" style="581" bestFit="1" customWidth="1"/>
    <col min="12289" max="12290" width="0" style="581" hidden="1" customWidth="1"/>
    <col min="12291" max="12291" width="15.5703125" style="581" customWidth="1"/>
    <col min="12292" max="12297" width="0" style="581" hidden="1" customWidth="1"/>
    <col min="12298" max="12298" width="18.85546875" style="581" bestFit="1" customWidth="1"/>
    <col min="12299" max="12299" width="6.42578125" style="581" bestFit="1" customWidth="1"/>
    <col min="12300" max="12533" width="11.42578125" style="581"/>
    <col min="12534" max="12534" width="9.7109375" style="581" customWidth="1"/>
    <col min="12535" max="12535" width="7.7109375" style="581" customWidth="1"/>
    <col min="12536" max="12536" width="5.7109375" style="581" customWidth="1"/>
    <col min="12537" max="12537" width="5.42578125" style="581" customWidth="1"/>
    <col min="12538" max="12538" width="4.5703125" style="581" customWidth="1"/>
    <col min="12539" max="12541" width="0" style="581" hidden="1" customWidth="1"/>
    <col min="12542" max="12542" width="5.42578125" style="581" bestFit="1" customWidth="1"/>
    <col min="12543" max="12543" width="0" style="581" hidden="1" customWidth="1"/>
    <col min="12544" max="12544" width="10" style="581" bestFit="1" customWidth="1"/>
    <col min="12545" max="12546" width="0" style="581" hidden="1" customWidth="1"/>
    <col min="12547" max="12547" width="15.5703125" style="581" customWidth="1"/>
    <col min="12548" max="12553" width="0" style="581" hidden="1" customWidth="1"/>
    <col min="12554" max="12554" width="18.85546875" style="581" bestFit="1" customWidth="1"/>
    <col min="12555" max="12555" width="6.42578125" style="581" bestFit="1" customWidth="1"/>
    <col min="12556" max="12789" width="11.42578125" style="581"/>
    <col min="12790" max="12790" width="9.7109375" style="581" customWidth="1"/>
    <col min="12791" max="12791" width="7.7109375" style="581" customWidth="1"/>
    <col min="12792" max="12792" width="5.7109375" style="581" customWidth="1"/>
    <col min="12793" max="12793" width="5.42578125" style="581" customWidth="1"/>
    <col min="12794" max="12794" width="4.5703125" style="581" customWidth="1"/>
    <col min="12795" max="12797" width="0" style="581" hidden="1" customWidth="1"/>
    <col min="12798" max="12798" width="5.42578125" style="581" bestFit="1" customWidth="1"/>
    <col min="12799" max="12799" width="0" style="581" hidden="1" customWidth="1"/>
    <col min="12800" max="12800" width="10" style="581" bestFit="1" customWidth="1"/>
    <col min="12801" max="12802" width="0" style="581" hidden="1" customWidth="1"/>
    <col min="12803" max="12803" width="15.5703125" style="581" customWidth="1"/>
    <col min="12804" max="12809" width="0" style="581" hidden="1" customWidth="1"/>
    <col min="12810" max="12810" width="18.85546875" style="581" bestFit="1" customWidth="1"/>
    <col min="12811" max="12811" width="6.42578125" style="581" bestFit="1" customWidth="1"/>
    <col min="12812" max="13045" width="11.42578125" style="581"/>
    <col min="13046" max="13046" width="9.7109375" style="581" customWidth="1"/>
    <col min="13047" max="13047" width="7.7109375" style="581" customWidth="1"/>
    <col min="13048" max="13048" width="5.7109375" style="581" customWidth="1"/>
    <col min="13049" max="13049" width="5.42578125" style="581" customWidth="1"/>
    <col min="13050" max="13050" width="4.5703125" style="581" customWidth="1"/>
    <col min="13051" max="13053" width="0" style="581" hidden="1" customWidth="1"/>
    <col min="13054" max="13054" width="5.42578125" style="581" bestFit="1" customWidth="1"/>
    <col min="13055" max="13055" width="0" style="581" hidden="1" customWidth="1"/>
    <col min="13056" max="13056" width="10" style="581" bestFit="1" customWidth="1"/>
    <col min="13057" max="13058" width="0" style="581" hidden="1" customWidth="1"/>
    <col min="13059" max="13059" width="15.5703125" style="581" customWidth="1"/>
    <col min="13060" max="13065" width="0" style="581" hidden="1" customWidth="1"/>
    <col min="13066" max="13066" width="18.85546875" style="581" bestFit="1" customWidth="1"/>
    <col min="13067" max="13067" width="6.42578125" style="581" bestFit="1" customWidth="1"/>
    <col min="13068" max="13301" width="11.42578125" style="581"/>
    <col min="13302" max="13302" width="9.7109375" style="581" customWidth="1"/>
    <col min="13303" max="13303" width="7.7109375" style="581" customWidth="1"/>
    <col min="13304" max="13304" width="5.7109375" style="581" customWidth="1"/>
    <col min="13305" max="13305" width="5.42578125" style="581" customWidth="1"/>
    <col min="13306" max="13306" width="4.5703125" style="581" customWidth="1"/>
    <col min="13307" max="13309" width="0" style="581" hidden="1" customWidth="1"/>
    <col min="13310" max="13310" width="5.42578125" style="581" bestFit="1" customWidth="1"/>
    <col min="13311" max="13311" width="0" style="581" hidden="1" customWidth="1"/>
    <col min="13312" max="13312" width="10" style="581" bestFit="1" customWidth="1"/>
    <col min="13313" max="13314" width="0" style="581" hidden="1" customWidth="1"/>
    <col min="13315" max="13315" width="15.5703125" style="581" customWidth="1"/>
    <col min="13316" max="13321" width="0" style="581" hidden="1" customWidth="1"/>
    <col min="13322" max="13322" width="18.85546875" style="581" bestFit="1" customWidth="1"/>
    <col min="13323" max="13323" width="6.42578125" style="581" bestFit="1" customWidth="1"/>
    <col min="13324" max="13557" width="11.42578125" style="581"/>
    <col min="13558" max="13558" width="9.7109375" style="581" customWidth="1"/>
    <col min="13559" max="13559" width="7.7109375" style="581" customWidth="1"/>
    <col min="13560" max="13560" width="5.7109375" style="581" customWidth="1"/>
    <col min="13561" max="13561" width="5.42578125" style="581" customWidth="1"/>
    <col min="13562" max="13562" width="4.5703125" style="581" customWidth="1"/>
    <col min="13563" max="13565" width="0" style="581" hidden="1" customWidth="1"/>
    <col min="13566" max="13566" width="5.42578125" style="581" bestFit="1" customWidth="1"/>
    <col min="13567" max="13567" width="0" style="581" hidden="1" customWidth="1"/>
    <col min="13568" max="13568" width="10" style="581" bestFit="1" customWidth="1"/>
    <col min="13569" max="13570" width="0" style="581" hidden="1" customWidth="1"/>
    <col min="13571" max="13571" width="15.5703125" style="581" customWidth="1"/>
    <col min="13572" max="13577" width="0" style="581" hidden="1" customWidth="1"/>
    <col min="13578" max="13578" width="18.85546875" style="581" bestFit="1" customWidth="1"/>
    <col min="13579" max="13579" width="6.42578125" style="581" bestFit="1" customWidth="1"/>
    <col min="13580" max="13813" width="11.42578125" style="581"/>
    <col min="13814" max="13814" width="9.7109375" style="581" customWidth="1"/>
    <col min="13815" max="13815" width="7.7109375" style="581" customWidth="1"/>
    <col min="13816" max="13816" width="5.7109375" style="581" customWidth="1"/>
    <col min="13817" max="13817" width="5.42578125" style="581" customWidth="1"/>
    <col min="13818" max="13818" width="4.5703125" style="581" customWidth="1"/>
    <col min="13819" max="13821" width="0" style="581" hidden="1" customWidth="1"/>
    <col min="13822" max="13822" width="5.42578125" style="581" bestFit="1" customWidth="1"/>
    <col min="13823" max="13823" width="0" style="581" hidden="1" customWidth="1"/>
    <col min="13824" max="13824" width="10" style="581" bestFit="1" customWidth="1"/>
    <col min="13825" max="13826" width="0" style="581" hidden="1" customWidth="1"/>
    <col min="13827" max="13827" width="15.5703125" style="581" customWidth="1"/>
    <col min="13828" max="13833" width="0" style="581" hidden="1" customWidth="1"/>
    <col min="13834" max="13834" width="18.85546875" style="581" bestFit="1" customWidth="1"/>
    <col min="13835" max="13835" width="6.42578125" style="581" bestFit="1" customWidth="1"/>
    <col min="13836" max="14069" width="11.42578125" style="581"/>
    <col min="14070" max="14070" width="9.7109375" style="581" customWidth="1"/>
    <col min="14071" max="14071" width="7.7109375" style="581" customWidth="1"/>
    <col min="14072" max="14072" width="5.7109375" style="581" customWidth="1"/>
    <col min="14073" max="14073" width="5.42578125" style="581" customWidth="1"/>
    <col min="14074" max="14074" width="4.5703125" style="581" customWidth="1"/>
    <col min="14075" max="14077" width="0" style="581" hidden="1" customWidth="1"/>
    <col min="14078" max="14078" width="5.42578125" style="581" bestFit="1" customWidth="1"/>
    <col min="14079" max="14079" width="0" style="581" hidden="1" customWidth="1"/>
    <col min="14080" max="14080" width="10" style="581" bestFit="1" customWidth="1"/>
    <col min="14081" max="14082" width="0" style="581" hidden="1" customWidth="1"/>
    <col min="14083" max="14083" width="15.5703125" style="581" customWidth="1"/>
    <col min="14084" max="14089" width="0" style="581" hidden="1" customWidth="1"/>
    <col min="14090" max="14090" width="18.85546875" style="581" bestFit="1" customWidth="1"/>
    <col min="14091" max="14091" width="6.42578125" style="581" bestFit="1" customWidth="1"/>
    <col min="14092" max="14325" width="11.42578125" style="581"/>
    <col min="14326" max="14326" width="9.7109375" style="581" customWidth="1"/>
    <col min="14327" max="14327" width="7.7109375" style="581" customWidth="1"/>
    <col min="14328" max="14328" width="5.7109375" style="581" customWidth="1"/>
    <col min="14329" max="14329" width="5.42578125" style="581" customWidth="1"/>
    <col min="14330" max="14330" width="4.5703125" style="581" customWidth="1"/>
    <col min="14331" max="14333" width="0" style="581" hidden="1" customWidth="1"/>
    <col min="14334" max="14334" width="5.42578125" style="581" bestFit="1" customWidth="1"/>
    <col min="14335" max="14335" width="0" style="581" hidden="1" customWidth="1"/>
    <col min="14336" max="14336" width="10" style="581" bestFit="1" customWidth="1"/>
    <col min="14337" max="14338" width="0" style="581" hidden="1" customWidth="1"/>
    <col min="14339" max="14339" width="15.5703125" style="581" customWidth="1"/>
    <col min="14340" max="14345" width="0" style="581" hidden="1" customWidth="1"/>
    <col min="14346" max="14346" width="18.85546875" style="581" bestFit="1" customWidth="1"/>
    <col min="14347" max="14347" width="6.42578125" style="581" bestFit="1" customWidth="1"/>
    <col min="14348" max="14581" width="11.42578125" style="581"/>
    <col min="14582" max="14582" width="9.7109375" style="581" customWidth="1"/>
    <col min="14583" max="14583" width="7.7109375" style="581" customWidth="1"/>
    <col min="14584" max="14584" width="5.7109375" style="581" customWidth="1"/>
    <col min="14585" max="14585" width="5.42578125" style="581" customWidth="1"/>
    <col min="14586" max="14586" width="4.5703125" style="581" customWidth="1"/>
    <col min="14587" max="14589" width="0" style="581" hidden="1" customWidth="1"/>
    <col min="14590" max="14590" width="5.42578125" style="581" bestFit="1" customWidth="1"/>
    <col min="14591" max="14591" width="0" style="581" hidden="1" customWidth="1"/>
    <col min="14592" max="14592" width="10" style="581" bestFit="1" customWidth="1"/>
    <col min="14593" max="14594" width="0" style="581" hidden="1" customWidth="1"/>
    <col min="14595" max="14595" width="15.5703125" style="581" customWidth="1"/>
    <col min="14596" max="14601" width="0" style="581" hidden="1" customWidth="1"/>
    <col min="14602" max="14602" width="18.85546875" style="581" bestFit="1" customWidth="1"/>
    <col min="14603" max="14603" width="6.42578125" style="581" bestFit="1" customWidth="1"/>
    <col min="14604" max="14837" width="11.42578125" style="581"/>
    <col min="14838" max="14838" width="9.7109375" style="581" customWidth="1"/>
    <col min="14839" max="14839" width="7.7109375" style="581" customWidth="1"/>
    <col min="14840" max="14840" width="5.7109375" style="581" customWidth="1"/>
    <col min="14841" max="14841" width="5.42578125" style="581" customWidth="1"/>
    <col min="14842" max="14842" width="4.5703125" style="581" customWidth="1"/>
    <col min="14843" max="14845" width="0" style="581" hidden="1" customWidth="1"/>
    <col min="14846" max="14846" width="5.42578125" style="581" bestFit="1" customWidth="1"/>
    <col min="14847" max="14847" width="0" style="581" hidden="1" customWidth="1"/>
    <col min="14848" max="14848" width="10" style="581" bestFit="1" customWidth="1"/>
    <col min="14849" max="14850" width="0" style="581" hidden="1" customWidth="1"/>
    <col min="14851" max="14851" width="15.5703125" style="581" customWidth="1"/>
    <col min="14852" max="14857" width="0" style="581" hidden="1" customWidth="1"/>
    <col min="14858" max="14858" width="18.85546875" style="581" bestFit="1" customWidth="1"/>
    <col min="14859" max="14859" width="6.42578125" style="581" bestFit="1" customWidth="1"/>
    <col min="14860" max="15093" width="11.42578125" style="581"/>
    <col min="15094" max="15094" width="9.7109375" style="581" customWidth="1"/>
    <col min="15095" max="15095" width="7.7109375" style="581" customWidth="1"/>
    <col min="15096" max="15096" width="5.7109375" style="581" customWidth="1"/>
    <col min="15097" max="15097" width="5.42578125" style="581" customWidth="1"/>
    <col min="15098" max="15098" width="4.5703125" style="581" customWidth="1"/>
    <col min="15099" max="15101" width="0" style="581" hidden="1" customWidth="1"/>
    <col min="15102" max="15102" width="5.42578125" style="581" bestFit="1" customWidth="1"/>
    <col min="15103" max="15103" width="0" style="581" hidden="1" customWidth="1"/>
    <col min="15104" max="15104" width="10" style="581" bestFit="1" customWidth="1"/>
    <col min="15105" max="15106" width="0" style="581" hidden="1" customWidth="1"/>
    <col min="15107" max="15107" width="15.5703125" style="581" customWidth="1"/>
    <col min="15108" max="15113" width="0" style="581" hidden="1" customWidth="1"/>
    <col min="15114" max="15114" width="18.85546875" style="581" bestFit="1" customWidth="1"/>
    <col min="15115" max="15115" width="6.42578125" style="581" bestFit="1" customWidth="1"/>
    <col min="15116" max="15349" width="11.42578125" style="581"/>
    <col min="15350" max="15350" width="9.7109375" style="581" customWidth="1"/>
    <col min="15351" max="15351" width="7.7109375" style="581" customWidth="1"/>
    <col min="15352" max="15352" width="5.7109375" style="581" customWidth="1"/>
    <col min="15353" max="15353" width="5.42578125" style="581" customWidth="1"/>
    <col min="15354" max="15354" width="4.5703125" style="581" customWidth="1"/>
    <col min="15355" max="15357" width="0" style="581" hidden="1" customWidth="1"/>
    <col min="15358" max="15358" width="5.42578125" style="581" bestFit="1" customWidth="1"/>
    <col min="15359" max="15359" width="0" style="581" hidden="1" customWidth="1"/>
    <col min="15360" max="15360" width="10" style="581" bestFit="1" customWidth="1"/>
    <col min="15361" max="15362" width="0" style="581" hidden="1" customWidth="1"/>
    <col min="15363" max="15363" width="15.5703125" style="581" customWidth="1"/>
    <col min="15364" max="15369" width="0" style="581" hidden="1" customWidth="1"/>
    <col min="15370" max="15370" width="18.85546875" style="581" bestFit="1" customWidth="1"/>
    <col min="15371" max="15371" width="6.42578125" style="581" bestFit="1" customWidth="1"/>
    <col min="15372" max="15605" width="11.42578125" style="581"/>
    <col min="15606" max="15606" width="9.7109375" style="581" customWidth="1"/>
    <col min="15607" max="15607" width="7.7109375" style="581" customWidth="1"/>
    <col min="15608" max="15608" width="5.7109375" style="581" customWidth="1"/>
    <col min="15609" max="15609" width="5.42578125" style="581" customWidth="1"/>
    <col min="15610" max="15610" width="4.5703125" style="581" customWidth="1"/>
    <col min="15611" max="15613" width="0" style="581" hidden="1" customWidth="1"/>
    <col min="15614" max="15614" width="5.42578125" style="581" bestFit="1" customWidth="1"/>
    <col min="15615" max="15615" width="0" style="581" hidden="1" customWidth="1"/>
    <col min="15616" max="15616" width="10" style="581" bestFit="1" customWidth="1"/>
    <col min="15617" max="15618" width="0" style="581" hidden="1" customWidth="1"/>
    <col min="15619" max="15619" width="15.5703125" style="581" customWidth="1"/>
    <col min="15620" max="15625" width="0" style="581" hidden="1" customWidth="1"/>
    <col min="15626" max="15626" width="18.85546875" style="581" bestFit="1" customWidth="1"/>
    <col min="15627" max="15627" width="6.42578125" style="581" bestFit="1" customWidth="1"/>
    <col min="15628" max="15861" width="11.42578125" style="581"/>
    <col min="15862" max="15862" width="9.7109375" style="581" customWidth="1"/>
    <col min="15863" max="15863" width="7.7109375" style="581" customWidth="1"/>
    <col min="15864" max="15864" width="5.7109375" style="581" customWidth="1"/>
    <col min="15865" max="15865" width="5.42578125" style="581" customWidth="1"/>
    <col min="15866" max="15866" width="4.5703125" style="581" customWidth="1"/>
    <col min="15867" max="15869" width="0" style="581" hidden="1" customWidth="1"/>
    <col min="15870" max="15870" width="5.42578125" style="581" bestFit="1" customWidth="1"/>
    <col min="15871" max="15871" width="0" style="581" hidden="1" customWidth="1"/>
    <col min="15872" max="15872" width="10" style="581" bestFit="1" customWidth="1"/>
    <col min="15873" max="15874" width="0" style="581" hidden="1" customWidth="1"/>
    <col min="15875" max="15875" width="15.5703125" style="581" customWidth="1"/>
    <col min="15876" max="15881" width="0" style="581" hidden="1" customWidth="1"/>
    <col min="15882" max="15882" width="18.85546875" style="581" bestFit="1" customWidth="1"/>
    <col min="15883" max="15883" width="6.42578125" style="581" bestFit="1" customWidth="1"/>
    <col min="15884" max="16117" width="11.42578125" style="581"/>
    <col min="16118" max="16118" width="9.7109375" style="581" customWidth="1"/>
    <col min="16119" max="16119" width="7.7109375" style="581" customWidth="1"/>
    <col min="16120" max="16120" width="5.7109375" style="581" customWidth="1"/>
    <col min="16121" max="16121" width="5.42578125" style="581" customWidth="1"/>
    <col min="16122" max="16122" width="4.5703125" style="581" customWidth="1"/>
    <col min="16123" max="16125" width="0" style="581" hidden="1" customWidth="1"/>
    <col min="16126" max="16126" width="5.42578125" style="581" bestFit="1" customWidth="1"/>
    <col min="16127" max="16127" width="0" style="581" hidden="1" customWidth="1"/>
    <col min="16128" max="16128" width="10" style="581" bestFit="1" customWidth="1"/>
    <col min="16129" max="16130" width="0" style="581" hidden="1" customWidth="1"/>
    <col min="16131" max="16131" width="15.5703125" style="581" customWidth="1"/>
    <col min="16132" max="16137" width="0" style="581" hidden="1" customWidth="1"/>
    <col min="16138" max="16138" width="18.85546875" style="581" bestFit="1" customWidth="1"/>
    <col min="16139" max="16139" width="6.42578125" style="581" bestFit="1" customWidth="1"/>
    <col min="16140" max="16384" width="11.42578125" style="581"/>
  </cols>
  <sheetData>
    <row r="1" spans="1:21" ht="15.75">
      <c r="A1" s="871" t="s">
        <v>558</v>
      </c>
      <c r="B1" s="871"/>
      <c r="C1" s="871"/>
      <c r="D1" s="871"/>
      <c r="E1" s="871"/>
      <c r="F1" s="871"/>
      <c r="G1" s="871"/>
      <c r="H1" s="871"/>
      <c r="I1" s="871"/>
      <c r="J1" s="871"/>
      <c r="K1" s="871"/>
      <c r="L1" s="871"/>
      <c r="N1" s="745" t="s">
        <v>559</v>
      </c>
      <c r="O1" s="745"/>
      <c r="P1" s="745"/>
      <c r="Q1" s="745"/>
      <c r="R1" s="745"/>
      <c r="S1" s="745"/>
      <c r="T1" s="745"/>
      <c r="U1" s="745"/>
    </row>
    <row r="2" spans="1:21" ht="31.5">
      <c r="A2" s="582" t="s">
        <v>560</v>
      </c>
      <c r="B2" s="582" t="s">
        <v>561</v>
      </c>
      <c r="C2" s="582" t="s">
        <v>562</v>
      </c>
      <c r="D2" s="582" t="s">
        <v>563</v>
      </c>
      <c r="E2" s="583" t="s">
        <v>564</v>
      </c>
      <c r="F2" s="584" t="s">
        <v>565</v>
      </c>
      <c r="G2" s="584" t="s">
        <v>566</v>
      </c>
      <c r="H2" s="584" t="s">
        <v>138</v>
      </c>
      <c r="I2" s="584" t="s">
        <v>567</v>
      </c>
      <c r="J2" s="584" t="s">
        <v>568</v>
      </c>
      <c r="K2" s="585" t="s">
        <v>21</v>
      </c>
      <c r="L2" s="586" t="s">
        <v>569</v>
      </c>
      <c r="N2" s="559" t="s">
        <v>554</v>
      </c>
      <c r="O2" s="559" t="s">
        <v>570</v>
      </c>
      <c r="P2" s="587" t="s">
        <v>571</v>
      </c>
      <c r="Q2" s="587" t="s">
        <v>572</v>
      </c>
      <c r="R2" s="559" t="s">
        <v>21</v>
      </c>
      <c r="S2" s="559" t="s">
        <v>573</v>
      </c>
      <c r="T2" s="559" t="s">
        <v>574</v>
      </c>
      <c r="U2" s="587" t="s">
        <v>575</v>
      </c>
    </row>
    <row r="3" spans="1:21">
      <c r="A3" s="588" t="s">
        <v>576</v>
      </c>
      <c r="B3" s="588" t="s">
        <v>577</v>
      </c>
      <c r="C3" s="588" t="s">
        <v>578</v>
      </c>
      <c r="D3" s="588" t="s">
        <v>94</v>
      </c>
      <c r="E3" s="589" t="s">
        <v>579</v>
      </c>
      <c r="F3" s="588" t="s">
        <v>580</v>
      </c>
      <c r="G3" s="588" t="s">
        <v>581</v>
      </c>
      <c r="H3" s="588" t="s">
        <v>582</v>
      </c>
      <c r="I3" s="588" t="s">
        <v>583</v>
      </c>
      <c r="J3" s="588" t="s">
        <v>584</v>
      </c>
      <c r="K3" s="588" t="s">
        <v>585</v>
      </c>
      <c r="L3" s="589" t="s">
        <v>586</v>
      </c>
      <c r="N3" s="590">
        <v>0</v>
      </c>
      <c r="O3" s="591">
        <f>N3-0</f>
        <v>0</v>
      </c>
      <c r="P3" s="592">
        <f>(N3+5)/100</f>
        <v>0.05</v>
      </c>
      <c r="Q3" s="593">
        <f>(N3+7)/100</f>
        <v>7.0000000000000007E-2</v>
      </c>
      <c r="R3" s="594">
        <v>0</v>
      </c>
      <c r="S3" s="595">
        <f>R3-0</f>
        <v>0</v>
      </c>
      <c r="T3" s="595"/>
      <c r="U3" s="596">
        <f>R3</f>
        <v>0</v>
      </c>
    </row>
    <row r="4" spans="1:21">
      <c r="A4" s="597">
        <v>70</v>
      </c>
      <c r="B4" s="597">
        <v>1255</v>
      </c>
      <c r="C4" s="598">
        <f>(E4+2)*10</f>
        <v>1200</v>
      </c>
      <c r="D4" s="597">
        <v>1650</v>
      </c>
      <c r="E4" s="598">
        <v>118</v>
      </c>
      <c r="F4" s="599">
        <f t="shared" ref="F4:F67" si="0">B4/2</f>
        <v>627.5</v>
      </c>
      <c r="G4" s="599">
        <f t="shared" ref="G4:G67" si="1">IF(C4=2*F4,0,(F4-C4)/F4)</f>
        <v>-0.91235059760956172</v>
      </c>
      <c r="H4" s="599">
        <f>IF(C4=0,0,IF(C4=2*F4,PI(),ATAN(-G4 / SQRT(-G4 * G4 + 1)) + 2 * ATAN(1)))</f>
        <v>2.7197855821843548</v>
      </c>
      <c r="I4" s="599">
        <f>IF(C4=0,(F4 ^ 2) * (H4) - ((F4 - C4) * SQRT((2 * F4 * C4) - (C4 ^ 2))),IF(C4=2*F4,
(F4 ^ 2) * (H4) - ((F4 - C4) * SQRT((2 * F4 * C4) - (C4 ^ 2))),
(F4 ^ 2) * (H4) - ((F4 - C4) * SQRT((2 * F4 * C4) - (C4 ^ 2)))))</f>
        <v>1218010.484670694</v>
      </c>
      <c r="J4" s="599">
        <f>(I4 * D4) + (PI() * A4 * (C4 ^ 2) * (1 - (C4 / (3 * F4))))</f>
        <v>2124526865.813611</v>
      </c>
      <c r="K4" s="600">
        <f>IF(F4&lt;=0,"Λάθος δεδομένα!",((I4*D4)+(PI()*A4*(C4^2)*(1-(C4/(3*F4)))))/1000000)</f>
        <v>2124.526865813611</v>
      </c>
      <c r="L4" s="601">
        <f>K4-7</f>
        <v>2117.526865813611</v>
      </c>
      <c r="N4" s="590">
        <v>5.5</v>
      </c>
      <c r="O4" s="591">
        <f t="shared" ref="O4" si="2">N4-N3</f>
        <v>5.5</v>
      </c>
      <c r="P4" s="592">
        <f>(N4+5)/100</f>
        <v>0.105</v>
      </c>
      <c r="Q4" s="593">
        <f>(N4+7)/100</f>
        <v>0.125</v>
      </c>
      <c r="R4" s="594">
        <v>50</v>
      </c>
      <c r="S4" s="595">
        <f t="shared" ref="S4" si="3">R4-R3</f>
        <v>50</v>
      </c>
      <c r="T4" s="595">
        <v>112</v>
      </c>
      <c r="U4" s="596">
        <f>T4-50</f>
        <v>62</v>
      </c>
    </row>
    <row r="5" spans="1:21">
      <c r="A5" s="602">
        <v>100</v>
      </c>
      <c r="B5" s="602">
        <v>1255</v>
      </c>
      <c r="C5" s="603">
        <f>(E5+2)*10</f>
        <v>20</v>
      </c>
      <c r="D5" s="602">
        <v>1650</v>
      </c>
      <c r="E5" s="603">
        <v>0</v>
      </c>
      <c r="F5" s="604">
        <f t="shared" si="0"/>
        <v>627.5</v>
      </c>
      <c r="G5" s="604">
        <f t="shared" si="1"/>
        <v>0.96812749003984067</v>
      </c>
      <c r="H5" s="604">
        <f>IF(C5=0,0,IF(C5=2*F5,PI(),ATAN(-G5 / SQRT(-G5 * G5 + 1)) + 2 * ATAN(1)))</f>
        <v>0.25315320804470187</v>
      </c>
      <c r="I5" s="604">
        <f>IF(C5=0,(F5 ^ 2) * (H5) - ((F5 - C5) * SQRT((2 * F5 * C5) - (C5 ^ 2))),IF(C5=2*F5,
(F5 ^ 2) * (H5) - ((F5 - C5) * SQRT((2 * F5 * C5) - (C5 ^ 2))),
(F5 ^ 2) * (H5) - ((F5 - C5) * SQRT((2 * F5 * C5) - (C5 ^ 2)))))</f>
        <v>4204.538478728733</v>
      </c>
      <c r="J5" s="604">
        <f>(I5 * D5) + (PI() * A5 * (C5 ^ 2) * (1 - (C5 / (3 * F5))))</f>
        <v>7061817.1234707711</v>
      </c>
      <c r="K5" s="605">
        <f>IF(F5&lt;=0,"Λάθος δεδομένα!",((I5*D5)+(PI()*A5*(C5^2)*(1-(C5/(3*F5)))))/1000000)</f>
        <v>7.061817123470771</v>
      </c>
      <c r="L5" s="606">
        <f>K5-7</f>
        <v>6.1817123470770952E-2</v>
      </c>
      <c r="N5" s="590">
        <v>9</v>
      </c>
      <c r="O5" s="591">
        <f>N5-N4</f>
        <v>3.5</v>
      </c>
      <c r="P5" s="592">
        <f>(N5+5)/100</f>
        <v>0.14000000000000001</v>
      </c>
      <c r="Q5" s="593">
        <f t="shared" ref="Q5:Q45" si="4">(N5+7)/100</f>
        <v>0.16</v>
      </c>
      <c r="R5" s="594">
        <v>100</v>
      </c>
      <c r="S5" s="595">
        <f>R5-R4</f>
        <v>50</v>
      </c>
      <c r="T5" s="595">
        <v>162</v>
      </c>
      <c r="U5" s="596">
        <f t="shared" ref="U5:U45" si="5">T5-50</f>
        <v>112</v>
      </c>
    </row>
    <row r="6" spans="1:21">
      <c r="A6" s="607">
        <f>$A$5</f>
        <v>100</v>
      </c>
      <c r="B6" s="607">
        <f>$B$5</f>
        <v>1255</v>
      </c>
      <c r="C6" s="603">
        <f t="shared" ref="C6:C69" si="6">(E6+2)*10</f>
        <v>25</v>
      </c>
      <c r="D6" s="607">
        <f>$D$5</f>
        <v>1650</v>
      </c>
      <c r="E6" s="603">
        <v>0.5</v>
      </c>
      <c r="F6" s="604">
        <f t="shared" si="0"/>
        <v>627.5</v>
      </c>
      <c r="G6" s="604">
        <f t="shared" si="1"/>
        <v>0.96015936254980083</v>
      </c>
      <c r="H6" s="604">
        <f t="shared" ref="H6:H69" si="7">IF(C6=0,0,IF(C6=2*F6,PI(),ATAN(-G6 / SQRT(-G6 * G6 + 1)) + 2 * ATAN(1)))</f>
        <v>0.28322440081225331</v>
      </c>
      <c r="I6" s="604">
        <f t="shared" ref="I6:I69" si="8">IF(C6=0,(F6 ^ 2) * (H6) - ((F6 - C6) * SQRT((2 * F6 * C6) - (C6 ^ 2))),IF(C6=2*F6,
(F6 ^ 2) * (H6) - ((F6 - C6) * SQRT((2 * F6 * C6) - (C6 ^ 2))),
(F6 ^ 2) * (H6) - ((F6 - C6) * SQRT((2 * F6 * C6) - (C6 ^ 2)))))</f>
        <v>5868.9185239099752</v>
      </c>
      <c r="J6" s="604">
        <f t="shared" ref="J6:J69" si="9">(I6 * D6) + (PI() * A6 * (C6 ^ 2) * (1 - (C6 / (3 * F6))))</f>
        <v>9877457.5416773241</v>
      </c>
      <c r="K6" s="605">
        <f t="shared" ref="K6:K69" si="10">IF(F6&lt;=0,"Λάθος δεδομένα!",((I6*D6)+(PI()*A6*(C6^2)*(1-(C6/(3*F6)))))/1000000)</f>
        <v>9.8774575416773249</v>
      </c>
      <c r="L6" s="606">
        <f t="shared" ref="L6:L69" si="11">K6-7</f>
        <v>2.8774575416773249</v>
      </c>
      <c r="N6" s="590">
        <v>12</v>
      </c>
      <c r="O6" s="591">
        <f t="shared" ref="O6:O45" si="12">N6-N5</f>
        <v>3</v>
      </c>
      <c r="P6" s="592">
        <f t="shared" ref="P6:P45" si="13">(N6+5)/100</f>
        <v>0.17</v>
      </c>
      <c r="Q6" s="593">
        <f t="shared" si="4"/>
        <v>0.19</v>
      </c>
      <c r="R6" s="594">
        <v>150</v>
      </c>
      <c r="S6" s="595">
        <f t="shared" ref="S6:S45" si="14">R6-R5</f>
        <v>50</v>
      </c>
      <c r="T6" s="595">
        <v>208</v>
      </c>
      <c r="U6" s="596">
        <f t="shared" si="5"/>
        <v>158</v>
      </c>
    </row>
    <row r="7" spans="1:21">
      <c r="A7" s="607">
        <f t="shared" ref="A7:A70" si="15">$A$5</f>
        <v>100</v>
      </c>
      <c r="B7" s="607">
        <f t="shared" ref="B7:B70" si="16">$B$5</f>
        <v>1255</v>
      </c>
      <c r="C7" s="603">
        <f t="shared" si="6"/>
        <v>30</v>
      </c>
      <c r="D7" s="607">
        <f t="shared" ref="D7:D70" si="17">$D$5</f>
        <v>1650</v>
      </c>
      <c r="E7" s="603">
        <v>1</v>
      </c>
      <c r="F7" s="604">
        <f t="shared" si="0"/>
        <v>627.5</v>
      </c>
      <c r="G7" s="604">
        <f t="shared" si="1"/>
        <v>0.952191235059761</v>
      </c>
      <c r="H7" s="604">
        <f t="shared" si="7"/>
        <v>0.31046624256443334</v>
      </c>
      <c r="I7" s="604">
        <f t="shared" si="8"/>
        <v>7705.5435854937969</v>
      </c>
      <c r="J7" s="604">
        <f t="shared" si="9"/>
        <v>12992384.384946443</v>
      </c>
      <c r="K7" s="605">
        <f t="shared" si="10"/>
        <v>12.992384384946444</v>
      </c>
      <c r="L7" s="606">
        <f t="shared" si="11"/>
        <v>5.992384384946444</v>
      </c>
      <c r="N7" s="590">
        <v>14.5</v>
      </c>
      <c r="O7" s="591">
        <f t="shared" si="12"/>
        <v>2.5</v>
      </c>
      <c r="P7" s="592">
        <f t="shared" si="13"/>
        <v>0.19500000000000001</v>
      </c>
      <c r="Q7" s="593">
        <f t="shared" si="4"/>
        <v>0.215</v>
      </c>
      <c r="R7" s="594">
        <v>200</v>
      </c>
      <c r="S7" s="595">
        <f t="shared" si="14"/>
        <v>50</v>
      </c>
      <c r="T7" s="595">
        <v>250</v>
      </c>
      <c r="U7" s="596">
        <f t="shared" si="5"/>
        <v>200</v>
      </c>
    </row>
    <row r="8" spans="1:21">
      <c r="A8" s="607">
        <f t="shared" si="15"/>
        <v>100</v>
      </c>
      <c r="B8" s="607">
        <f t="shared" si="16"/>
        <v>1255</v>
      </c>
      <c r="C8" s="603">
        <f t="shared" si="6"/>
        <v>35</v>
      </c>
      <c r="D8" s="607">
        <f t="shared" si="17"/>
        <v>1650</v>
      </c>
      <c r="E8" s="603">
        <v>1.5</v>
      </c>
      <c r="F8" s="604">
        <f t="shared" si="0"/>
        <v>627.5</v>
      </c>
      <c r="G8" s="604">
        <f t="shared" si="1"/>
        <v>0.94422310756972117</v>
      </c>
      <c r="H8" s="604">
        <f t="shared" si="7"/>
        <v>0.33556893785044095</v>
      </c>
      <c r="I8" s="604">
        <f t="shared" si="8"/>
        <v>9698.295039824603</v>
      </c>
      <c r="J8" s="604">
        <f t="shared" si="9"/>
        <v>16379876.761192467</v>
      </c>
      <c r="K8" s="605">
        <f t="shared" si="10"/>
        <v>16.379876761192467</v>
      </c>
      <c r="L8" s="606">
        <f t="shared" si="11"/>
        <v>9.3798767611924667</v>
      </c>
      <c r="N8" s="590">
        <v>17.5</v>
      </c>
      <c r="O8" s="591">
        <f t="shared" si="12"/>
        <v>3</v>
      </c>
      <c r="P8" s="592">
        <f t="shared" si="13"/>
        <v>0.22500000000000001</v>
      </c>
      <c r="Q8" s="593">
        <f t="shared" si="4"/>
        <v>0.245</v>
      </c>
      <c r="R8" s="594">
        <v>250</v>
      </c>
      <c r="S8" s="595">
        <f t="shared" si="14"/>
        <v>50</v>
      </c>
      <c r="T8" s="595">
        <v>302</v>
      </c>
      <c r="U8" s="596">
        <f t="shared" si="5"/>
        <v>252</v>
      </c>
    </row>
    <row r="9" spans="1:21">
      <c r="A9" s="607">
        <f t="shared" si="15"/>
        <v>100</v>
      </c>
      <c r="B9" s="607">
        <f t="shared" si="16"/>
        <v>1255</v>
      </c>
      <c r="C9" s="603">
        <f t="shared" si="6"/>
        <v>40</v>
      </c>
      <c r="D9" s="607">
        <f t="shared" si="17"/>
        <v>1650</v>
      </c>
      <c r="E9" s="603">
        <v>2</v>
      </c>
      <c r="F9" s="604">
        <f t="shared" si="0"/>
        <v>627.5</v>
      </c>
      <c r="G9" s="604">
        <f t="shared" si="1"/>
        <v>0.93625498007968122</v>
      </c>
      <c r="H9" s="604">
        <f t="shared" si="7"/>
        <v>0.35898192530955941</v>
      </c>
      <c r="I9" s="604">
        <f t="shared" si="8"/>
        <v>11834.606578011677</v>
      </c>
      <c r="J9" s="604">
        <f t="shared" si="9"/>
        <v>20019075.097691789</v>
      </c>
      <c r="K9" s="605">
        <f t="shared" si="10"/>
        <v>20.01907509769179</v>
      </c>
      <c r="L9" s="606">
        <f t="shared" si="11"/>
        <v>13.01907509769179</v>
      </c>
      <c r="N9" s="590">
        <v>20</v>
      </c>
      <c r="O9" s="591">
        <f t="shared" si="12"/>
        <v>2.5</v>
      </c>
      <c r="P9" s="592">
        <f t="shared" si="13"/>
        <v>0.25</v>
      </c>
      <c r="Q9" s="593">
        <f t="shared" si="4"/>
        <v>0.27</v>
      </c>
      <c r="R9" s="594">
        <v>300</v>
      </c>
      <c r="S9" s="595">
        <f t="shared" si="14"/>
        <v>50</v>
      </c>
      <c r="T9" s="595">
        <v>348</v>
      </c>
      <c r="U9" s="596">
        <f t="shared" si="5"/>
        <v>298</v>
      </c>
    </row>
    <row r="10" spans="1:21">
      <c r="A10" s="607">
        <f t="shared" si="15"/>
        <v>100</v>
      </c>
      <c r="B10" s="607">
        <f t="shared" si="16"/>
        <v>1255</v>
      </c>
      <c r="C10" s="603">
        <f t="shared" si="6"/>
        <v>45</v>
      </c>
      <c r="D10" s="607">
        <f t="shared" si="17"/>
        <v>1650</v>
      </c>
      <c r="E10" s="603">
        <v>2.5</v>
      </c>
      <c r="F10" s="604">
        <f t="shared" si="0"/>
        <v>627.5</v>
      </c>
      <c r="G10" s="604">
        <f t="shared" si="1"/>
        <v>0.92828685258964139</v>
      </c>
      <c r="H10" s="604">
        <f t="shared" si="7"/>
        <v>0.38101720620593893</v>
      </c>
      <c r="I10" s="604">
        <f t="shared" si="8"/>
        <v>14104.30528754316</v>
      </c>
      <c r="J10" s="604">
        <f t="shared" si="9"/>
        <v>23893068.925745912</v>
      </c>
      <c r="K10" s="605">
        <f t="shared" si="10"/>
        <v>23.893068925745911</v>
      </c>
      <c r="L10" s="606">
        <f t="shared" si="11"/>
        <v>16.893068925745911</v>
      </c>
      <c r="N10" s="590">
        <v>22.5</v>
      </c>
      <c r="O10" s="591">
        <f t="shared" si="12"/>
        <v>2.5</v>
      </c>
      <c r="P10" s="592">
        <f t="shared" si="13"/>
        <v>0.27500000000000002</v>
      </c>
      <c r="Q10" s="593">
        <f t="shared" si="4"/>
        <v>0.29499999999999998</v>
      </c>
      <c r="R10" s="594">
        <v>350</v>
      </c>
      <c r="S10" s="595">
        <f t="shared" si="14"/>
        <v>50</v>
      </c>
      <c r="T10" s="595">
        <v>396</v>
      </c>
      <c r="U10" s="596">
        <f t="shared" si="5"/>
        <v>346</v>
      </c>
    </row>
    <row r="11" spans="1:21">
      <c r="A11" s="607">
        <f t="shared" si="15"/>
        <v>100</v>
      </c>
      <c r="B11" s="607">
        <f t="shared" si="16"/>
        <v>1255</v>
      </c>
      <c r="C11" s="603">
        <f t="shared" si="6"/>
        <v>50</v>
      </c>
      <c r="D11" s="607">
        <f t="shared" si="17"/>
        <v>1650</v>
      </c>
      <c r="E11" s="603">
        <v>3</v>
      </c>
      <c r="F11" s="604">
        <f t="shared" si="0"/>
        <v>627.5</v>
      </c>
      <c r="G11" s="604">
        <f t="shared" si="1"/>
        <v>0.92031872509960155</v>
      </c>
      <c r="H11" s="604">
        <f t="shared" si="7"/>
        <v>0.40190182014525178</v>
      </c>
      <c r="I11" s="604">
        <f t="shared" si="8"/>
        <v>16498.923033850966</v>
      </c>
      <c r="J11" s="604">
        <f t="shared" si="9"/>
        <v>27987760.660263561</v>
      </c>
      <c r="K11" s="605">
        <f t="shared" si="10"/>
        <v>27.987760660263561</v>
      </c>
      <c r="L11" s="606">
        <f t="shared" si="11"/>
        <v>20.987760660263561</v>
      </c>
      <c r="N11" s="590">
        <v>24.5</v>
      </c>
      <c r="O11" s="591">
        <f t="shared" si="12"/>
        <v>2</v>
      </c>
      <c r="P11" s="592">
        <f t="shared" si="13"/>
        <v>0.29499999999999998</v>
      </c>
      <c r="Q11" s="593">
        <f t="shared" si="4"/>
        <v>0.315</v>
      </c>
      <c r="R11" s="594">
        <v>400</v>
      </c>
      <c r="S11" s="595">
        <f t="shared" si="14"/>
        <v>50</v>
      </c>
      <c r="T11" s="595">
        <v>435</v>
      </c>
      <c r="U11" s="596">
        <f t="shared" si="5"/>
        <v>385</v>
      </c>
    </row>
    <row r="12" spans="1:21">
      <c r="A12" s="607">
        <f t="shared" si="15"/>
        <v>100</v>
      </c>
      <c r="B12" s="607">
        <f t="shared" si="16"/>
        <v>1255</v>
      </c>
      <c r="C12" s="603">
        <f t="shared" si="6"/>
        <v>55</v>
      </c>
      <c r="D12" s="607">
        <f t="shared" si="17"/>
        <v>1650</v>
      </c>
      <c r="E12" s="603">
        <v>3.5</v>
      </c>
      <c r="F12" s="604">
        <f t="shared" si="0"/>
        <v>627.5</v>
      </c>
      <c r="G12" s="604">
        <f t="shared" si="1"/>
        <v>0.91235059760956172</v>
      </c>
      <c r="H12" s="604">
        <f t="shared" si="7"/>
        <v>0.42180707140543805</v>
      </c>
      <c r="I12" s="604">
        <f t="shared" si="8"/>
        <v>19011.257634371781</v>
      </c>
      <c r="J12" s="604">
        <f t="shared" si="9"/>
        <v>32291141.536961351</v>
      </c>
      <c r="K12" s="605">
        <f t="shared" si="10"/>
        <v>32.291141536961348</v>
      </c>
      <c r="L12" s="606">
        <f t="shared" si="11"/>
        <v>25.291141536961348</v>
      </c>
      <c r="N12" s="590">
        <v>27.3</v>
      </c>
      <c r="O12" s="591">
        <f t="shared" si="12"/>
        <v>2.8000000000000007</v>
      </c>
      <c r="P12" s="592">
        <f t="shared" si="13"/>
        <v>0.32299999999999995</v>
      </c>
      <c r="Q12" s="593">
        <f t="shared" si="4"/>
        <v>0.34299999999999997</v>
      </c>
      <c r="R12" s="594">
        <v>450</v>
      </c>
      <c r="S12" s="595">
        <f t="shared" si="14"/>
        <v>50</v>
      </c>
      <c r="T12" s="595">
        <v>491</v>
      </c>
      <c r="U12" s="596">
        <f t="shared" si="5"/>
        <v>441</v>
      </c>
    </row>
    <row r="13" spans="1:21">
      <c r="A13" s="607">
        <f t="shared" si="15"/>
        <v>100</v>
      </c>
      <c r="B13" s="607">
        <f t="shared" si="16"/>
        <v>1255</v>
      </c>
      <c r="C13" s="603">
        <f t="shared" si="6"/>
        <v>60</v>
      </c>
      <c r="D13" s="607">
        <f t="shared" si="17"/>
        <v>1650</v>
      </c>
      <c r="E13" s="603">
        <v>4</v>
      </c>
      <c r="F13" s="604">
        <f t="shared" si="0"/>
        <v>627.5</v>
      </c>
      <c r="G13" s="604">
        <f t="shared" si="1"/>
        <v>0.90438247011952189</v>
      </c>
      <c r="H13" s="604">
        <f t="shared" si="7"/>
        <v>0.44086597728701582</v>
      </c>
      <c r="I13" s="604">
        <f t="shared" si="8"/>
        <v>21635.077996517241</v>
      </c>
      <c r="J13" s="604">
        <f t="shared" si="9"/>
        <v>36792805.09001454</v>
      </c>
      <c r="K13" s="605">
        <f t="shared" si="10"/>
        <v>36.792805090014539</v>
      </c>
      <c r="L13" s="606">
        <f t="shared" si="11"/>
        <v>29.792805090014539</v>
      </c>
      <c r="N13" s="590">
        <v>29.5</v>
      </c>
      <c r="O13" s="591">
        <f t="shared" si="12"/>
        <v>2.1999999999999993</v>
      </c>
      <c r="P13" s="592">
        <f t="shared" si="13"/>
        <v>0.34499999999999997</v>
      </c>
      <c r="Q13" s="593">
        <f t="shared" si="4"/>
        <v>0.36499999999999999</v>
      </c>
      <c r="R13" s="594">
        <v>500</v>
      </c>
      <c r="S13" s="595">
        <f t="shared" si="14"/>
        <v>50</v>
      </c>
      <c r="T13" s="595">
        <v>537</v>
      </c>
      <c r="U13" s="596">
        <f t="shared" si="5"/>
        <v>487</v>
      </c>
    </row>
    <row r="14" spans="1:21">
      <c r="A14" s="607">
        <f t="shared" si="15"/>
        <v>100</v>
      </c>
      <c r="B14" s="607">
        <f t="shared" si="16"/>
        <v>1255</v>
      </c>
      <c r="C14" s="603">
        <f t="shared" si="6"/>
        <v>65</v>
      </c>
      <c r="D14" s="607">
        <f t="shared" si="17"/>
        <v>1650</v>
      </c>
      <c r="E14" s="603">
        <v>4.5</v>
      </c>
      <c r="F14" s="604">
        <f t="shared" si="0"/>
        <v>627.5</v>
      </c>
      <c r="G14" s="604">
        <f t="shared" si="1"/>
        <v>0.89641434262948205</v>
      </c>
      <c r="H14" s="604">
        <f t="shared" si="7"/>
        <v>0.45918426666441503</v>
      </c>
      <c r="I14" s="604">
        <f t="shared" si="8"/>
        <v>24364.91756757957</v>
      </c>
      <c r="J14" s="604">
        <f t="shared" si="9"/>
        <v>41483606.344401389</v>
      </c>
      <c r="K14" s="605">
        <f t="shared" si="10"/>
        <v>41.483606344401387</v>
      </c>
      <c r="L14" s="606">
        <f t="shared" si="11"/>
        <v>34.483606344401387</v>
      </c>
      <c r="N14" s="590">
        <v>32.299999999999997</v>
      </c>
      <c r="O14" s="591">
        <f t="shared" si="12"/>
        <v>2.7999999999999972</v>
      </c>
      <c r="P14" s="592">
        <f t="shared" si="13"/>
        <v>0.373</v>
      </c>
      <c r="Q14" s="593">
        <f t="shared" si="4"/>
        <v>0.39299999999999996</v>
      </c>
      <c r="R14" s="594">
        <v>550</v>
      </c>
      <c r="S14" s="595">
        <f t="shared" si="14"/>
        <v>50</v>
      </c>
      <c r="T14" s="595">
        <v>596</v>
      </c>
      <c r="U14" s="596">
        <f t="shared" si="5"/>
        <v>546</v>
      </c>
    </row>
    <row r="15" spans="1:21">
      <c r="A15" s="607">
        <f t="shared" si="15"/>
        <v>100</v>
      </c>
      <c r="B15" s="607">
        <f t="shared" si="16"/>
        <v>1255</v>
      </c>
      <c r="C15" s="603">
        <f t="shared" si="6"/>
        <v>70</v>
      </c>
      <c r="D15" s="607">
        <f t="shared" si="17"/>
        <v>1650</v>
      </c>
      <c r="E15" s="603">
        <v>5</v>
      </c>
      <c r="F15" s="604">
        <f t="shared" si="0"/>
        <v>627.5</v>
      </c>
      <c r="G15" s="604">
        <f t="shared" si="1"/>
        <v>0.88844621513944222</v>
      </c>
      <c r="H15" s="604">
        <f t="shared" si="7"/>
        <v>0.47684762308074768</v>
      </c>
      <c r="I15" s="604">
        <f t="shared" si="8"/>
        <v>27195.924699040072</v>
      </c>
      <c r="J15" s="604">
        <f t="shared" si="9"/>
        <v>46355414.917012103</v>
      </c>
      <c r="K15" s="605">
        <f t="shared" si="10"/>
        <v>46.355414917012105</v>
      </c>
      <c r="L15" s="606">
        <f t="shared" si="11"/>
        <v>39.355414917012105</v>
      </c>
      <c r="N15" s="590">
        <v>34.5</v>
      </c>
      <c r="O15" s="591">
        <f t="shared" si="12"/>
        <v>2.2000000000000028</v>
      </c>
      <c r="P15" s="592">
        <f t="shared" si="13"/>
        <v>0.39500000000000002</v>
      </c>
      <c r="Q15" s="593">
        <f t="shared" si="4"/>
        <v>0.41499999999999998</v>
      </c>
      <c r="R15" s="594">
        <v>600</v>
      </c>
      <c r="S15" s="595">
        <f t="shared" si="14"/>
        <v>50</v>
      </c>
      <c r="T15" s="595">
        <v>643</v>
      </c>
      <c r="U15" s="596">
        <f t="shared" si="5"/>
        <v>593</v>
      </c>
    </row>
    <row r="16" spans="1:21">
      <c r="A16" s="607">
        <f t="shared" si="15"/>
        <v>100</v>
      </c>
      <c r="B16" s="607">
        <f t="shared" si="16"/>
        <v>1255</v>
      </c>
      <c r="C16" s="603">
        <f t="shared" si="6"/>
        <v>75</v>
      </c>
      <c r="D16" s="607">
        <f t="shared" si="17"/>
        <v>1650</v>
      </c>
      <c r="E16" s="603">
        <v>5.5</v>
      </c>
      <c r="F16" s="604">
        <f t="shared" si="0"/>
        <v>627.5</v>
      </c>
      <c r="G16" s="604">
        <f t="shared" si="1"/>
        <v>0.88047808764940239</v>
      </c>
      <c r="H16" s="604">
        <f t="shared" si="7"/>
        <v>0.49392662978126967</v>
      </c>
      <c r="I16" s="604">
        <f t="shared" si="8"/>
        <v>30123.751191700198</v>
      </c>
      <c r="J16" s="604">
        <f t="shared" si="9"/>
        <v>51400931.116115153</v>
      </c>
      <c r="K16" s="605">
        <f t="shared" si="10"/>
        <v>51.400931116115153</v>
      </c>
      <c r="L16" s="606">
        <f t="shared" si="11"/>
        <v>44.400931116115153</v>
      </c>
      <c r="N16" s="590">
        <v>36.5</v>
      </c>
      <c r="O16" s="591">
        <f t="shared" si="12"/>
        <v>2</v>
      </c>
      <c r="P16" s="592">
        <f t="shared" si="13"/>
        <v>0.41499999999999998</v>
      </c>
      <c r="Q16" s="593">
        <f t="shared" si="4"/>
        <v>0.435</v>
      </c>
      <c r="R16" s="594">
        <v>650</v>
      </c>
      <c r="S16" s="595">
        <f t="shared" si="14"/>
        <v>50</v>
      </c>
      <c r="T16" s="595">
        <v>687</v>
      </c>
      <c r="U16" s="596">
        <f t="shared" si="5"/>
        <v>637</v>
      </c>
    </row>
    <row r="17" spans="1:21">
      <c r="A17" s="607">
        <f t="shared" si="15"/>
        <v>100</v>
      </c>
      <c r="B17" s="607">
        <f t="shared" si="16"/>
        <v>1255</v>
      </c>
      <c r="C17" s="603">
        <f t="shared" si="6"/>
        <v>80</v>
      </c>
      <c r="D17" s="607">
        <f t="shared" si="17"/>
        <v>1650</v>
      </c>
      <c r="E17" s="603">
        <v>6</v>
      </c>
      <c r="F17" s="604">
        <f t="shared" si="0"/>
        <v>627.5</v>
      </c>
      <c r="G17" s="604">
        <f t="shared" si="1"/>
        <v>0.87250996015936255</v>
      </c>
      <c r="H17" s="604">
        <f t="shared" si="7"/>
        <v>0.51048024944261416</v>
      </c>
      <c r="I17" s="604">
        <f t="shared" si="8"/>
        <v>33144.467321111326</v>
      </c>
      <c r="J17" s="604">
        <f t="shared" si="9"/>
        <v>56613545.733316384</v>
      </c>
      <c r="K17" s="605">
        <f t="shared" si="10"/>
        <v>56.613545733316386</v>
      </c>
      <c r="L17" s="606">
        <f t="shared" si="11"/>
        <v>49.613545733316386</v>
      </c>
      <c r="N17" s="590">
        <v>38.700000000000003</v>
      </c>
      <c r="O17" s="591">
        <f t="shared" si="12"/>
        <v>2.2000000000000028</v>
      </c>
      <c r="P17" s="592">
        <f t="shared" si="13"/>
        <v>0.43700000000000006</v>
      </c>
      <c r="Q17" s="593">
        <f t="shared" si="4"/>
        <v>0.45700000000000002</v>
      </c>
      <c r="R17" s="594">
        <v>700</v>
      </c>
      <c r="S17" s="595">
        <f t="shared" si="14"/>
        <v>50</v>
      </c>
      <c r="T17" s="595">
        <v>735</v>
      </c>
      <c r="U17" s="596">
        <f t="shared" si="5"/>
        <v>685</v>
      </c>
    </row>
    <row r="18" spans="1:21">
      <c r="A18" s="607">
        <f t="shared" si="15"/>
        <v>100</v>
      </c>
      <c r="B18" s="607">
        <f t="shared" si="16"/>
        <v>1255</v>
      </c>
      <c r="C18" s="603">
        <f t="shared" si="6"/>
        <v>85</v>
      </c>
      <c r="D18" s="607">
        <f t="shared" si="17"/>
        <v>1650</v>
      </c>
      <c r="E18" s="603">
        <v>6.5</v>
      </c>
      <c r="F18" s="604">
        <f t="shared" si="0"/>
        <v>627.5</v>
      </c>
      <c r="G18" s="604">
        <f t="shared" si="1"/>
        <v>0.86454183266932272</v>
      </c>
      <c r="H18" s="604">
        <f t="shared" si="7"/>
        <v>0.52655833663668683</v>
      </c>
      <c r="I18" s="604">
        <f t="shared" si="8"/>
        <v>36254.495751546405</v>
      </c>
      <c r="J18" s="604">
        <f t="shared" si="9"/>
        <v>61987231.001612246</v>
      </c>
      <c r="K18" s="605">
        <f t="shared" si="10"/>
        <v>61.987231001612244</v>
      </c>
      <c r="L18" s="606">
        <f t="shared" si="11"/>
        <v>54.987231001612244</v>
      </c>
      <c r="N18" s="590">
        <v>41.3</v>
      </c>
      <c r="O18" s="591">
        <f t="shared" si="12"/>
        <v>2.5999999999999943</v>
      </c>
      <c r="P18" s="592">
        <f t="shared" si="13"/>
        <v>0.46299999999999997</v>
      </c>
      <c r="Q18" s="593">
        <f t="shared" si="4"/>
        <v>0.48299999999999998</v>
      </c>
      <c r="R18" s="594">
        <v>750</v>
      </c>
      <c r="S18" s="595">
        <f t="shared" si="14"/>
        <v>50</v>
      </c>
      <c r="T18" s="595">
        <v>793</v>
      </c>
      <c r="U18" s="596">
        <f t="shared" si="5"/>
        <v>743</v>
      </c>
    </row>
    <row r="19" spans="1:21">
      <c r="A19" s="607">
        <f t="shared" si="15"/>
        <v>100</v>
      </c>
      <c r="B19" s="607">
        <f t="shared" si="16"/>
        <v>1255</v>
      </c>
      <c r="C19" s="603">
        <f t="shared" si="6"/>
        <v>90</v>
      </c>
      <c r="D19" s="607">
        <f t="shared" si="17"/>
        <v>1650</v>
      </c>
      <c r="E19" s="603">
        <v>7</v>
      </c>
      <c r="F19" s="604">
        <f t="shared" si="0"/>
        <v>627.5</v>
      </c>
      <c r="G19" s="604">
        <f t="shared" si="1"/>
        <v>0.85657370517928288</v>
      </c>
      <c r="H19" s="604">
        <f t="shared" si="7"/>
        <v>0.54220349259713418</v>
      </c>
      <c r="I19" s="604">
        <f t="shared" si="8"/>
        <v>39450.559251009428</v>
      </c>
      <c r="J19" s="604">
        <f t="shared" si="9"/>
        <v>67516454.325155392</v>
      </c>
      <c r="K19" s="605">
        <f t="shared" si="10"/>
        <v>67.516454325155394</v>
      </c>
      <c r="L19" s="606">
        <f t="shared" si="11"/>
        <v>60.516454325155394</v>
      </c>
      <c r="N19" s="590">
        <v>43.3</v>
      </c>
      <c r="O19" s="591">
        <f t="shared" si="12"/>
        <v>2</v>
      </c>
      <c r="P19" s="592">
        <f t="shared" si="13"/>
        <v>0.48299999999999998</v>
      </c>
      <c r="Q19" s="593">
        <f t="shared" si="4"/>
        <v>0.503</v>
      </c>
      <c r="R19" s="594">
        <v>800</v>
      </c>
      <c r="S19" s="595">
        <f t="shared" si="14"/>
        <v>50</v>
      </c>
      <c r="T19" s="595">
        <v>838</v>
      </c>
      <c r="U19" s="596">
        <f t="shared" si="5"/>
        <v>788</v>
      </c>
    </row>
    <row r="20" spans="1:21">
      <c r="A20" s="607">
        <f t="shared" si="15"/>
        <v>100</v>
      </c>
      <c r="B20" s="607">
        <f t="shared" si="16"/>
        <v>1255</v>
      </c>
      <c r="C20" s="603">
        <f t="shared" si="6"/>
        <v>95</v>
      </c>
      <c r="D20" s="607">
        <f t="shared" si="17"/>
        <v>1650</v>
      </c>
      <c r="E20" s="603">
        <v>7.5</v>
      </c>
      <c r="F20" s="604">
        <f t="shared" si="0"/>
        <v>627.5</v>
      </c>
      <c r="G20" s="604">
        <f t="shared" si="1"/>
        <v>0.84860557768924305</v>
      </c>
      <c r="H20" s="604">
        <f t="shared" si="7"/>
        <v>0.55745246117702685</v>
      </c>
      <c r="I20" s="604">
        <f t="shared" si="8"/>
        <v>42729.63870210477</v>
      </c>
      <c r="J20" s="604">
        <f t="shared" si="9"/>
        <v>73196108.997189105</v>
      </c>
      <c r="K20" s="605">
        <f t="shared" si="10"/>
        <v>73.1961089971891</v>
      </c>
      <c r="L20" s="606">
        <f t="shared" si="11"/>
        <v>66.1961089971891</v>
      </c>
      <c r="N20" s="590">
        <v>45.5</v>
      </c>
      <c r="O20" s="591">
        <f t="shared" si="12"/>
        <v>2.2000000000000028</v>
      </c>
      <c r="P20" s="592">
        <f t="shared" si="13"/>
        <v>0.505</v>
      </c>
      <c r="Q20" s="593">
        <f t="shared" si="4"/>
        <v>0.52500000000000002</v>
      </c>
      <c r="R20" s="594">
        <v>850</v>
      </c>
      <c r="S20" s="595">
        <f t="shared" si="14"/>
        <v>50</v>
      </c>
      <c r="T20" s="595">
        <v>888</v>
      </c>
      <c r="U20" s="596">
        <f t="shared" si="5"/>
        <v>838</v>
      </c>
    </row>
    <row r="21" spans="1:21">
      <c r="A21" s="607">
        <f t="shared" si="15"/>
        <v>100</v>
      </c>
      <c r="B21" s="607">
        <f t="shared" si="16"/>
        <v>1255</v>
      </c>
      <c r="C21" s="603">
        <f t="shared" si="6"/>
        <v>100</v>
      </c>
      <c r="D21" s="607">
        <f t="shared" si="17"/>
        <v>1650</v>
      </c>
      <c r="E21" s="603">
        <v>8</v>
      </c>
      <c r="F21" s="604">
        <f t="shared" si="0"/>
        <v>627.5</v>
      </c>
      <c r="G21" s="604">
        <f t="shared" si="1"/>
        <v>0.84063745019920322</v>
      </c>
      <c r="H21" s="604">
        <f t="shared" si="7"/>
        <v>0.57233719749703749</v>
      </c>
      <c r="I21" s="604">
        <f t="shared" si="8"/>
        <v>46088.938934897044</v>
      </c>
      <c r="J21" s="604">
        <f t="shared" si="9"/>
        <v>79021457.824266076</v>
      </c>
      <c r="K21" s="605">
        <f t="shared" si="10"/>
        <v>79.021457824266079</v>
      </c>
      <c r="L21" s="606">
        <f t="shared" si="11"/>
        <v>72.021457824266079</v>
      </c>
      <c r="N21" s="590">
        <v>48</v>
      </c>
      <c r="O21" s="591">
        <f t="shared" si="12"/>
        <v>2.5</v>
      </c>
      <c r="P21" s="592">
        <f t="shared" si="13"/>
        <v>0.53</v>
      </c>
      <c r="Q21" s="593">
        <f t="shared" si="4"/>
        <v>0.55000000000000004</v>
      </c>
      <c r="R21" s="594">
        <v>900</v>
      </c>
      <c r="S21" s="595">
        <f t="shared" si="14"/>
        <v>50</v>
      </c>
      <c r="T21" s="595">
        <v>946</v>
      </c>
      <c r="U21" s="596">
        <f t="shared" si="5"/>
        <v>896</v>
      </c>
    </row>
    <row r="22" spans="1:21">
      <c r="A22" s="607">
        <f t="shared" si="15"/>
        <v>100</v>
      </c>
      <c r="B22" s="607">
        <f t="shared" si="16"/>
        <v>1255</v>
      </c>
      <c r="C22" s="603">
        <f t="shared" si="6"/>
        <v>105</v>
      </c>
      <c r="D22" s="607">
        <f t="shared" si="17"/>
        <v>1650</v>
      </c>
      <c r="E22" s="603">
        <v>8.5</v>
      </c>
      <c r="F22" s="604">
        <f t="shared" si="0"/>
        <v>627.5</v>
      </c>
      <c r="G22" s="604">
        <f t="shared" si="1"/>
        <v>0.83266932270916338</v>
      </c>
      <c r="H22" s="604">
        <f t="shared" si="7"/>
        <v>0.58688569844080263</v>
      </c>
      <c r="I22" s="604">
        <f t="shared" si="8"/>
        <v>49525.86059848842</v>
      </c>
      <c r="J22" s="604">
        <f t="shared" si="9"/>
        <v>84988086.714350969</v>
      </c>
      <c r="K22" s="605">
        <f t="shared" si="10"/>
        <v>84.98808671435097</v>
      </c>
      <c r="L22" s="606">
        <f t="shared" si="11"/>
        <v>77.98808671435097</v>
      </c>
      <c r="N22" s="590">
        <v>50.3</v>
      </c>
      <c r="O22" s="591">
        <f t="shared" si="12"/>
        <v>2.2999999999999972</v>
      </c>
      <c r="P22" s="592">
        <f t="shared" si="13"/>
        <v>0.55299999999999994</v>
      </c>
      <c r="Q22" s="593">
        <f t="shared" si="4"/>
        <v>0.57299999999999995</v>
      </c>
      <c r="R22" s="594">
        <v>950</v>
      </c>
      <c r="S22" s="595">
        <f t="shared" si="14"/>
        <v>50</v>
      </c>
      <c r="T22" s="595">
        <v>999</v>
      </c>
      <c r="U22" s="596">
        <f t="shared" si="5"/>
        <v>949</v>
      </c>
    </row>
    <row r="23" spans="1:21">
      <c r="A23" s="607">
        <f t="shared" si="15"/>
        <v>100</v>
      </c>
      <c r="B23" s="607">
        <f t="shared" si="16"/>
        <v>1255</v>
      </c>
      <c r="C23" s="603">
        <f t="shared" si="6"/>
        <v>110</v>
      </c>
      <c r="D23" s="607">
        <f t="shared" si="17"/>
        <v>1650</v>
      </c>
      <c r="E23" s="603">
        <v>9</v>
      </c>
      <c r="F23" s="604">
        <f t="shared" si="0"/>
        <v>627.5</v>
      </c>
      <c r="G23" s="604">
        <f t="shared" si="1"/>
        <v>0.82470119521912355</v>
      </c>
      <c r="H23" s="604">
        <f t="shared" si="7"/>
        <v>0.60112265680379795</v>
      </c>
      <c r="I23" s="604">
        <f t="shared" si="8"/>
        <v>53037.97676161147</v>
      </c>
      <c r="J23" s="604">
        <f t="shared" si="9"/>
        <v>91091866.067798555</v>
      </c>
      <c r="K23" s="605">
        <f t="shared" si="10"/>
        <v>91.091866067798549</v>
      </c>
      <c r="L23" s="606">
        <f t="shared" si="11"/>
        <v>84.091866067798549</v>
      </c>
      <c r="N23" s="590">
        <v>52.5</v>
      </c>
      <c r="O23" s="591">
        <f t="shared" si="12"/>
        <v>2.2000000000000028</v>
      </c>
      <c r="P23" s="592">
        <f t="shared" si="13"/>
        <v>0.57499999999999996</v>
      </c>
      <c r="Q23" s="593">
        <f t="shared" si="4"/>
        <v>0.59499999999999997</v>
      </c>
      <c r="R23" s="594">
        <v>1000</v>
      </c>
      <c r="S23" s="595">
        <f t="shared" si="14"/>
        <v>50</v>
      </c>
      <c r="T23" s="595">
        <v>1049</v>
      </c>
      <c r="U23" s="596">
        <f t="shared" si="5"/>
        <v>999</v>
      </c>
    </row>
    <row r="24" spans="1:21">
      <c r="A24" s="607">
        <f t="shared" si="15"/>
        <v>100</v>
      </c>
      <c r="B24" s="607">
        <f t="shared" si="16"/>
        <v>1255</v>
      </c>
      <c r="C24" s="603">
        <f t="shared" si="6"/>
        <v>115</v>
      </c>
      <c r="D24" s="607">
        <f t="shared" si="17"/>
        <v>1650</v>
      </c>
      <c r="E24" s="603">
        <v>9.5</v>
      </c>
      <c r="F24" s="604">
        <f t="shared" si="0"/>
        <v>627.5</v>
      </c>
      <c r="G24" s="604">
        <f t="shared" si="1"/>
        <v>0.81673306772908372</v>
      </c>
      <c r="H24" s="604">
        <f t="shared" si="7"/>
        <v>0.61506998279789771</v>
      </c>
      <c r="I24" s="604">
        <f t="shared" si="8"/>
        <v>56623.013264190085</v>
      </c>
      <c r="J24" s="604">
        <f t="shared" si="9"/>
        <v>97328918.357429385</v>
      </c>
      <c r="K24" s="605">
        <f t="shared" si="10"/>
        <v>97.328918357429387</v>
      </c>
      <c r="L24" s="606">
        <f t="shared" si="11"/>
        <v>90.328918357429387</v>
      </c>
      <c r="N24" s="590">
        <v>54.5</v>
      </c>
      <c r="O24" s="591">
        <f t="shared" si="12"/>
        <v>2</v>
      </c>
      <c r="P24" s="592">
        <f t="shared" si="13"/>
        <v>0.59499999999999997</v>
      </c>
      <c r="Q24" s="593">
        <f t="shared" si="4"/>
        <v>0.61499999999999999</v>
      </c>
      <c r="R24" s="594">
        <v>1050</v>
      </c>
      <c r="S24" s="595">
        <f t="shared" si="14"/>
        <v>50</v>
      </c>
      <c r="T24" s="595">
        <v>1096</v>
      </c>
      <c r="U24" s="596">
        <f t="shared" si="5"/>
        <v>1046</v>
      </c>
    </row>
    <row r="25" spans="1:21">
      <c r="A25" s="607">
        <f t="shared" si="15"/>
        <v>100</v>
      </c>
      <c r="B25" s="607">
        <f t="shared" si="16"/>
        <v>1255</v>
      </c>
      <c r="C25" s="603">
        <f t="shared" si="6"/>
        <v>120</v>
      </c>
      <c r="D25" s="607">
        <f t="shared" si="17"/>
        <v>1650</v>
      </c>
      <c r="E25" s="603">
        <v>10</v>
      </c>
      <c r="F25" s="604">
        <f t="shared" si="0"/>
        <v>627.5</v>
      </c>
      <c r="G25" s="604">
        <f t="shared" si="1"/>
        <v>0.80876494023904377</v>
      </c>
      <c r="H25" s="604">
        <f t="shared" si="7"/>
        <v>0.62874722436547537</v>
      </c>
      <c r="I25" s="604">
        <f t="shared" si="8"/>
        <v>60278.832078511972</v>
      </c>
      <c r="J25" s="604">
        <f t="shared" si="9"/>
        <v>103695590.67446421</v>
      </c>
      <c r="K25" s="605">
        <f t="shared" si="10"/>
        <v>103.69559067446421</v>
      </c>
      <c r="L25" s="606">
        <f t="shared" si="11"/>
        <v>96.695590674464214</v>
      </c>
      <c r="N25" s="590">
        <v>56.7</v>
      </c>
      <c r="O25" s="591">
        <f t="shared" si="12"/>
        <v>2.2000000000000028</v>
      </c>
      <c r="P25" s="592">
        <f t="shared" si="13"/>
        <v>0.61699999999999999</v>
      </c>
      <c r="Q25" s="593">
        <f t="shared" si="4"/>
        <v>0.63700000000000001</v>
      </c>
      <c r="R25" s="594">
        <v>1100</v>
      </c>
      <c r="S25" s="595">
        <f t="shared" si="14"/>
        <v>50</v>
      </c>
      <c r="T25" s="595">
        <v>1147</v>
      </c>
      <c r="U25" s="596">
        <f t="shared" si="5"/>
        <v>1097</v>
      </c>
    </row>
    <row r="26" spans="1:21">
      <c r="A26" s="607">
        <f t="shared" si="15"/>
        <v>100</v>
      </c>
      <c r="B26" s="607">
        <f t="shared" si="16"/>
        <v>1255</v>
      </c>
      <c r="C26" s="603">
        <f t="shared" si="6"/>
        <v>125</v>
      </c>
      <c r="D26" s="607">
        <f t="shared" si="17"/>
        <v>1650</v>
      </c>
      <c r="E26" s="603">
        <v>10.5</v>
      </c>
      <c r="F26" s="604">
        <f t="shared" si="0"/>
        <v>627.5</v>
      </c>
      <c r="G26" s="604">
        <f t="shared" si="1"/>
        <v>0.80079681274900394</v>
      </c>
      <c r="H26" s="604">
        <f t="shared" si="7"/>
        <v>0.6421719093062016</v>
      </c>
      <c r="I26" s="604">
        <f t="shared" si="8"/>
        <v>64003.417110440379</v>
      </c>
      <c r="J26" s="604">
        <f t="shared" si="9"/>
        <v>110188431.30052349</v>
      </c>
      <c r="K26" s="605">
        <f t="shared" si="10"/>
        <v>110.18843130052349</v>
      </c>
      <c r="L26" s="606">
        <f t="shared" si="11"/>
        <v>103.18843130052349</v>
      </c>
      <c r="N26" s="590">
        <v>59</v>
      </c>
      <c r="O26" s="591">
        <f t="shared" si="12"/>
        <v>2.2999999999999972</v>
      </c>
      <c r="P26" s="592">
        <f t="shared" si="13"/>
        <v>0.64</v>
      </c>
      <c r="Q26" s="593">
        <f t="shared" si="4"/>
        <v>0.66</v>
      </c>
      <c r="R26" s="594">
        <v>1150</v>
      </c>
      <c r="S26" s="595">
        <f t="shared" si="14"/>
        <v>50</v>
      </c>
      <c r="T26" s="595">
        <v>1200</v>
      </c>
      <c r="U26" s="596">
        <f t="shared" si="5"/>
        <v>1150</v>
      </c>
    </row>
    <row r="27" spans="1:21">
      <c r="A27" s="607">
        <f t="shared" si="15"/>
        <v>100</v>
      </c>
      <c r="B27" s="607">
        <f t="shared" si="16"/>
        <v>1255</v>
      </c>
      <c r="C27" s="603">
        <f t="shared" si="6"/>
        <v>130</v>
      </c>
      <c r="D27" s="607">
        <f t="shared" si="17"/>
        <v>1650</v>
      </c>
      <c r="E27" s="603">
        <v>11</v>
      </c>
      <c r="F27" s="604">
        <f t="shared" si="0"/>
        <v>627.5</v>
      </c>
      <c r="G27" s="604">
        <f t="shared" si="1"/>
        <v>0.79282868525896411</v>
      </c>
      <c r="H27" s="604">
        <f t="shared" si="7"/>
        <v>0.65535982628500433</v>
      </c>
      <c r="I27" s="604">
        <f t="shared" si="8"/>
        <v>67794.861997703963</v>
      </c>
      <c r="J27" s="604">
        <f t="shared" si="9"/>
        <v>116804169.57480556</v>
      </c>
      <c r="K27" s="605">
        <f t="shared" si="10"/>
        <v>116.80416957480556</v>
      </c>
      <c r="L27" s="606">
        <f t="shared" si="11"/>
        <v>109.80416957480556</v>
      </c>
      <c r="N27" s="590">
        <v>61</v>
      </c>
      <c r="O27" s="591">
        <f t="shared" si="12"/>
        <v>2</v>
      </c>
      <c r="P27" s="592">
        <f t="shared" si="13"/>
        <v>0.66</v>
      </c>
      <c r="Q27" s="593">
        <f t="shared" si="4"/>
        <v>0.68</v>
      </c>
      <c r="R27" s="594">
        <v>1200</v>
      </c>
      <c r="S27" s="595">
        <f t="shared" si="14"/>
        <v>50</v>
      </c>
      <c r="T27" s="595">
        <v>1247</v>
      </c>
      <c r="U27" s="596">
        <f t="shared" si="5"/>
        <v>1197</v>
      </c>
    </row>
    <row r="28" spans="1:21">
      <c r="A28" s="607">
        <f t="shared" si="15"/>
        <v>100</v>
      </c>
      <c r="B28" s="607">
        <f t="shared" si="16"/>
        <v>1255</v>
      </c>
      <c r="C28" s="603">
        <f t="shared" si="6"/>
        <v>135</v>
      </c>
      <c r="D28" s="607">
        <f t="shared" si="17"/>
        <v>1650</v>
      </c>
      <c r="E28" s="603">
        <v>11.5</v>
      </c>
      <c r="F28" s="604">
        <f t="shared" si="0"/>
        <v>627.5</v>
      </c>
      <c r="G28" s="604">
        <f t="shared" si="1"/>
        <v>0.78486055776892427</v>
      </c>
      <c r="H28" s="604">
        <f t="shared" si="7"/>
        <v>0.66832525755428196</v>
      </c>
      <c r="I28" s="604">
        <f t="shared" si="8"/>
        <v>71651.359556905925</v>
      </c>
      <c r="J28" s="604">
        <f t="shared" si="9"/>
        <v>123539698.48165177</v>
      </c>
      <c r="K28" s="605">
        <f t="shared" si="10"/>
        <v>123.53969848165177</v>
      </c>
      <c r="L28" s="606">
        <f t="shared" si="11"/>
        <v>116.53969848165177</v>
      </c>
      <c r="N28" s="590">
        <v>63.5</v>
      </c>
      <c r="O28" s="591">
        <f t="shared" si="12"/>
        <v>2.5</v>
      </c>
      <c r="P28" s="592">
        <f t="shared" si="13"/>
        <v>0.68500000000000005</v>
      </c>
      <c r="Q28" s="593">
        <f t="shared" si="4"/>
        <v>0.70499999999999996</v>
      </c>
      <c r="R28" s="594">
        <v>1250</v>
      </c>
      <c r="S28" s="595">
        <f t="shared" si="14"/>
        <v>50</v>
      </c>
      <c r="T28" s="595">
        <v>1304</v>
      </c>
      <c r="U28" s="596">
        <f t="shared" si="5"/>
        <v>1254</v>
      </c>
    </row>
    <row r="29" spans="1:21">
      <c r="A29" s="607">
        <f t="shared" si="15"/>
        <v>100</v>
      </c>
      <c r="B29" s="607">
        <f t="shared" si="16"/>
        <v>1255</v>
      </c>
      <c r="C29" s="603">
        <f t="shared" si="6"/>
        <v>140</v>
      </c>
      <c r="D29" s="607">
        <f t="shared" si="17"/>
        <v>1650</v>
      </c>
      <c r="E29" s="603">
        <v>12</v>
      </c>
      <c r="F29" s="604">
        <f t="shared" si="0"/>
        <v>627.5</v>
      </c>
      <c r="G29" s="604">
        <f t="shared" si="1"/>
        <v>0.77689243027888444</v>
      </c>
      <c r="H29" s="604">
        <f t="shared" si="7"/>
        <v>0.68108117315623828</v>
      </c>
      <c r="I29" s="604">
        <f t="shared" si="8"/>
        <v>75571.192602501542</v>
      </c>
      <c r="J29" s="604">
        <f t="shared" si="9"/>
        <v>130392059.5018594</v>
      </c>
      <c r="K29" s="605">
        <f t="shared" si="10"/>
        <v>130.39205950185939</v>
      </c>
      <c r="L29" s="606">
        <f t="shared" si="11"/>
        <v>123.39205950185939</v>
      </c>
      <c r="N29" s="590">
        <v>66</v>
      </c>
      <c r="O29" s="591">
        <f t="shared" si="12"/>
        <v>2.5</v>
      </c>
      <c r="P29" s="592">
        <f t="shared" si="13"/>
        <v>0.71</v>
      </c>
      <c r="Q29" s="593">
        <f t="shared" si="4"/>
        <v>0.73</v>
      </c>
      <c r="R29" s="594">
        <v>1300</v>
      </c>
      <c r="S29" s="595">
        <f t="shared" si="14"/>
        <v>50</v>
      </c>
      <c r="T29" s="595">
        <v>1362</v>
      </c>
      <c r="U29" s="596">
        <f t="shared" si="5"/>
        <v>1312</v>
      </c>
    </row>
    <row r="30" spans="1:21">
      <c r="A30" s="607">
        <f t="shared" si="15"/>
        <v>100</v>
      </c>
      <c r="B30" s="607">
        <f t="shared" si="16"/>
        <v>1255</v>
      </c>
      <c r="C30" s="603">
        <f t="shared" si="6"/>
        <v>145</v>
      </c>
      <c r="D30" s="607">
        <f t="shared" si="17"/>
        <v>1650</v>
      </c>
      <c r="E30" s="603">
        <v>12.5</v>
      </c>
      <c r="F30" s="604">
        <f t="shared" si="0"/>
        <v>627.5</v>
      </c>
      <c r="G30" s="604">
        <f t="shared" si="1"/>
        <v>0.7689243027888446</v>
      </c>
      <c r="H30" s="604">
        <f t="shared" si="7"/>
        <v>0.69363939411986231</v>
      </c>
      <c r="I30" s="604">
        <f t="shared" si="8"/>
        <v>79552.725915805087</v>
      </c>
      <c r="J30" s="604">
        <f t="shared" si="9"/>
        <v>137358429.36154309</v>
      </c>
      <c r="K30" s="605">
        <f t="shared" si="10"/>
        <v>137.3584293615431</v>
      </c>
      <c r="L30" s="606">
        <f t="shared" si="11"/>
        <v>130.3584293615431</v>
      </c>
      <c r="N30" s="590">
        <v>68.3</v>
      </c>
      <c r="O30" s="591">
        <f t="shared" si="12"/>
        <v>2.2999999999999972</v>
      </c>
      <c r="P30" s="592">
        <f t="shared" si="13"/>
        <v>0.73299999999999998</v>
      </c>
      <c r="Q30" s="593">
        <f t="shared" si="4"/>
        <v>0.753</v>
      </c>
      <c r="R30" s="594">
        <v>1350</v>
      </c>
      <c r="S30" s="595">
        <f t="shared" si="14"/>
        <v>50</v>
      </c>
      <c r="T30" s="595">
        <v>1414</v>
      </c>
      <c r="U30" s="596">
        <f t="shared" si="5"/>
        <v>1364</v>
      </c>
    </row>
    <row r="31" spans="1:21">
      <c r="A31" s="607">
        <f t="shared" si="15"/>
        <v>100</v>
      </c>
      <c r="B31" s="607">
        <f t="shared" si="16"/>
        <v>1255</v>
      </c>
      <c r="C31" s="603">
        <f t="shared" si="6"/>
        <v>150</v>
      </c>
      <c r="D31" s="607">
        <f t="shared" si="17"/>
        <v>1650</v>
      </c>
      <c r="E31" s="603">
        <v>13</v>
      </c>
      <c r="F31" s="604">
        <f t="shared" si="0"/>
        <v>627.5</v>
      </c>
      <c r="G31" s="604">
        <f t="shared" si="1"/>
        <v>0.76095617529880477</v>
      </c>
      <c r="H31" s="604">
        <f t="shared" si="7"/>
        <v>0.70601073049409757</v>
      </c>
      <c r="I31" s="604">
        <f t="shared" si="8"/>
        <v>83594.399184513692</v>
      </c>
      <c r="J31" s="604">
        <f t="shared" si="9"/>
        <v>144436108.38234916</v>
      </c>
      <c r="K31" s="605">
        <f t="shared" si="10"/>
        <v>144.43610838234918</v>
      </c>
      <c r="L31" s="606">
        <f t="shared" si="11"/>
        <v>137.43610838234918</v>
      </c>
      <c r="N31" s="590">
        <v>70.5</v>
      </c>
      <c r="O31" s="591">
        <f t="shared" si="12"/>
        <v>2.2000000000000028</v>
      </c>
      <c r="P31" s="592">
        <f t="shared" si="13"/>
        <v>0.755</v>
      </c>
      <c r="Q31" s="593">
        <f t="shared" si="4"/>
        <v>0.77500000000000002</v>
      </c>
      <c r="R31" s="594">
        <v>1400</v>
      </c>
      <c r="S31" s="595">
        <f t="shared" si="14"/>
        <v>50</v>
      </c>
      <c r="T31" s="595">
        <v>1464</v>
      </c>
      <c r="U31" s="596">
        <f t="shared" si="5"/>
        <v>1414</v>
      </c>
    </row>
    <row r="32" spans="1:21">
      <c r="A32" s="607">
        <f t="shared" si="15"/>
        <v>100</v>
      </c>
      <c r="B32" s="607">
        <f t="shared" si="16"/>
        <v>1255</v>
      </c>
      <c r="C32" s="603">
        <f t="shared" si="6"/>
        <v>155</v>
      </c>
      <c r="D32" s="607">
        <f t="shared" si="17"/>
        <v>1650</v>
      </c>
      <c r="E32" s="603">
        <v>13.5</v>
      </c>
      <c r="F32" s="604">
        <f t="shared" si="0"/>
        <v>627.5</v>
      </c>
      <c r="G32" s="604">
        <f t="shared" si="1"/>
        <v>0.75298804780876494</v>
      </c>
      <c r="H32" s="604">
        <f t="shared" si="7"/>
        <v>0.71820509880128636</v>
      </c>
      <c r="I32" s="604">
        <f t="shared" si="8"/>
        <v>87694.720766382641</v>
      </c>
      <c r="J32" s="604">
        <f t="shared" si="9"/>
        <v>151622510.19151992</v>
      </c>
      <c r="K32" s="605">
        <f t="shared" si="10"/>
        <v>151.62251019151992</v>
      </c>
      <c r="L32" s="606">
        <f t="shared" si="11"/>
        <v>144.62251019151992</v>
      </c>
      <c r="N32" s="590">
        <v>73.3</v>
      </c>
      <c r="O32" s="591">
        <f t="shared" si="12"/>
        <v>2.7999999999999972</v>
      </c>
      <c r="P32" s="592">
        <f t="shared" si="13"/>
        <v>0.78299999999999992</v>
      </c>
      <c r="Q32" s="593">
        <f t="shared" si="4"/>
        <v>0.80299999999999994</v>
      </c>
      <c r="R32" s="594">
        <v>1450</v>
      </c>
      <c r="S32" s="595">
        <f t="shared" si="14"/>
        <v>50</v>
      </c>
      <c r="T32" s="595">
        <v>1527</v>
      </c>
      <c r="U32" s="596">
        <f t="shared" si="5"/>
        <v>1477</v>
      </c>
    </row>
    <row r="33" spans="1:21">
      <c r="A33" s="607">
        <f t="shared" si="15"/>
        <v>100</v>
      </c>
      <c r="B33" s="607">
        <f t="shared" si="16"/>
        <v>1255</v>
      </c>
      <c r="C33" s="603">
        <f t="shared" si="6"/>
        <v>160</v>
      </c>
      <c r="D33" s="607">
        <f t="shared" si="17"/>
        <v>1650</v>
      </c>
      <c r="E33" s="603">
        <v>14</v>
      </c>
      <c r="F33" s="604">
        <f t="shared" si="0"/>
        <v>627.5</v>
      </c>
      <c r="G33" s="604">
        <f t="shared" si="1"/>
        <v>0.7450199203187251</v>
      </c>
      <c r="H33" s="604">
        <f t="shared" si="7"/>
        <v>0.73023162253983043</v>
      </c>
      <c r="I33" s="604">
        <f t="shared" si="8"/>
        <v>91852.262156832236</v>
      </c>
      <c r="J33" s="604">
        <f t="shared" si="9"/>
        <v>158915152.59344494</v>
      </c>
      <c r="K33" s="605">
        <f t="shared" si="10"/>
        <v>158.91515259344493</v>
      </c>
      <c r="L33" s="606">
        <f t="shared" si="11"/>
        <v>151.91515259344493</v>
      </c>
      <c r="N33" s="590">
        <v>75.5</v>
      </c>
      <c r="O33" s="591">
        <f t="shared" si="12"/>
        <v>2.2000000000000028</v>
      </c>
      <c r="P33" s="592">
        <f t="shared" si="13"/>
        <v>0.80500000000000005</v>
      </c>
      <c r="Q33" s="593">
        <f t="shared" si="4"/>
        <v>0.82499999999999996</v>
      </c>
      <c r="R33" s="594">
        <v>1500</v>
      </c>
      <c r="S33" s="595">
        <f t="shared" si="14"/>
        <v>50</v>
      </c>
      <c r="T33" s="595">
        <v>1576</v>
      </c>
      <c r="U33" s="596">
        <f t="shared" si="5"/>
        <v>1526</v>
      </c>
    </row>
    <row r="34" spans="1:21">
      <c r="A34" s="607">
        <f t="shared" si="15"/>
        <v>100</v>
      </c>
      <c r="B34" s="607">
        <f t="shared" si="16"/>
        <v>1255</v>
      </c>
      <c r="C34" s="603">
        <f t="shared" si="6"/>
        <v>165</v>
      </c>
      <c r="D34" s="607">
        <f t="shared" si="17"/>
        <v>1650</v>
      </c>
      <c r="E34" s="603">
        <v>14.5</v>
      </c>
      <c r="F34" s="604">
        <f t="shared" si="0"/>
        <v>627.5</v>
      </c>
      <c r="G34" s="604">
        <f t="shared" si="1"/>
        <v>0.73705179282868527</v>
      </c>
      <c r="H34" s="604">
        <f t="shared" si="7"/>
        <v>0.74209871863235366</v>
      </c>
      <c r="I34" s="604">
        <f t="shared" si="8"/>
        <v>96065.653061060468</v>
      </c>
      <c r="J34" s="604">
        <f t="shared" si="9"/>
        <v>166311649.43864694</v>
      </c>
      <c r="K34" s="605">
        <f t="shared" si="10"/>
        <v>166.31164943864695</v>
      </c>
      <c r="L34" s="606">
        <f t="shared" si="11"/>
        <v>159.31164943864695</v>
      </c>
      <c r="N34" s="590">
        <v>78.3</v>
      </c>
      <c r="O34" s="591">
        <f t="shared" si="12"/>
        <v>2.7999999999999972</v>
      </c>
      <c r="P34" s="592">
        <f t="shared" si="13"/>
        <v>0.83299999999999996</v>
      </c>
      <c r="Q34" s="593">
        <f t="shared" si="4"/>
        <v>0.85299999999999998</v>
      </c>
      <c r="R34" s="594">
        <v>1550</v>
      </c>
      <c r="S34" s="595">
        <f t="shared" si="14"/>
        <v>50</v>
      </c>
      <c r="T34" s="595">
        <v>1637</v>
      </c>
      <c r="U34" s="596">
        <f t="shared" si="5"/>
        <v>1587</v>
      </c>
    </row>
    <row r="35" spans="1:21">
      <c r="A35" s="607">
        <f t="shared" si="15"/>
        <v>100</v>
      </c>
      <c r="B35" s="607">
        <f t="shared" si="16"/>
        <v>1255</v>
      </c>
      <c r="C35" s="603">
        <f t="shared" si="6"/>
        <v>170</v>
      </c>
      <c r="D35" s="607">
        <f t="shared" si="17"/>
        <v>1650</v>
      </c>
      <c r="E35" s="603">
        <v>15</v>
      </c>
      <c r="F35" s="604">
        <f t="shared" si="0"/>
        <v>627.5</v>
      </c>
      <c r="G35" s="604">
        <f t="shared" si="1"/>
        <v>0.72908366533864544</v>
      </c>
      <c r="H35" s="604">
        <f t="shared" si="7"/>
        <v>0.75381417214852908</v>
      </c>
      <c r="I35" s="604">
        <f t="shared" si="8"/>
        <v>100333.57698790368</v>
      </c>
      <c r="J35" s="604">
        <f t="shared" si="9"/>
        <v>173809703.353652</v>
      </c>
      <c r="K35" s="605">
        <f t="shared" si="10"/>
        <v>173.809703353652</v>
      </c>
      <c r="L35" s="606">
        <f t="shared" si="11"/>
        <v>166.809703353652</v>
      </c>
      <c r="N35" s="590">
        <v>81</v>
      </c>
      <c r="O35" s="591">
        <f t="shared" si="12"/>
        <v>2.7000000000000028</v>
      </c>
      <c r="P35" s="592">
        <f t="shared" si="13"/>
        <v>0.86</v>
      </c>
      <c r="Q35" s="593">
        <f t="shared" si="4"/>
        <v>0.88</v>
      </c>
      <c r="R35" s="594">
        <v>1600</v>
      </c>
      <c r="S35" s="595">
        <f t="shared" si="14"/>
        <v>50</v>
      </c>
      <c r="T35" s="595">
        <v>1695</v>
      </c>
      <c r="U35" s="596">
        <f t="shared" si="5"/>
        <v>1645</v>
      </c>
    </row>
    <row r="36" spans="1:21">
      <c r="A36" s="607">
        <f t="shared" si="15"/>
        <v>100</v>
      </c>
      <c r="B36" s="607">
        <f t="shared" si="16"/>
        <v>1255</v>
      </c>
      <c r="C36" s="603">
        <f t="shared" si="6"/>
        <v>175</v>
      </c>
      <c r="D36" s="607">
        <f t="shared" si="17"/>
        <v>1650</v>
      </c>
      <c r="E36" s="603">
        <v>15.5</v>
      </c>
      <c r="F36" s="604">
        <f t="shared" si="0"/>
        <v>627.5</v>
      </c>
      <c r="G36" s="604">
        <f t="shared" si="1"/>
        <v>0.7211155378486056</v>
      </c>
      <c r="H36" s="604">
        <f t="shared" si="7"/>
        <v>0.7653852011889769</v>
      </c>
      <c r="I36" s="604">
        <f t="shared" si="8"/>
        <v>104654.76729614547</v>
      </c>
      <c r="J36" s="604">
        <f t="shared" si="9"/>
        <v>181407099.21739912</v>
      </c>
      <c r="K36" s="605">
        <f t="shared" si="10"/>
        <v>181.40709921739912</v>
      </c>
      <c r="L36" s="606">
        <f t="shared" si="11"/>
        <v>174.40709921739912</v>
      </c>
      <c r="N36" s="590">
        <v>83.5</v>
      </c>
      <c r="O36" s="591">
        <f t="shared" si="12"/>
        <v>2.5</v>
      </c>
      <c r="P36" s="592">
        <f t="shared" si="13"/>
        <v>0.88500000000000001</v>
      </c>
      <c r="Q36" s="593">
        <f t="shared" si="4"/>
        <v>0.90500000000000003</v>
      </c>
      <c r="R36" s="594">
        <v>1650</v>
      </c>
      <c r="S36" s="595">
        <f t="shared" si="14"/>
        <v>50</v>
      </c>
      <c r="T36" s="595">
        <v>1748</v>
      </c>
      <c r="U36" s="596">
        <f t="shared" si="5"/>
        <v>1698</v>
      </c>
    </row>
    <row r="37" spans="1:21">
      <c r="A37" s="607">
        <f t="shared" si="15"/>
        <v>100</v>
      </c>
      <c r="B37" s="607">
        <f t="shared" si="16"/>
        <v>1255</v>
      </c>
      <c r="C37" s="603">
        <f t="shared" si="6"/>
        <v>180</v>
      </c>
      <c r="D37" s="607">
        <f t="shared" si="17"/>
        <v>1650</v>
      </c>
      <c r="E37" s="603">
        <v>16</v>
      </c>
      <c r="F37" s="604">
        <f t="shared" si="0"/>
        <v>627.5</v>
      </c>
      <c r="G37" s="604">
        <f t="shared" si="1"/>
        <v>0.71314741035856577</v>
      </c>
      <c r="H37" s="604">
        <f t="shared" si="7"/>
        <v>0.77681851346824982</v>
      </c>
      <c r="I37" s="604">
        <f t="shared" si="8"/>
        <v>109028.00363492375</v>
      </c>
      <c r="J37" s="604">
        <f t="shared" si="9"/>
        <v>189101698.28791192</v>
      </c>
      <c r="K37" s="605">
        <f t="shared" si="10"/>
        <v>189.10169828791192</v>
      </c>
      <c r="L37" s="606">
        <f t="shared" si="11"/>
        <v>182.10169828791192</v>
      </c>
      <c r="N37" s="590">
        <v>86</v>
      </c>
      <c r="O37" s="591">
        <f t="shared" si="12"/>
        <v>2.5</v>
      </c>
      <c r="P37" s="592">
        <f t="shared" si="13"/>
        <v>0.91</v>
      </c>
      <c r="Q37" s="593">
        <f t="shared" si="4"/>
        <v>0.93</v>
      </c>
      <c r="R37" s="594">
        <v>1700</v>
      </c>
      <c r="S37" s="595">
        <f t="shared" si="14"/>
        <v>50</v>
      </c>
      <c r="T37" s="595">
        <v>1799</v>
      </c>
      <c r="U37" s="596">
        <f t="shared" si="5"/>
        <v>1749</v>
      </c>
    </row>
    <row r="38" spans="1:21">
      <c r="A38" s="607">
        <f t="shared" si="15"/>
        <v>100</v>
      </c>
      <c r="B38" s="607">
        <f t="shared" si="16"/>
        <v>1255</v>
      </c>
      <c r="C38" s="603">
        <f t="shared" si="6"/>
        <v>185</v>
      </c>
      <c r="D38" s="607">
        <f t="shared" si="17"/>
        <v>1650</v>
      </c>
      <c r="E38" s="603">
        <v>16.5</v>
      </c>
      <c r="F38" s="604">
        <f t="shared" si="0"/>
        <v>627.5</v>
      </c>
      <c r="G38" s="604">
        <f t="shared" si="1"/>
        <v>0.70517928286852594</v>
      </c>
      <c r="H38" s="604">
        <f t="shared" si="7"/>
        <v>0.78812035585869256</v>
      </c>
      <c r="I38" s="604">
        <f t="shared" si="8"/>
        <v>113452.10872883612</v>
      </c>
      <c r="J38" s="604">
        <f t="shared" si="9"/>
        <v>196891432.89772251</v>
      </c>
      <c r="K38" s="605">
        <f t="shared" si="10"/>
        <v>196.89143289772252</v>
      </c>
      <c r="L38" s="606">
        <f t="shared" si="11"/>
        <v>189.89143289772252</v>
      </c>
      <c r="N38" s="590">
        <v>89</v>
      </c>
      <c r="O38" s="591">
        <f t="shared" si="12"/>
        <v>3</v>
      </c>
      <c r="P38" s="592">
        <f t="shared" si="13"/>
        <v>0.94</v>
      </c>
      <c r="Q38" s="593">
        <f t="shared" si="4"/>
        <v>0.96</v>
      </c>
      <c r="R38" s="594">
        <v>1750</v>
      </c>
      <c r="S38" s="595">
        <f t="shared" si="14"/>
        <v>50</v>
      </c>
      <c r="T38" s="595">
        <v>1859</v>
      </c>
      <c r="U38" s="596">
        <f t="shared" si="5"/>
        <v>1809</v>
      </c>
    </row>
    <row r="39" spans="1:21">
      <c r="A39" s="607">
        <f t="shared" si="15"/>
        <v>100</v>
      </c>
      <c r="B39" s="607">
        <f t="shared" si="16"/>
        <v>1255</v>
      </c>
      <c r="C39" s="603">
        <f t="shared" si="6"/>
        <v>190</v>
      </c>
      <c r="D39" s="607">
        <f t="shared" si="17"/>
        <v>1650</v>
      </c>
      <c r="E39" s="603">
        <v>17</v>
      </c>
      <c r="F39" s="604">
        <f t="shared" si="0"/>
        <v>627.5</v>
      </c>
      <c r="G39" s="604">
        <f t="shared" si="1"/>
        <v>0.6972111553784861</v>
      </c>
      <c r="H39" s="604">
        <f t="shared" si="7"/>
        <v>0.79929655793645693</v>
      </c>
      <c r="I39" s="604">
        <f t="shared" si="8"/>
        <v>117925.94546572355</v>
      </c>
      <c r="J39" s="604">
        <f t="shared" si="9"/>
        <v>204774301.64871457</v>
      </c>
      <c r="K39" s="605">
        <f t="shared" si="10"/>
        <v>204.77430164871458</v>
      </c>
      <c r="L39" s="606">
        <f t="shared" si="11"/>
        <v>197.77430164871458</v>
      </c>
      <c r="N39" s="590">
        <v>92</v>
      </c>
      <c r="O39" s="591">
        <f t="shared" si="12"/>
        <v>3</v>
      </c>
      <c r="P39" s="592">
        <f t="shared" si="13"/>
        <v>0.97</v>
      </c>
      <c r="Q39" s="593">
        <f t="shared" si="4"/>
        <v>0.99</v>
      </c>
      <c r="R39" s="594">
        <v>1800</v>
      </c>
      <c r="S39" s="595">
        <f t="shared" si="14"/>
        <v>50</v>
      </c>
      <c r="T39" s="595">
        <v>1917</v>
      </c>
      <c r="U39" s="596">
        <f t="shared" si="5"/>
        <v>1867</v>
      </c>
    </row>
    <row r="40" spans="1:21">
      <c r="A40" s="607">
        <f t="shared" si="15"/>
        <v>100</v>
      </c>
      <c r="B40" s="607">
        <f t="shared" si="16"/>
        <v>1255</v>
      </c>
      <c r="C40" s="603">
        <f t="shared" si="6"/>
        <v>195</v>
      </c>
      <c r="D40" s="607">
        <f t="shared" si="17"/>
        <v>1650</v>
      </c>
      <c r="E40" s="603">
        <v>17.5</v>
      </c>
      <c r="F40" s="604">
        <f t="shared" si="0"/>
        <v>627.5</v>
      </c>
      <c r="G40" s="604">
        <f t="shared" si="1"/>
        <v>0.68924302788844627</v>
      </c>
      <c r="H40" s="604">
        <f t="shared" si="7"/>
        <v>0.81035257039372277</v>
      </c>
      <c r="I40" s="604">
        <f t="shared" si="8"/>
        <v>122448.41425121433</v>
      </c>
      <c r="J40" s="604">
        <f t="shared" si="9"/>
        <v>212748365.04712087</v>
      </c>
      <c r="K40" s="605">
        <f t="shared" si="10"/>
        <v>212.74836504712087</v>
      </c>
      <c r="L40" s="606">
        <f t="shared" si="11"/>
        <v>205.74836504712087</v>
      </c>
      <c r="N40" s="590">
        <v>95.5</v>
      </c>
      <c r="O40" s="591">
        <f t="shared" si="12"/>
        <v>3.5</v>
      </c>
      <c r="P40" s="592">
        <f t="shared" si="13"/>
        <v>1.0049999999999999</v>
      </c>
      <c r="Q40" s="593">
        <f t="shared" si="4"/>
        <v>1.0249999999999999</v>
      </c>
      <c r="R40" s="594">
        <v>1850</v>
      </c>
      <c r="S40" s="595">
        <f t="shared" si="14"/>
        <v>50</v>
      </c>
      <c r="T40" s="595">
        <v>1982</v>
      </c>
      <c r="U40" s="596">
        <f t="shared" si="5"/>
        <v>1932</v>
      </c>
    </row>
    <row r="41" spans="1:21">
      <c r="A41" s="607">
        <f t="shared" si="15"/>
        <v>100</v>
      </c>
      <c r="B41" s="607">
        <f t="shared" si="16"/>
        <v>1255</v>
      </c>
      <c r="C41" s="603">
        <f t="shared" si="6"/>
        <v>200</v>
      </c>
      <c r="D41" s="607">
        <f t="shared" si="17"/>
        <v>1650</v>
      </c>
      <c r="E41" s="603">
        <v>18</v>
      </c>
      <c r="F41" s="604">
        <f t="shared" si="0"/>
        <v>627.5</v>
      </c>
      <c r="G41" s="604">
        <f t="shared" si="1"/>
        <v>0.68127490039840632</v>
      </c>
      <c r="H41" s="604">
        <f t="shared" si="7"/>
        <v>0.82129349903787452</v>
      </c>
      <c r="I41" s="604">
        <f t="shared" si="8"/>
        <v>127018.45059919701</v>
      </c>
      <c r="J41" s="604">
        <f t="shared" si="9"/>
        <v>220811741.52780351</v>
      </c>
      <c r="K41" s="605">
        <f t="shared" si="10"/>
        <v>220.81174152780352</v>
      </c>
      <c r="L41" s="606">
        <f t="shared" si="11"/>
        <v>213.81174152780352</v>
      </c>
      <c r="N41" s="590">
        <v>98.5</v>
      </c>
      <c r="O41" s="591">
        <f t="shared" si="12"/>
        <v>3</v>
      </c>
      <c r="P41" s="592">
        <f t="shared" si="13"/>
        <v>1.0349999999999999</v>
      </c>
      <c r="Q41" s="593">
        <f t="shared" si="4"/>
        <v>1.0549999999999999</v>
      </c>
      <c r="R41" s="594">
        <v>1900</v>
      </c>
      <c r="S41" s="595">
        <f t="shared" si="14"/>
        <v>50</v>
      </c>
      <c r="T41" s="595">
        <v>2034</v>
      </c>
      <c r="U41" s="596">
        <f t="shared" si="5"/>
        <v>1984</v>
      </c>
    </row>
    <row r="42" spans="1:21">
      <c r="A42" s="607">
        <f t="shared" si="15"/>
        <v>100</v>
      </c>
      <c r="B42" s="607">
        <f t="shared" si="16"/>
        <v>1255</v>
      </c>
      <c r="C42" s="603">
        <f t="shared" si="6"/>
        <v>205</v>
      </c>
      <c r="D42" s="607">
        <f t="shared" si="17"/>
        <v>1650</v>
      </c>
      <c r="E42" s="603">
        <v>18.5</v>
      </c>
      <c r="F42" s="604">
        <f t="shared" si="0"/>
        <v>627.5</v>
      </c>
      <c r="G42" s="604">
        <f t="shared" si="1"/>
        <v>0.67330677290836649</v>
      </c>
      <c r="H42" s="604">
        <f t="shared" si="7"/>
        <v>0.8321241349818056</v>
      </c>
      <c r="I42" s="604">
        <f t="shared" si="8"/>
        <v>131635.02293164106</v>
      </c>
      <c r="J42" s="604">
        <f t="shared" si="9"/>
        <v>228962603.82395828</v>
      </c>
      <c r="K42" s="605">
        <f t="shared" si="10"/>
        <v>228.96260382395829</v>
      </c>
      <c r="L42" s="606">
        <f t="shared" si="11"/>
        <v>221.96260382395829</v>
      </c>
      <c r="N42" s="590">
        <v>101.5</v>
      </c>
      <c r="O42" s="591">
        <f t="shared" si="12"/>
        <v>3</v>
      </c>
      <c r="P42" s="592">
        <f t="shared" si="13"/>
        <v>1.0649999999999999</v>
      </c>
      <c r="Q42" s="593">
        <f t="shared" si="4"/>
        <v>1.085</v>
      </c>
      <c r="R42" s="594">
        <v>1950</v>
      </c>
      <c r="S42" s="595">
        <f t="shared" si="14"/>
        <v>50</v>
      </c>
      <c r="T42" s="595">
        <v>2084</v>
      </c>
      <c r="U42" s="596">
        <f t="shared" si="5"/>
        <v>2034</v>
      </c>
    </row>
    <row r="43" spans="1:21">
      <c r="A43" s="607">
        <f t="shared" si="15"/>
        <v>100</v>
      </c>
      <c r="B43" s="607">
        <f t="shared" si="16"/>
        <v>1255</v>
      </c>
      <c r="C43" s="603">
        <f t="shared" si="6"/>
        <v>210</v>
      </c>
      <c r="D43" s="607">
        <f t="shared" si="17"/>
        <v>1650</v>
      </c>
      <c r="E43" s="603">
        <v>19</v>
      </c>
      <c r="F43" s="604">
        <f t="shared" si="0"/>
        <v>627.5</v>
      </c>
      <c r="G43" s="604">
        <f t="shared" si="1"/>
        <v>0.66533864541832666</v>
      </c>
      <c r="H43" s="604">
        <f t="shared" si="7"/>
        <v>0.84284898153418475</v>
      </c>
      <c r="I43" s="604">
        <f t="shared" si="8"/>
        <v>136297.13056476225</v>
      </c>
      <c r="J43" s="604">
        <f t="shared" si="9"/>
        <v>237199175.64428723</v>
      </c>
      <c r="K43" s="605">
        <f t="shared" si="10"/>
        <v>237.19917564428724</v>
      </c>
      <c r="L43" s="606">
        <f t="shared" si="11"/>
        <v>230.19917564428724</v>
      </c>
      <c r="N43" s="590">
        <v>106</v>
      </c>
      <c r="O43" s="591">
        <f t="shared" si="12"/>
        <v>4.5</v>
      </c>
      <c r="P43" s="592">
        <f t="shared" si="13"/>
        <v>1.1100000000000001</v>
      </c>
      <c r="Q43" s="593">
        <f t="shared" si="4"/>
        <v>1.1299999999999999</v>
      </c>
      <c r="R43" s="594">
        <v>2000</v>
      </c>
      <c r="S43" s="595">
        <f t="shared" si="14"/>
        <v>50</v>
      </c>
      <c r="T43" s="595">
        <v>2152</v>
      </c>
      <c r="U43" s="596">
        <f t="shared" si="5"/>
        <v>2102</v>
      </c>
    </row>
    <row r="44" spans="1:21">
      <c r="A44" s="607">
        <f t="shared" si="15"/>
        <v>100</v>
      </c>
      <c r="B44" s="607">
        <f t="shared" si="16"/>
        <v>1255</v>
      </c>
      <c r="C44" s="603">
        <f t="shared" si="6"/>
        <v>215</v>
      </c>
      <c r="D44" s="607">
        <f t="shared" si="17"/>
        <v>1650</v>
      </c>
      <c r="E44" s="603">
        <v>19.5</v>
      </c>
      <c r="F44" s="604">
        <f t="shared" si="0"/>
        <v>627.5</v>
      </c>
      <c r="G44" s="604">
        <f t="shared" si="1"/>
        <v>0.65737051792828682</v>
      </c>
      <c r="H44" s="604">
        <f t="shared" si="7"/>
        <v>0.85347227822011473</v>
      </c>
      <c r="I44" s="604">
        <f t="shared" si="8"/>
        <v>141003.80186155037</v>
      </c>
      <c r="J44" s="604">
        <f t="shared" si="9"/>
        <v>245519728.62466961</v>
      </c>
      <c r="K44" s="605">
        <f t="shared" si="10"/>
        <v>245.51972862466963</v>
      </c>
      <c r="L44" s="606">
        <f t="shared" si="11"/>
        <v>238.51972862466963</v>
      </c>
      <c r="N44" s="590">
        <v>111.3</v>
      </c>
      <c r="O44" s="591">
        <f t="shared" si="12"/>
        <v>5.2999999999999972</v>
      </c>
      <c r="P44" s="592">
        <f t="shared" si="13"/>
        <v>1.163</v>
      </c>
      <c r="Q44" s="593">
        <f t="shared" si="4"/>
        <v>1.1830000000000001</v>
      </c>
      <c r="R44" s="594">
        <v>2050</v>
      </c>
      <c r="S44" s="595">
        <f t="shared" si="14"/>
        <v>50</v>
      </c>
      <c r="T44" s="595">
        <v>2219</v>
      </c>
      <c r="U44" s="596">
        <f t="shared" si="5"/>
        <v>2169</v>
      </c>
    </row>
    <row r="45" spans="1:21">
      <c r="A45" s="607">
        <f t="shared" si="15"/>
        <v>100</v>
      </c>
      <c r="B45" s="607">
        <f t="shared" si="16"/>
        <v>1255</v>
      </c>
      <c r="C45" s="603">
        <f t="shared" si="6"/>
        <v>220</v>
      </c>
      <c r="D45" s="607">
        <f t="shared" si="17"/>
        <v>1650</v>
      </c>
      <c r="E45" s="603">
        <v>20</v>
      </c>
      <c r="F45" s="604">
        <f t="shared" si="0"/>
        <v>627.5</v>
      </c>
      <c r="G45" s="604">
        <f t="shared" si="1"/>
        <v>0.64940239043824699</v>
      </c>
      <c r="H45" s="604">
        <f t="shared" si="7"/>
        <v>0.8639980222978304</v>
      </c>
      <c r="I45" s="604">
        <f t="shared" si="8"/>
        <v>145754.09253323567</v>
      </c>
      <c r="J45" s="604">
        <f t="shared" si="9"/>
        <v>253922579.52558136</v>
      </c>
      <c r="K45" s="605">
        <f t="shared" si="10"/>
        <v>253.92257952558137</v>
      </c>
      <c r="L45" s="606">
        <f t="shared" si="11"/>
        <v>246.92257952558137</v>
      </c>
      <c r="N45" s="590">
        <v>118</v>
      </c>
      <c r="O45" s="591">
        <f t="shared" si="12"/>
        <v>6.7000000000000028</v>
      </c>
      <c r="P45" s="592">
        <f t="shared" si="13"/>
        <v>1.23</v>
      </c>
      <c r="Q45" s="593">
        <f t="shared" si="4"/>
        <v>1.25</v>
      </c>
      <c r="R45" s="594">
        <v>2100</v>
      </c>
      <c r="S45" s="595">
        <f t="shared" si="14"/>
        <v>50</v>
      </c>
      <c r="T45" s="595">
        <v>2277</v>
      </c>
      <c r="U45" s="596">
        <f t="shared" si="5"/>
        <v>2227</v>
      </c>
    </row>
    <row r="46" spans="1:21">
      <c r="A46" s="607">
        <f t="shared" si="15"/>
        <v>100</v>
      </c>
      <c r="B46" s="607">
        <f t="shared" si="16"/>
        <v>1255</v>
      </c>
      <c r="C46" s="603">
        <f t="shared" si="6"/>
        <v>225</v>
      </c>
      <c r="D46" s="607">
        <f t="shared" si="17"/>
        <v>1650</v>
      </c>
      <c r="E46" s="603">
        <v>20.5</v>
      </c>
      <c r="F46" s="604">
        <f t="shared" si="0"/>
        <v>627.5</v>
      </c>
      <c r="G46" s="604">
        <f t="shared" si="1"/>
        <v>0.64143426294820716</v>
      </c>
      <c r="H46" s="604">
        <f t="shared" si="7"/>
        <v>0.87442998808329375</v>
      </c>
      <c r="I46" s="604">
        <f t="shared" si="8"/>
        <v>150547.08407445677</v>
      </c>
      <c r="J46" s="604">
        <f t="shared" si="9"/>
        <v>262406087.65012231</v>
      </c>
      <c r="K46" s="605">
        <f t="shared" si="10"/>
        <v>262.40608765012229</v>
      </c>
      <c r="L46" s="606">
        <f t="shared" si="11"/>
        <v>255.40608765012229</v>
      </c>
    </row>
    <row r="47" spans="1:21">
      <c r="A47" s="607">
        <f t="shared" si="15"/>
        <v>100</v>
      </c>
      <c r="B47" s="607">
        <f t="shared" si="16"/>
        <v>1255</v>
      </c>
      <c r="C47" s="603">
        <f t="shared" si="6"/>
        <v>230</v>
      </c>
      <c r="D47" s="607">
        <f t="shared" si="17"/>
        <v>1650</v>
      </c>
      <c r="E47" s="603">
        <v>21</v>
      </c>
      <c r="F47" s="604">
        <f t="shared" si="0"/>
        <v>627.5</v>
      </c>
      <c r="G47" s="604">
        <f t="shared" si="1"/>
        <v>0.63346613545816732</v>
      </c>
      <c r="H47" s="604">
        <f t="shared" si="7"/>
        <v>0.88477174434967876</v>
      </c>
      <c r="I47" s="604">
        <f t="shared" si="8"/>
        <v>155381.88231875576</v>
      </c>
      <c r="J47" s="604">
        <f t="shared" si="9"/>
        <v>270968652.46058297</v>
      </c>
      <c r="K47" s="605">
        <f t="shared" si="10"/>
        <v>270.96865246058297</v>
      </c>
      <c r="L47" s="606">
        <f t="shared" si="11"/>
        <v>263.96865246058297</v>
      </c>
    </row>
    <row r="48" spans="1:21">
      <c r="A48" s="607">
        <f t="shared" si="15"/>
        <v>100</v>
      </c>
      <c r="B48" s="607">
        <f t="shared" si="16"/>
        <v>1255</v>
      </c>
      <c r="C48" s="603">
        <f t="shared" si="6"/>
        <v>235</v>
      </c>
      <c r="D48" s="607">
        <f t="shared" si="17"/>
        <v>1650</v>
      </c>
      <c r="E48" s="603">
        <v>21.5</v>
      </c>
      <c r="F48" s="604">
        <f t="shared" si="0"/>
        <v>627.5</v>
      </c>
      <c r="G48" s="604">
        <f t="shared" si="1"/>
        <v>0.62549800796812749</v>
      </c>
      <c r="H48" s="604">
        <f t="shared" si="7"/>
        <v>0.89502667003116265</v>
      </c>
      <c r="I48" s="604">
        <f t="shared" si="8"/>
        <v>160257.61610262771</v>
      </c>
      <c r="J48" s="604">
        <f t="shared" si="9"/>
        <v>279608711.37412632</v>
      </c>
      <c r="K48" s="605">
        <f t="shared" si="10"/>
        <v>279.6087113741263</v>
      </c>
      <c r="L48" s="606">
        <f t="shared" si="11"/>
        <v>272.6087113741263</v>
      </c>
    </row>
    <row r="49" spans="1:12">
      <c r="A49" s="607">
        <f t="shared" si="15"/>
        <v>100</v>
      </c>
      <c r="B49" s="607">
        <f t="shared" si="16"/>
        <v>1255</v>
      </c>
      <c r="C49" s="603">
        <f t="shared" si="6"/>
        <v>240</v>
      </c>
      <c r="D49" s="607">
        <f t="shared" si="17"/>
        <v>1650</v>
      </c>
      <c r="E49" s="603">
        <v>22</v>
      </c>
      <c r="F49" s="604">
        <f t="shared" si="0"/>
        <v>627.5</v>
      </c>
      <c r="G49" s="604">
        <f t="shared" si="1"/>
        <v>0.61752988047808766</v>
      </c>
      <c r="H49" s="604">
        <f t="shared" si="7"/>
        <v>0.90519796842883093</v>
      </c>
      <c r="I49" s="604">
        <f t="shared" si="8"/>
        <v>165173.4360277323</v>
      </c>
      <c r="J49" s="604">
        <f t="shared" si="9"/>
        <v>288324737.72043681</v>
      </c>
      <c r="K49" s="605">
        <f t="shared" si="10"/>
        <v>288.32473772043681</v>
      </c>
      <c r="L49" s="606">
        <f t="shared" si="11"/>
        <v>281.32473772043681</v>
      </c>
    </row>
    <row r="50" spans="1:12">
      <c r="A50" s="607">
        <f t="shared" si="15"/>
        <v>100</v>
      </c>
      <c r="B50" s="607">
        <f t="shared" si="16"/>
        <v>1255</v>
      </c>
      <c r="C50" s="603">
        <f t="shared" si="6"/>
        <v>245</v>
      </c>
      <c r="D50" s="607">
        <f t="shared" si="17"/>
        <v>1650</v>
      </c>
      <c r="E50" s="603">
        <v>22.5</v>
      </c>
      <c r="F50" s="604">
        <f t="shared" si="0"/>
        <v>627.5</v>
      </c>
      <c r="G50" s="604">
        <f t="shared" si="1"/>
        <v>0.60956175298804782</v>
      </c>
      <c r="H50" s="604">
        <f t="shared" si="7"/>
        <v>0.91528868008982045</v>
      </c>
      <c r="I50" s="604">
        <f t="shared" si="8"/>
        <v>170128.51331206635</v>
      </c>
      <c r="J50" s="604">
        <f t="shared" si="9"/>
        <v>297115238.84615535</v>
      </c>
      <c r="K50" s="605">
        <f t="shared" si="10"/>
        <v>297.11523884615536</v>
      </c>
      <c r="L50" s="606">
        <f t="shared" si="11"/>
        <v>290.11523884615536</v>
      </c>
    </row>
    <row r="51" spans="1:12">
      <c r="A51" s="607">
        <f t="shared" si="15"/>
        <v>100</v>
      </c>
      <c r="B51" s="607">
        <f t="shared" si="16"/>
        <v>1255</v>
      </c>
      <c r="C51" s="603">
        <f t="shared" si="6"/>
        <v>250</v>
      </c>
      <c r="D51" s="607">
        <f t="shared" si="17"/>
        <v>1650</v>
      </c>
      <c r="E51" s="603">
        <v>23</v>
      </c>
      <c r="F51" s="604">
        <f t="shared" si="0"/>
        <v>627.5</v>
      </c>
      <c r="G51" s="604">
        <f t="shared" si="1"/>
        <v>0.60159362549800799</v>
      </c>
      <c r="H51" s="604">
        <f t="shared" si="7"/>
        <v>0.92530169450820421</v>
      </c>
      <c r="I51" s="604">
        <f t="shared" si="8"/>
        <v>175122.03872192878</v>
      </c>
      <c r="J51" s="604">
        <f t="shared" si="9"/>
        <v>305978754.3526212</v>
      </c>
      <c r="K51" s="605">
        <f t="shared" si="10"/>
        <v>305.97875435262119</v>
      </c>
      <c r="L51" s="606">
        <f t="shared" si="11"/>
        <v>298.97875435262119</v>
      </c>
    </row>
    <row r="52" spans="1:12">
      <c r="A52" s="607">
        <f t="shared" si="15"/>
        <v>100</v>
      </c>
      <c r="B52" s="607">
        <f t="shared" si="16"/>
        <v>1255</v>
      </c>
      <c r="C52" s="603">
        <f t="shared" si="6"/>
        <v>255</v>
      </c>
      <c r="D52" s="607">
        <f t="shared" si="17"/>
        <v>1650</v>
      </c>
      <c r="E52" s="603">
        <v>23.5</v>
      </c>
      <c r="F52" s="604">
        <f t="shared" si="0"/>
        <v>627.5</v>
      </c>
      <c r="G52" s="604">
        <f t="shared" si="1"/>
        <v>0.59362549800796816</v>
      </c>
      <c r="H52" s="604">
        <f t="shared" si="7"/>
        <v>0.93523976077688564</v>
      </c>
      <c r="I52" s="604">
        <f t="shared" si="8"/>
        <v>180153.22157740992</v>
      </c>
      <c r="J52" s="604">
        <f t="shared" si="9"/>
        <v>314913854.45492941</v>
      </c>
      <c r="K52" s="605">
        <f t="shared" si="10"/>
        <v>314.91385445492944</v>
      </c>
      <c r="L52" s="606">
        <f t="shared" si="11"/>
        <v>307.91385445492944</v>
      </c>
    </row>
    <row r="53" spans="1:12">
      <c r="A53" s="607">
        <f t="shared" si="15"/>
        <v>100</v>
      </c>
      <c r="B53" s="607">
        <f t="shared" si="16"/>
        <v>1255</v>
      </c>
      <c r="C53" s="603">
        <f t="shared" si="6"/>
        <v>260</v>
      </c>
      <c r="D53" s="607">
        <f t="shared" si="17"/>
        <v>1650</v>
      </c>
      <c r="E53" s="603">
        <v>24</v>
      </c>
      <c r="F53" s="604">
        <f t="shared" si="0"/>
        <v>627.5</v>
      </c>
      <c r="G53" s="604">
        <f t="shared" si="1"/>
        <v>0.58565737051792832</v>
      </c>
      <c r="H53" s="604">
        <f t="shared" si="7"/>
        <v>0.94510549730335169</v>
      </c>
      <c r="I53" s="604">
        <f t="shared" si="8"/>
        <v>185221.28882491894</v>
      </c>
      <c r="J53" s="604">
        <f t="shared" si="9"/>
        <v>323919138.45160139</v>
      </c>
      <c r="K53" s="605">
        <f t="shared" si="10"/>
        <v>323.91913845160138</v>
      </c>
      <c r="L53" s="606">
        <f t="shared" si="11"/>
        <v>316.91913845160138</v>
      </c>
    </row>
    <row r="54" spans="1:12">
      <c r="A54" s="607">
        <f t="shared" si="15"/>
        <v>100</v>
      </c>
      <c r="B54" s="607">
        <f t="shared" si="16"/>
        <v>1255</v>
      </c>
      <c r="C54" s="603">
        <f t="shared" si="6"/>
        <v>265</v>
      </c>
      <c r="D54" s="607">
        <f t="shared" si="17"/>
        <v>1650</v>
      </c>
      <c r="E54" s="603">
        <v>24.5</v>
      </c>
      <c r="F54" s="604">
        <f t="shared" si="0"/>
        <v>627.5</v>
      </c>
      <c r="G54" s="604">
        <f t="shared" si="1"/>
        <v>0.57768924302788849</v>
      </c>
      <c r="H54" s="604">
        <f t="shared" si="7"/>
        <v>0.95490140068807494</v>
      </c>
      <c r="I54" s="604">
        <f t="shared" si="8"/>
        <v>190325.48417095171</v>
      </c>
      <c r="J54" s="604">
        <f t="shared" si="9"/>
        <v>332993233.29530114</v>
      </c>
      <c r="K54" s="605">
        <f t="shared" si="10"/>
        <v>332.99323329530114</v>
      </c>
      <c r="L54" s="606">
        <f t="shared" si="11"/>
        <v>325.99323329530114</v>
      </c>
    </row>
    <row r="55" spans="1:12">
      <c r="A55" s="607">
        <f t="shared" si="15"/>
        <v>100</v>
      </c>
      <c r="B55" s="607">
        <f t="shared" si="16"/>
        <v>1255</v>
      </c>
      <c r="C55" s="603">
        <f t="shared" si="6"/>
        <v>270</v>
      </c>
      <c r="D55" s="607">
        <f t="shared" si="17"/>
        <v>1650</v>
      </c>
      <c r="E55" s="603">
        <v>25</v>
      </c>
      <c r="F55" s="604">
        <f t="shared" si="0"/>
        <v>627.5</v>
      </c>
      <c r="G55" s="604">
        <f t="shared" si="1"/>
        <v>0.56972111553784865</v>
      </c>
      <c r="H55" s="604">
        <f t="shared" si="7"/>
        <v>0.9646298538522784</v>
      </c>
      <c r="I55" s="604">
        <f t="shared" si="8"/>
        <v>195465.06727189885</v>
      </c>
      <c r="J55" s="604">
        <f t="shared" si="9"/>
        <v>342134792.25601941</v>
      </c>
      <c r="K55" s="605">
        <f t="shared" si="10"/>
        <v>342.13479225601941</v>
      </c>
      <c r="L55" s="606">
        <f t="shared" si="11"/>
        <v>335.13479225601941</v>
      </c>
    </row>
    <row r="56" spans="1:12">
      <c r="A56" s="607">
        <f t="shared" si="15"/>
        <v>100</v>
      </c>
      <c r="B56" s="607">
        <f t="shared" si="16"/>
        <v>1255</v>
      </c>
      <c r="C56" s="603">
        <f t="shared" si="6"/>
        <v>275</v>
      </c>
      <c r="D56" s="607">
        <f t="shared" si="17"/>
        <v>1650</v>
      </c>
      <c r="E56" s="603">
        <v>25.5</v>
      </c>
      <c r="F56" s="604">
        <f t="shared" si="0"/>
        <v>627.5</v>
      </c>
      <c r="G56" s="604">
        <f t="shared" si="1"/>
        <v>0.56175298804780871</v>
      </c>
      <c r="H56" s="604">
        <f t="shared" si="7"/>
        <v>0.97429313349137314</v>
      </c>
      <c r="I56" s="604">
        <f t="shared" si="8"/>
        <v>200639.31297522699</v>
      </c>
      <c r="J56" s="604">
        <f t="shared" si="9"/>
        <v>351342493.6690222</v>
      </c>
      <c r="K56" s="605">
        <f t="shared" si="10"/>
        <v>351.34249366902219</v>
      </c>
      <c r="L56" s="606">
        <f t="shared" si="11"/>
        <v>344.34249366902219</v>
      </c>
    </row>
    <row r="57" spans="1:12">
      <c r="A57" s="607">
        <f t="shared" si="15"/>
        <v>100</v>
      </c>
      <c r="B57" s="607">
        <f t="shared" si="16"/>
        <v>1255</v>
      </c>
      <c r="C57" s="603">
        <f t="shared" si="6"/>
        <v>280</v>
      </c>
      <c r="D57" s="607">
        <f t="shared" si="17"/>
        <v>1650</v>
      </c>
      <c r="E57" s="603">
        <v>26</v>
      </c>
      <c r="F57" s="604">
        <f t="shared" si="0"/>
        <v>627.5</v>
      </c>
      <c r="G57" s="604">
        <f t="shared" si="1"/>
        <v>0.55378486055776888</v>
      </c>
      <c r="H57" s="604">
        <f t="shared" si="7"/>
        <v>0.98389341692138843</v>
      </c>
      <c r="I57" s="604">
        <f t="shared" si="8"/>
        <v>205847.5106078299</v>
      </c>
      <c r="J57" s="604">
        <f t="shared" si="9"/>
        <v>360615039.76063019</v>
      </c>
      <c r="K57" s="605">
        <f t="shared" si="10"/>
        <v>360.61503976063017</v>
      </c>
      <c r="L57" s="606">
        <f t="shared" si="11"/>
        <v>353.61503976063017</v>
      </c>
    </row>
    <row r="58" spans="1:12">
      <c r="A58" s="607">
        <f t="shared" si="15"/>
        <v>100</v>
      </c>
      <c r="B58" s="607">
        <f t="shared" si="16"/>
        <v>1255</v>
      </c>
      <c r="C58" s="603">
        <f t="shared" si="6"/>
        <v>285</v>
      </c>
      <c r="D58" s="607">
        <f t="shared" si="17"/>
        <v>1650</v>
      </c>
      <c r="E58" s="603">
        <v>26.5</v>
      </c>
      <c r="F58" s="604">
        <f t="shared" si="0"/>
        <v>627.5</v>
      </c>
      <c r="G58" s="604">
        <f t="shared" si="1"/>
        <v>0.54581673306772904</v>
      </c>
      <c r="H58" s="604">
        <f t="shared" si="7"/>
        <v>0.99343278837792504</v>
      </c>
      <c r="I58" s="604">
        <f t="shared" si="8"/>
        <v>211088.96330775868</v>
      </c>
      <c r="J58" s="604">
        <f t="shared" si="9"/>
        <v>369951155.54557395</v>
      </c>
      <c r="K58" s="605">
        <f t="shared" si="10"/>
        <v>369.95115554557395</v>
      </c>
      <c r="L58" s="606">
        <f t="shared" si="11"/>
        <v>362.95115554557395</v>
      </c>
    </row>
    <row r="59" spans="1:12">
      <c r="A59" s="607">
        <f t="shared" si="15"/>
        <v>100</v>
      </c>
      <c r="B59" s="607">
        <f t="shared" si="16"/>
        <v>1255</v>
      </c>
      <c r="C59" s="603">
        <f t="shared" si="6"/>
        <v>290</v>
      </c>
      <c r="D59" s="607">
        <f t="shared" si="17"/>
        <v>1650</v>
      </c>
      <c r="E59" s="603">
        <v>27</v>
      </c>
      <c r="F59" s="604">
        <f t="shared" si="0"/>
        <v>627.5</v>
      </c>
      <c r="G59" s="604">
        <f t="shared" si="1"/>
        <v>0.53784860557768921</v>
      </c>
      <c r="H59" s="604">
        <f t="shared" si="7"/>
        <v>1.0029132448203919</v>
      </c>
      <c r="I59" s="604">
        <f t="shared" si="8"/>
        <v>216362.9873959058</v>
      </c>
      <c r="J59" s="604">
        <f t="shared" si="9"/>
        <v>379349587.790272</v>
      </c>
      <c r="K59" s="605">
        <f t="shared" si="10"/>
        <v>379.34958779027198</v>
      </c>
      <c r="L59" s="606">
        <f t="shared" si="11"/>
        <v>372.34958779027198</v>
      </c>
    </row>
    <row r="60" spans="1:12">
      <c r="A60" s="607">
        <f t="shared" si="15"/>
        <v>100</v>
      </c>
      <c r="B60" s="607">
        <f t="shared" si="16"/>
        <v>1255</v>
      </c>
      <c r="C60" s="603">
        <f t="shared" si="6"/>
        <v>295</v>
      </c>
      <c r="D60" s="607">
        <f t="shared" si="17"/>
        <v>1650</v>
      </c>
      <c r="E60" s="603">
        <v>27.5</v>
      </c>
      <c r="F60" s="604">
        <f t="shared" si="0"/>
        <v>627.5</v>
      </c>
      <c r="G60" s="604">
        <f t="shared" si="1"/>
        <v>0.52988047808764938</v>
      </c>
      <c r="H60" s="604">
        <f t="shared" si="7"/>
        <v>1.0123367012883957</v>
      </c>
      <c r="I60" s="604">
        <f t="shared" si="8"/>
        <v>221668.91178454293</v>
      </c>
      <c r="J60" s="604">
        <f t="shared" si="9"/>
        <v>388809104.0369187</v>
      </c>
      <c r="K60" s="605">
        <f t="shared" si="10"/>
        <v>388.80910403691871</v>
      </c>
      <c r="L60" s="606">
        <f t="shared" si="11"/>
        <v>381.80910403691871</v>
      </c>
    </row>
    <row r="61" spans="1:12">
      <c r="A61" s="607">
        <f t="shared" si="15"/>
        <v>100</v>
      </c>
      <c r="B61" s="607">
        <f t="shared" si="16"/>
        <v>1255</v>
      </c>
      <c r="C61" s="603">
        <f t="shared" si="6"/>
        <v>300</v>
      </c>
      <c r="D61" s="607">
        <f t="shared" si="17"/>
        <v>1650</v>
      </c>
      <c r="E61" s="603">
        <v>28</v>
      </c>
      <c r="F61" s="604">
        <f t="shared" si="0"/>
        <v>627.5</v>
      </c>
      <c r="G61" s="604">
        <f t="shared" si="1"/>
        <v>0.52191235059760954</v>
      </c>
      <c r="H61" s="604">
        <f t="shared" si="7"/>
        <v>1.0217049958519973</v>
      </c>
      <c r="I61" s="604">
        <f t="shared" si="8"/>
        <v>227006.07741989646</v>
      </c>
      <c r="J61" s="604">
        <f t="shared" si="9"/>
        <v>398328491.68373358</v>
      </c>
      <c r="K61" s="605">
        <f t="shared" si="10"/>
        <v>398.3284916837336</v>
      </c>
      <c r="L61" s="606">
        <f t="shared" si="11"/>
        <v>391.3284916837336</v>
      </c>
    </row>
    <row r="62" spans="1:12">
      <c r="A62" s="607">
        <f t="shared" si="15"/>
        <v>100</v>
      </c>
      <c r="B62" s="607">
        <f t="shared" si="16"/>
        <v>1255</v>
      </c>
      <c r="C62" s="603">
        <f t="shared" si="6"/>
        <v>305</v>
      </c>
      <c r="D62" s="607">
        <f t="shared" si="17"/>
        <v>1650</v>
      </c>
      <c r="E62" s="603">
        <v>28.5</v>
      </c>
      <c r="F62" s="604">
        <f t="shared" si="0"/>
        <v>627.5</v>
      </c>
      <c r="G62" s="604">
        <f t="shared" si="1"/>
        <v>0.51394422310756971</v>
      </c>
      <c r="H62" s="604">
        <f t="shared" si="7"/>
        <v>1.0310198941930548</v>
      </c>
      <c r="I62" s="604">
        <f t="shared" si="8"/>
        <v>232373.8367562097</v>
      </c>
      <c r="J62" s="604">
        <f t="shared" si="9"/>
        <v>407906557.11716437</v>
      </c>
      <c r="K62" s="605">
        <f t="shared" si="10"/>
        <v>407.90655711716437</v>
      </c>
      <c r="L62" s="606">
        <f t="shared" si="11"/>
        <v>400.90655711716437</v>
      </c>
    </row>
    <row r="63" spans="1:12">
      <c r="A63" s="607">
        <f t="shared" si="15"/>
        <v>100</v>
      </c>
      <c r="B63" s="607">
        <f t="shared" si="16"/>
        <v>1255</v>
      </c>
      <c r="C63" s="603">
        <f t="shared" si="6"/>
        <v>310</v>
      </c>
      <c r="D63" s="607">
        <f t="shared" si="17"/>
        <v>1650</v>
      </c>
      <c r="E63" s="603">
        <v>29</v>
      </c>
      <c r="F63" s="604">
        <f t="shared" si="0"/>
        <v>627.5</v>
      </c>
      <c r="G63" s="604">
        <f t="shared" si="1"/>
        <v>0.50597609561752988</v>
      </c>
      <c r="H63" s="604">
        <f t="shared" si="7"/>
        <v>1.0402830938509027</v>
      </c>
      <c r="I63" s="604">
        <f t="shared" si="8"/>
        <v>237771.55325895999</v>
      </c>
      <c r="J63" s="604">
        <f t="shared" si="9"/>
        <v>417542124.89219463</v>
      </c>
      <c r="K63" s="605">
        <f t="shared" si="10"/>
        <v>417.54212489219464</v>
      </c>
      <c r="L63" s="606">
        <f t="shared" si="11"/>
        <v>410.54212489219464</v>
      </c>
    </row>
    <row r="64" spans="1:12">
      <c r="A64" s="607">
        <f t="shared" si="15"/>
        <v>100</v>
      </c>
      <c r="B64" s="607">
        <f t="shared" si="16"/>
        <v>1255</v>
      </c>
      <c r="C64" s="603">
        <f t="shared" si="6"/>
        <v>315</v>
      </c>
      <c r="D64" s="607">
        <f t="shared" si="17"/>
        <v>1650</v>
      </c>
      <c r="E64" s="603">
        <v>29.5</v>
      </c>
      <c r="F64" s="604">
        <f t="shared" si="0"/>
        <v>627.5</v>
      </c>
      <c r="G64" s="604">
        <f t="shared" si="1"/>
        <v>0.49800796812749004</v>
      </c>
      <c r="H64" s="604">
        <f t="shared" si="7"/>
        <v>1.049496228162158</v>
      </c>
      <c r="I64" s="604">
        <f t="shared" si="8"/>
        <v>243198.60093511586</v>
      </c>
      <c r="J64" s="604">
        <f t="shared" si="9"/>
        <v>427234036.95726842</v>
      </c>
      <c r="K64" s="605">
        <f t="shared" si="10"/>
        <v>427.23403695726842</v>
      </c>
      <c r="L64" s="606">
        <f t="shared" si="11"/>
        <v>420.23403695726842</v>
      </c>
    </row>
    <row r="65" spans="1:12">
      <c r="A65" s="607">
        <f t="shared" si="15"/>
        <v>100</v>
      </c>
      <c r="B65" s="607">
        <f t="shared" si="16"/>
        <v>1255</v>
      </c>
      <c r="C65" s="603">
        <f t="shared" si="6"/>
        <v>320</v>
      </c>
      <c r="D65" s="607">
        <f t="shared" si="17"/>
        <v>1650</v>
      </c>
      <c r="E65" s="603">
        <v>30</v>
      </c>
      <c r="F65" s="604">
        <f t="shared" si="0"/>
        <v>627.5</v>
      </c>
      <c r="G65" s="604">
        <f t="shared" si="1"/>
        <v>0.49003984063745021</v>
      </c>
      <c r="H65" s="604">
        <f t="shared" si="7"/>
        <v>1.0586608699213649</v>
      </c>
      <c r="I65" s="604">
        <f t="shared" si="8"/>
        <v>248654.3638884931</v>
      </c>
      <c r="J65" s="604">
        <f t="shared" si="9"/>
        <v>436981151.92062807</v>
      </c>
      <c r="K65" s="605">
        <f t="shared" si="10"/>
        <v>436.98115192062806</v>
      </c>
      <c r="L65" s="606">
        <f t="shared" si="11"/>
        <v>429.98115192062806</v>
      </c>
    </row>
    <row r="66" spans="1:12">
      <c r="A66" s="607">
        <f t="shared" si="15"/>
        <v>100</v>
      </c>
      <c r="B66" s="607">
        <f t="shared" si="16"/>
        <v>1255</v>
      </c>
      <c r="C66" s="603">
        <f t="shared" si="6"/>
        <v>325</v>
      </c>
      <c r="D66" s="607">
        <f t="shared" si="17"/>
        <v>1650</v>
      </c>
      <c r="E66" s="603">
        <v>30.5</v>
      </c>
      <c r="F66" s="604">
        <f t="shared" si="0"/>
        <v>627.5</v>
      </c>
      <c r="G66" s="604">
        <f t="shared" si="1"/>
        <v>0.48207171314741037</v>
      </c>
      <c r="H66" s="604">
        <f t="shared" si="7"/>
        <v>1.0677785347864939</v>
      </c>
      <c r="I66" s="604">
        <f t="shared" si="8"/>
        <v>254138.23589844248</v>
      </c>
      <c r="J66" s="604">
        <f t="shared" si="9"/>
        <v>446782344.35514826</v>
      </c>
      <c r="K66" s="605">
        <f t="shared" si="10"/>
        <v>446.78234435514827</v>
      </c>
      <c r="L66" s="606">
        <f t="shared" si="11"/>
        <v>439.78234435514827</v>
      </c>
    </row>
    <row r="67" spans="1:12">
      <c r="A67" s="607">
        <f t="shared" si="15"/>
        <v>100</v>
      </c>
      <c r="B67" s="607">
        <f t="shared" si="16"/>
        <v>1255</v>
      </c>
      <c r="C67" s="603">
        <f t="shared" si="6"/>
        <v>330</v>
      </c>
      <c r="D67" s="607">
        <f t="shared" si="17"/>
        <v>1650</v>
      </c>
      <c r="E67" s="603">
        <v>31</v>
      </c>
      <c r="F67" s="604">
        <f t="shared" si="0"/>
        <v>627.5</v>
      </c>
      <c r="G67" s="604">
        <f t="shared" si="1"/>
        <v>0.47410358565737054</v>
      </c>
      <c r="H67" s="604">
        <f t="shared" si="7"/>
        <v>1.0768506844509149</v>
      </c>
      <c r="I67" s="604">
        <f t="shared" si="8"/>
        <v>259649.62002024645</v>
      </c>
      <c r="J67" s="604">
        <f t="shared" si="9"/>
        <v>456636504.13899124</v>
      </c>
      <c r="K67" s="605">
        <f t="shared" si="10"/>
        <v>456.63650413899126</v>
      </c>
      <c r="L67" s="606">
        <f t="shared" si="11"/>
        <v>449.63650413899126</v>
      </c>
    </row>
    <row r="68" spans="1:12">
      <c r="A68" s="607">
        <f t="shared" si="15"/>
        <v>100</v>
      </c>
      <c r="B68" s="607">
        <f t="shared" si="16"/>
        <v>1255</v>
      </c>
      <c r="C68" s="603">
        <f t="shared" si="6"/>
        <v>335</v>
      </c>
      <c r="D68" s="607">
        <f t="shared" si="17"/>
        <v>1650</v>
      </c>
      <c r="E68" s="603">
        <v>31.5</v>
      </c>
      <c r="F68" s="604">
        <f t="shared" ref="F68:F131" si="18">B68/2</f>
        <v>627.5</v>
      </c>
      <c r="G68" s="604">
        <f t="shared" ref="G68:G131" si="19">IF(C68=2*F68,0,(F68-C68)/F68)</f>
        <v>0.46613545816733065</v>
      </c>
      <c r="H68" s="604">
        <f t="shared" si="7"/>
        <v>1.0858787296013384</v>
      </c>
      <c r="I68" s="604">
        <f t="shared" si="8"/>
        <v>265187.92820573749</v>
      </c>
      <c r="J68" s="604">
        <f t="shared" si="9"/>
        <v>466542535.8296265</v>
      </c>
      <c r="K68" s="605">
        <f t="shared" si="10"/>
        <v>466.5425358296265</v>
      </c>
      <c r="L68" s="606">
        <f t="shared" si="11"/>
        <v>459.5425358296265</v>
      </c>
    </row>
    <row r="69" spans="1:12">
      <c r="A69" s="607">
        <f t="shared" si="15"/>
        <v>100</v>
      </c>
      <c r="B69" s="607">
        <f t="shared" si="16"/>
        <v>1255</v>
      </c>
      <c r="C69" s="603">
        <f t="shared" si="6"/>
        <v>340</v>
      </c>
      <c r="D69" s="607">
        <f t="shared" si="17"/>
        <v>1650</v>
      </c>
      <c r="E69" s="603">
        <v>32</v>
      </c>
      <c r="F69" s="604">
        <f t="shared" si="18"/>
        <v>627.5</v>
      </c>
      <c r="G69" s="604">
        <f t="shared" si="19"/>
        <v>0.45816733067729082</v>
      </c>
      <c r="H69" s="604">
        <f t="shared" si="7"/>
        <v>1.0948640326793333</v>
      </c>
      <c r="I69" s="604">
        <f t="shared" si="8"/>
        <v>270752.58094277186</v>
      </c>
      <c r="J69" s="604">
        <f t="shared" si="9"/>
        <v>476499358.06896305</v>
      </c>
      <c r="K69" s="605">
        <f t="shared" si="10"/>
        <v>476.49935806896303</v>
      </c>
      <c r="L69" s="606">
        <f t="shared" si="11"/>
        <v>469.49935806896303</v>
      </c>
    </row>
    <row r="70" spans="1:12">
      <c r="A70" s="607">
        <f t="shared" si="15"/>
        <v>100</v>
      </c>
      <c r="B70" s="607">
        <f t="shared" si="16"/>
        <v>1255</v>
      </c>
      <c r="C70" s="603">
        <f t="shared" ref="C70:C133" si="20">(E70+2)*10</f>
        <v>345</v>
      </c>
      <c r="D70" s="607">
        <f t="shared" si="17"/>
        <v>1650</v>
      </c>
      <c r="E70" s="603">
        <v>32.5</v>
      </c>
      <c r="F70" s="604">
        <f t="shared" si="18"/>
        <v>627.5</v>
      </c>
      <c r="G70" s="604">
        <f t="shared" si="19"/>
        <v>0.45019920318725098</v>
      </c>
      <c r="H70" s="604">
        <f t="shared" ref="H70:H133" si="21">IF(C70=0,0,IF(C70=2*F70,PI(),ATAN(-G70 / SQRT(-G70 * G70 + 1)) + 2 * ATAN(1)))</f>
        <v>1.1038079104623606</v>
      </c>
      <c r="I70" s="604">
        <f t="shared" ref="I70:I133" si="22">IF(C70=0,(F70 ^ 2) * (H70) - ((F70 - C70) * SQRT((2 * F70 * C70) - (C70 ^ 2))),IF(C70=2*F70,
(F70 ^ 2) * (H70) - ((F70 - C70) * SQRT((2 * F70 * C70) - (C70 ^ 2))),
(F70 ^ 2) * (H70) - ((F70 - C70) * SQRT((2 * F70 * C70) - (C70 ^ 2)))))</f>
        <v>276343.00691230409</v>
      </c>
      <c r="J70" s="604">
        <f t="shared" ref="J70:J133" si="23">(I70 * D70) + (PI() * A70 * (C70 ^ 2) * (1 - (C70 / (3 * F70))))</f>
        <v>486505903.01752192</v>
      </c>
      <c r="K70" s="605">
        <f t="shared" ref="K70:K133" si="24">IF(F70&lt;=0,"Λάθος δεδομένα!",((I70*D70)+(PI()*A70*(C70^2)*(1-(C70/(3*F70)))))/1000000)</f>
        <v>486.50590301752192</v>
      </c>
      <c r="L70" s="606">
        <f t="shared" ref="L70:L133" si="25">K70-7</f>
        <v>479.50590301752192</v>
      </c>
    </row>
    <row r="71" spans="1:12">
      <c r="A71" s="607">
        <f t="shared" ref="A71:A134" si="26">$A$5</f>
        <v>100</v>
      </c>
      <c r="B71" s="607">
        <f t="shared" ref="B71:B134" si="27">$B$5</f>
        <v>1255</v>
      </c>
      <c r="C71" s="603">
        <f t="shared" si="20"/>
        <v>350</v>
      </c>
      <c r="D71" s="607">
        <f t="shared" ref="D71:D134" si="28">$D$5</f>
        <v>1650</v>
      </c>
      <c r="E71" s="603">
        <v>33</v>
      </c>
      <c r="F71" s="604">
        <f t="shared" si="18"/>
        <v>627.5</v>
      </c>
      <c r="G71" s="604">
        <f t="shared" si="19"/>
        <v>0.44223107569721115</v>
      </c>
      <c r="H71" s="604">
        <f t="shared" si="21"/>
        <v>1.1127116364787544</v>
      </c>
      <c r="I71" s="604">
        <f t="shared" si="22"/>
        <v>281958.64266190474</v>
      </c>
      <c r="J71" s="604">
        <f t="shared" si="23"/>
        <v>496561115.81574064</v>
      </c>
      <c r="K71" s="605">
        <f t="shared" si="24"/>
        <v>496.56111581574066</v>
      </c>
      <c r="L71" s="606">
        <f t="shared" si="25"/>
        <v>489.56111581574066</v>
      </c>
    </row>
    <row r="72" spans="1:12">
      <c r="A72" s="607">
        <f t="shared" si="26"/>
        <v>100</v>
      </c>
      <c r="B72" s="607">
        <f t="shared" si="27"/>
        <v>1255</v>
      </c>
      <c r="C72" s="603">
        <f t="shared" si="20"/>
        <v>355</v>
      </c>
      <c r="D72" s="607">
        <f t="shared" si="28"/>
        <v>1650</v>
      </c>
      <c r="E72" s="603">
        <v>33.5</v>
      </c>
      <c r="F72" s="604">
        <f t="shared" si="18"/>
        <v>627.5</v>
      </c>
      <c r="G72" s="604">
        <f t="shared" si="19"/>
        <v>0.43426294820717132</v>
      </c>
      <c r="H72" s="604">
        <f t="shared" si="21"/>
        <v>1.1215764432697513</v>
      </c>
      <c r="I72" s="604">
        <f t="shared" si="22"/>
        <v>287598.93229465291</v>
      </c>
      <c r="J72" s="604">
        <f t="shared" si="23"/>
        <v>506663954.07064581</v>
      </c>
      <c r="K72" s="605">
        <f t="shared" si="24"/>
        <v>506.66395407064579</v>
      </c>
      <c r="L72" s="606">
        <f t="shared" si="25"/>
        <v>499.66395407064579</v>
      </c>
    </row>
    <row r="73" spans="1:12">
      <c r="A73" s="607">
        <f t="shared" si="26"/>
        <v>100</v>
      </c>
      <c r="B73" s="607">
        <f t="shared" si="27"/>
        <v>1255</v>
      </c>
      <c r="C73" s="603">
        <f t="shared" si="20"/>
        <v>360</v>
      </c>
      <c r="D73" s="607">
        <f t="shared" si="28"/>
        <v>1650</v>
      </c>
      <c r="E73" s="603">
        <v>34</v>
      </c>
      <c r="F73" s="604">
        <f t="shared" si="18"/>
        <v>627.5</v>
      </c>
      <c r="G73" s="604">
        <f t="shared" si="19"/>
        <v>0.42629482071713148</v>
      </c>
      <c r="H73" s="604">
        <f t="shared" si="21"/>
        <v>1.1304035245104775</v>
      </c>
      <c r="I73" s="604">
        <f t="shared" si="22"/>
        <v>293263.32717242208</v>
      </c>
      <c r="J73" s="604">
        <f t="shared" si="23"/>
        <v>516813387.3662746</v>
      </c>
      <c r="K73" s="605">
        <f t="shared" si="24"/>
        <v>516.81338736627458</v>
      </c>
      <c r="L73" s="606">
        <f t="shared" si="25"/>
        <v>509.81338736627458</v>
      </c>
    </row>
    <row r="74" spans="1:12">
      <c r="A74" s="607">
        <f t="shared" si="26"/>
        <v>100</v>
      </c>
      <c r="B74" s="607">
        <f t="shared" si="27"/>
        <v>1255</v>
      </c>
      <c r="C74" s="603">
        <f t="shared" si="20"/>
        <v>365</v>
      </c>
      <c r="D74" s="607">
        <f t="shared" si="28"/>
        <v>1650</v>
      </c>
      <c r="E74" s="603">
        <v>34.5</v>
      </c>
      <c r="F74" s="604">
        <f t="shared" si="18"/>
        <v>627.5</v>
      </c>
      <c r="G74" s="604">
        <f t="shared" si="19"/>
        <v>0.41832669322709165</v>
      </c>
      <c r="H74" s="604">
        <f t="shared" si="21"/>
        <v>1.1391940370007287</v>
      </c>
      <c r="I74" s="604">
        <f t="shared" si="22"/>
        <v>298951.28563264711</v>
      </c>
      <c r="J74" s="604">
        <f t="shared" si="23"/>
        <v>527008396.7963407</v>
      </c>
      <c r="K74" s="605">
        <f t="shared" si="24"/>
        <v>527.00839679634066</v>
      </c>
      <c r="L74" s="606">
        <f t="shared" si="25"/>
        <v>520.00839679634066</v>
      </c>
    </row>
    <row r="75" spans="1:12">
      <c r="A75" s="607">
        <f t="shared" si="26"/>
        <v>100</v>
      </c>
      <c r="B75" s="607">
        <f t="shared" si="27"/>
        <v>1255</v>
      </c>
      <c r="C75" s="603">
        <f t="shared" si="20"/>
        <v>370</v>
      </c>
      <c r="D75" s="607">
        <f t="shared" si="28"/>
        <v>1650</v>
      </c>
      <c r="E75" s="603">
        <v>35</v>
      </c>
      <c r="F75" s="604">
        <f t="shared" si="18"/>
        <v>627.5</v>
      </c>
      <c r="G75" s="604">
        <f t="shared" si="19"/>
        <v>0.41035856573705182</v>
      </c>
      <c r="H75" s="604">
        <f t="shared" si="21"/>
        <v>1.1479491025354127</v>
      </c>
      <c r="I75" s="604">
        <f t="shared" si="22"/>
        <v>304662.2727177284</v>
      </c>
      <c r="J75" s="604">
        <f t="shared" si="23"/>
        <v>537247974.51775086</v>
      </c>
      <c r="K75" s="605">
        <f t="shared" si="24"/>
        <v>537.24797451775089</v>
      </c>
      <c r="L75" s="606">
        <f t="shared" si="25"/>
        <v>530.24797451775089</v>
      </c>
    </row>
    <row r="76" spans="1:12">
      <c r="A76" s="607">
        <f t="shared" si="26"/>
        <v>100</v>
      </c>
      <c r="B76" s="607">
        <f t="shared" si="27"/>
        <v>1255</v>
      </c>
      <c r="C76" s="603">
        <f t="shared" si="20"/>
        <v>375</v>
      </c>
      <c r="D76" s="607">
        <f t="shared" si="28"/>
        <v>1650</v>
      </c>
      <c r="E76" s="603">
        <v>35.5</v>
      </c>
      <c r="F76" s="604">
        <f t="shared" si="18"/>
        <v>627.5</v>
      </c>
      <c r="G76" s="604">
        <f t="shared" si="19"/>
        <v>0.40239043824701193</v>
      </c>
      <c r="H76" s="604">
        <f t="shared" si="21"/>
        <v>1.1566698096636747</v>
      </c>
      <c r="I76" s="604">
        <f t="shared" si="22"/>
        <v>310395.75991629704</v>
      </c>
      <c r="J76" s="604">
        <f t="shared" si="23"/>
        <v>547531123.32369256</v>
      </c>
      <c r="K76" s="605">
        <f t="shared" si="24"/>
        <v>547.53112332369255</v>
      </c>
      <c r="L76" s="606">
        <f t="shared" si="25"/>
        <v>540.53112332369255</v>
      </c>
    </row>
    <row r="77" spans="1:12">
      <c r="A77" s="607">
        <f t="shared" si="26"/>
        <v>100</v>
      </c>
      <c r="B77" s="607">
        <f t="shared" si="27"/>
        <v>1255</v>
      </c>
      <c r="C77" s="603">
        <f t="shared" si="20"/>
        <v>380</v>
      </c>
      <c r="D77" s="607">
        <f t="shared" si="28"/>
        <v>1650</v>
      </c>
      <c r="E77" s="603">
        <v>36</v>
      </c>
      <c r="F77" s="604">
        <f t="shared" si="18"/>
        <v>627.5</v>
      </c>
      <c r="G77" s="604">
        <f t="shared" si="19"/>
        <v>0.39442231075697209</v>
      </c>
      <c r="H77" s="604">
        <f t="shared" si="21"/>
        <v>1.165357215344931</v>
      </c>
      <c r="I77" s="604">
        <f t="shared" si="22"/>
        <v>316151.22491561144</v>
      </c>
      <c r="J77" s="604">
        <f t="shared" si="23"/>
        <v>557856856.23508799</v>
      </c>
      <c r="K77" s="605">
        <f t="shared" si="24"/>
        <v>557.856856235088</v>
      </c>
      <c r="L77" s="606">
        <f t="shared" si="25"/>
        <v>550.856856235088</v>
      </c>
    </row>
    <row r="78" spans="1:12">
      <c r="A78" s="607">
        <f t="shared" si="26"/>
        <v>100</v>
      </c>
      <c r="B78" s="607">
        <f t="shared" si="27"/>
        <v>1255</v>
      </c>
      <c r="C78" s="603">
        <f t="shared" si="20"/>
        <v>385</v>
      </c>
      <c r="D78" s="607">
        <f t="shared" si="28"/>
        <v>1650</v>
      </c>
      <c r="E78" s="603">
        <v>36.5</v>
      </c>
      <c r="F78" s="604">
        <f t="shared" si="18"/>
        <v>627.5</v>
      </c>
      <c r="G78" s="604">
        <f t="shared" si="19"/>
        <v>0.38645418326693226</v>
      </c>
      <c r="H78" s="604">
        <f t="shared" si="21"/>
        <v>1.1740123465093533</v>
      </c>
      <c r="I78" s="604">
        <f t="shared" si="22"/>
        <v>321928.1513644174</v>
      </c>
      <c r="J78" s="604">
        <f t="shared" si="23"/>
        <v>568224196.10931396</v>
      </c>
      <c r="K78" s="605">
        <f t="shared" si="24"/>
        <v>568.22419610931399</v>
      </c>
      <c r="L78" s="606">
        <f t="shared" si="25"/>
        <v>561.22419610931399</v>
      </c>
    </row>
    <row r="79" spans="1:12">
      <c r="A79" s="607">
        <f t="shared" si="26"/>
        <v>100</v>
      </c>
      <c r="B79" s="607">
        <f t="shared" si="27"/>
        <v>1255</v>
      </c>
      <c r="C79" s="603">
        <f t="shared" si="20"/>
        <v>390</v>
      </c>
      <c r="D79" s="607">
        <f t="shared" si="28"/>
        <v>1650</v>
      </c>
      <c r="E79" s="603">
        <v>37</v>
      </c>
      <c r="F79" s="604">
        <f t="shared" si="18"/>
        <v>627.5</v>
      </c>
      <c r="G79" s="604">
        <f t="shared" si="19"/>
        <v>0.37848605577689243</v>
      </c>
      <c r="H79" s="604">
        <f t="shared" si="21"/>
        <v>1.1826362015296958</v>
      </c>
      <c r="I79" s="604">
        <f t="shared" si="22"/>
        <v>327726.02864564373</v>
      </c>
      <c r="J79" s="604">
        <f t="shared" si="23"/>
        <v>578632175.265149</v>
      </c>
      <c r="K79" s="605">
        <f t="shared" si="24"/>
        <v>578.63217526514904</v>
      </c>
      <c r="L79" s="606">
        <f t="shared" si="25"/>
        <v>571.63217526514904</v>
      </c>
    </row>
    <row r="80" spans="1:12">
      <c r="A80" s="607">
        <f t="shared" si="26"/>
        <v>100</v>
      </c>
      <c r="B80" s="607">
        <f t="shared" si="27"/>
        <v>1255</v>
      </c>
      <c r="C80" s="603">
        <f t="shared" si="20"/>
        <v>395</v>
      </c>
      <c r="D80" s="607">
        <f t="shared" si="28"/>
        <v>1650</v>
      </c>
      <c r="E80" s="603">
        <v>37.5</v>
      </c>
      <c r="F80" s="604">
        <f t="shared" si="18"/>
        <v>627.5</v>
      </c>
      <c r="G80" s="604">
        <f t="shared" si="19"/>
        <v>0.37051792828685259</v>
      </c>
      <c r="H80" s="604">
        <f t="shared" si="21"/>
        <v>1.1912297516108061</v>
      </c>
      <c r="I80" s="604">
        <f t="shared" si="22"/>
        <v>333544.35165835288</v>
      </c>
      <c r="J80" s="604">
        <f t="shared" si="23"/>
        <v>589079835.12299228</v>
      </c>
      <c r="K80" s="605">
        <f t="shared" si="24"/>
        <v>589.07983512299222</v>
      </c>
      <c r="L80" s="606">
        <f t="shared" si="25"/>
        <v>582.07983512299222</v>
      </c>
    </row>
    <row r="81" spans="1:12">
      <c r="A81" s="607">
        <f t="shared" si="26"/>
        <v>100</v>
      </c>
      <c r="B81" s="607">
        <f t="shared" si="27"/>
        <v>1255</v>
      </c>
      <c r="C81" s="603">
        <f t="shared" si="20"/>
        <v>400</v>
      </c>
      <c r="D81" s="607">
        <f t="shared" si="28"/>
        <v>1650</v>
      </c>
      <c r="E81" s="603">
        <v>38</v>
      </c>
      <c r="F81" s="604">
        <f t="shared" si="18"/>
        <v>627.5</v>
      </c>
      <c r="G81" s="604">
        <f t="shared" si="19"/>
        <v>0.36254980079681276</v>
      </c>
      <c r="H81" s="604">
        <f t="shared" si="21"/>
        <v>1.1997939421026231</v>
      </c>
      <c r="I81" s="604">
        <f t="shared" si="22"/>
        <v>339382.6206084037</v>
      </c>
      <c r="J81" s="604">
        <f t="shared" si="23"/>
        <v>599566225.85945702</v>
      </c>
      <c r="K81" s="605">
        <f t="shared" si="24"/>
        <v>599.56622585945706</v>
      </c>
      <c r="L81" s="606">
        <f t="shared" si="25"/>
        <v>592.56622585945706</v>
      </c>
    </row>
    <row r="82" spans="1:12">
      <c r="A82" s="607">
        <f t="shared" si="26"/>
        <v>100</v>
      </c>
      <c r="B82" s="607">
        <f t="shared" si="27"/>
        <v>1255</v>
      </c>
      <c r="C82" s="603">
        <f t="shared" si="20"/>
        <v>405</v>
      </c>
      <c r="D82" s="607">
        <f t="shared" si="28"/>
        <v>1650</v>
      </c>
      <c r="E82" s="603">
        <v>38.5</v>
      </c>
      <c r="F82" s="604">
        <f t="shared" si="18"/>
        <v>627.5</v>
      </c>
      <c r="G82" s="604">
        <f t="shared" si="19"/>
        <v>0.35458167330677293</v>
      </c>
      <c r="H82" s="604">
        <f t="shared" si="21"/>
        <v>1.208329693742014</v>
      </c>
      <c r="I82" s="604">
        <f t="shared" si="22"/>
        <v>345240.3408073209</v>
      </c>
      <c r="J82" s="604">
        <f t="shared" si="23"/>
        <v>610090406.07550502</v>
      </c>
      <c r="K82" s="605">
        <f t="shared" si="24"/>
        <v>610.09040607550503</v>
      </c>
      <c r="L82" s="606">
        <f t="shared" si="25"/>
        <v>603.09040607550503</v>
      </c>
    </row>
    <row r="83" spans="1:12">
      <c r="A83" s="607">
        <f t="shared" si="26"/>
        <v>100</v>
      </c>
      <c r="B83" s="607">
        <f t="shared" si="27"/>
        <v>1255</v>
      </c>
      <c r="C83" s="603">
        <f t="shared" si="20"/>
        <v>410</v>
      </c>
      <c r="D83" s="607">
        <f t="shared" si="28"/>
        <v>1650</v>
      </c>
      <c r="E83" s="603">
        <v>39</v>
      </c>
      <c r="F83" s="604">
        <f t="shared" si="18"/>
        <v>627.5</v>
      </c>
      <c r="G83" s="604">
        <f t="shared" si="19"/>
        <v>0.34661354581673309</v>
      </c>
      <c r="H83" s="604">
        <f t="shared" si="21"/>
        <v>1.2168379038283652</v>
      </c>
      <c r="I83" s="604">
        <f t="shared" si="22"/>
        <v>351117.02247889998</v>
      </c>
      <c r="J83" s="604">
        <f t="shared" si="23"/>
        <v>620651442.47734475</v>
      </c>
      <c r="K83" s="605">
        <f t="shared" si="24"/>
        <v>620.65144247734474</v>
      </c>
      <c r="L83" s="606">
        <f t="shared" si="25"/>
        <v>613.65144247734474</v>
      </c>
    </row>
    <row r="84" spans="1:12">
      <c r="A84" s="607">
        <f t="shared" si="26"/>
        <v>100</v>
      </c>
      <c r="B84" s="607">
        <f t="shared" si="27"/>
        <v>1255</v>
      </c>
      <c r="C84" s="603">
        <f t="shared" si="20"/>
        <v>415</v>
      </c>
      <c r="D84" s="607">
        <f t="shared" si="28"/>
        <v>1650</v>
      </c>
      <c r="E84" s="603">
        <v>39.5</v>
      </c>
      <c r="F84" s="604">
        <f t="shared" si="18"/>
        <v>627.5</v>
      </c>
      <c r="G84" s="604">
        <f t="shared" si="19"/>
        <v>0.3386454183266932</v>
      </c>
      <c r="H84" s="604">
        <f t="shared" si="21"/>
        <v>1.2253194473374625</v>
      </c>
      <c r="I84" s="604">
        <f t="shared" si="22"/>
        <v>357012.18057310488</v>
      </c>
      <c r="J84" s="604">
        <f t="shared" si="23"/>
        <v>631248409.56936312</v>
      </c>
      <c r="K84" s="605">
        <f t="shared" si="24"/>
        <v>631.24840956936316</v>
      </c>
      <c r="L84" s="606">
        <f t="shared" si="25"/>
        <v>624.24840956936316</v>
      </c>
    </row>
    <row r="85" spans="1:12">
      <c r="A85" s="607">
        <f t="shared" si="26"/>
        <v>100</v>
      </c>
      <c r="B85" s="607">
        <f t="shared" si="27"/>
        <v>1255</v>
      </c>
      <c r="C85" s="603">
        <f t="shared" si="20"/>
        <v>420</v>
      </c>
      <c r="D85" s="607">
        <f t="shared" si="28"/>
        <v>1650</v>
      </c>
      <c r="E85" s="603">
        <v>40</v>
      </c>
      <c r="F85" s="604">
        <f t="shared" si="18"/>
        <v>627.5</v>
      </c>
      <c r="G85" s="604">
        <f t="shared" si="19"/>
        <v>0.33067729083665337</v>
      </c>
      <c r="H85" s="604">
        <f t="shared" si="21"/>
        <v>1.2337751779778423</v>
      </c>
      <c r="I85" s="604">
        <f t="shared" si="22"/>
        <v>362925.33458684647</v>
      </c>
      <c r="J85" s="604">
        <f t="shared" si="23"/>
        <v>641880389.35840893</v>
      </c>
      <c r="K85" s="605">
        <f t="shared" si="24"/>
        <v>641.88038935840893</v>
      </c>
      <c r="L85" s="606">
        <f t="shared" si="25"/>
        <v>634.88038935840893</v>
      </c>
    </row>
    <row r="86" spans="1:12">
      <c r="A86" s="607">
        <f t="shared" si="26"/>
        <v>100</v>
      </c>
      <c r="B86" s="607">
        <f t="shared" si="27"/>
        <v>1255</v>
      </c>
      <c r="C86" s="603">
        <f t="shared" si="20"/>
        <v>425</v>
      </c>
      <c r="D86" s="607">
        <f t="shared" si="28"/>
        <v>1650</v>
      </c>
      <c r="E86" s="603">
        <v>40.5</v>
      </c>
      <c r="F86" s="604">
        <f t="shared" si="18"/>
        <v>627.5</v>
      </c>
      <c r="G86" s="604">
        <f t="shared" si="19"/>
        <v>0.32270916334661354</v>
      </c>
      <c r="H86" s="604">
        <f t="shared" si="21"/>
        <v>1.2422059291934757</v>
      </c>
      <c r="I86" s="604">
        <f t="shared" si="22"/>
        <v>368856.00839125563</v>
      </c>
      <c r="J86" s="604">
        <f t="shared" si="23"/>
        <v>652546471.06879413</v>
      </c>
      <c r="K86" s="605">
        <f t="shared" si="24"/>
        <v>652.54647106879418</v>
      </c>
      <c r="L86" s="606">
        <f t="shared" si="25"/>
        <v>645.54647106879418</v>
      </c>
    </row>
    <row r="87" spans="1:12">
      <c r="A87" s="607">
        <f t="shared" si="26"/>
        <v>100</v>
      </c>
      <c r="B87" s="607">
        <f t="shared" si="27"/>
        <v>1255</v>
      </c>
      <c r="C87" s="603">
        <f t="shared" si="20"/>
        <v>430</v>
      </c>
      <c r="D87" s="607">
        <f t="shared" si="28"/>
        <v>1650</v>
      </c>
      <c r="E87" s="603">
        <v>41</v>
      </c>
      <c r="F87" s="604">
        <f t="shared" si="18"/>
        <v>627.5</v>
      </c>
      <c r="G87" s="604">
        <f t="shared" si="19"/>
        <v>0.3147410358565737</v>
      </c>
      <c r="H87" s="604">
        <f t="shared" si="21"/>
        <v>1.2506125151163574</v>
      </c>
      <c r="I87" s="604">
        <f t="shared" si="22"/>
        <v>374803.7300650879</v>
      </c>
      <c r="J87" s="604">
        <f t="shared" si="23"/>
        <v>663245750.86741173</v>
      </c>
      <c r="K87" s="605">
        <f t="shared" si="24"/>
        <v>663.24575086741174</v>
      </c>
      <c r="L87" s="606">
        <f t="shared" si="25"/>
        <v>656.24575086741174</v>
      </c>
    </row>
    <row r="88" spans="1:12">
      <c r="A88" s="607">
        <f t="shared" si="26"/>
        <v>100</v>
      </c>
      <c r="B88" s="607">
        <f t="shared" si="27"/>
        <v>1255</v>
      </c>
      <c r="C88" s="603">
        <f t="shared" si="20"/>
        <v>435</v>
      </c>
      <c r="D88" s="607">
        <f t="shared" si="28"/>
        <v>1650</v>
      </c>
      <c r="E88" s="603">
        <v>41.5</v>
      </c>
      <c r="F88" s="604">
        <f t="shared" si="18"/>
        <v>627.5</v>
      </c>
      <c r="G88" s="604">
        <f t="shared" si="19"/>
        <v>0.30677290836653387</v>
      </c>
      <c r="H88" s="604">
        <f t="shared" si="21"/>
        <v>1.2589957314723046</v>
      </c>
      <c r="I88" s="604">
        <f t="shared" si="22"/>
        <v>380768.03173392045</v>
      </c>
      <c r="J88" s="604">
        <f t="shared" si="23"/>
        <v>673977331.59840977</v>
      </c>
      <c r="K88" s="605">
        <f t="shared" si="24"/>
        <v>673.97733159840982</v>
      </c>
      <c r="L88" s="606">
        <f t="shared" si="25"/>
        <v>666.97733159840982</v>
      </c>
    </row>
    <row r="89" spans="1:12">
      <c r="A89" s="607">
        <f t="shared" si="26"/>
        <v>100</v>
      </c>
      <c r="B89" s="607">
        <f t="shared" si="27"/>
        <v>1255</v>
      </c>
      <c r="C89" s="603">
        <f t="shared" si="20"/>
        <v>440</v>
      </c>
      <c r="D89" s="607">
        <f t="shared" si="28"/>
        <v>1650</v>
      </c>
      <c r="E89" s="603">
        <v>42</v>
      </c>
      <c r="F89" s="604">
        <f t="shared" si="18"/>
        <v>627.5</v>
      </c>
      <c r="G89" s="604">
        <f t="shared" si="19"/>
        <v>0.29880478087649404</v>
      </c>
      <c r="H89" s="604">
        <f t="shared" si="21"/>
        <v>1.267356356443027</v>
      </c>
      <c r="I89" s="604">
        <f t="shared" si="22"/>
        <v>386748.44941482064</v>
      </c>
      <c r="J89" s="604">
        <f t="shared" si="23"/>
        <v>684740322.52689576</v>
      </c>
      <c r="K89" s="605">
        <f t="shared" si="24"/>
        <v>684.74032252689574</v>
      </c>
      <c r="L89" s="606">
        <f t="shared" si="25"/>
        <v>677.74032252689574</v>
      </c>
    </row>
    <row r="90" spans="1:12">
      <c r="A90" s="607">
        <f t="shared" si="26"/>
        <v>100</v>
      </c>
      <c r="B90" s="607">
        <f t="shared" si="27"/>
        <v>1255</v>
      </c>
      <c r="C90" s="603">
        <f t="shared" si="20"/>
        <v>445</v>
      </c>
      <c r="D90" s="607">
        <f t="shared" si="28"/>
        <v>1650</v>
      </c>
      <c r="E90" s="603">
        <v>42.5</v>
      </c>
      <c r="F90" s="604">
        <f t="shared" si="18"/>
        <v>627.5</v>
      </c>
      <c r="G90" s="604">
        <f t="shared" si="19"/>
        <v>0.2908366533864542</v>
      </c>
      <c r="H90" s="604">
        <f t="shared" si="21"/>
        <v>1.2756951514873114</v>
      </c>
      <c r="I90" s="604">
        <f t="shared" si="22"/>
        <v>392744.52286618808</v>
      </c>
      <c r="J90" s="604">
        <f t="shared" si="23"/>
        <v>695533839.09117496</v>
      </c>
      <c r="K90" s="605">
        <f t="shared" si="24"/>
        <v>695.53383909117497</v>
      </c>
      <c r="L90" s="606">
        <f t="shared" si="25"/>
        <v>688.53383909117497</v>
      </c>
    </row>
    <row r="91" spans="1:12">
      <c r="A91" s="607">
        <f t="shared" si="26"/>
        <v>100</v>
      </c>
      <c r="B91" s="607">
        <f t="shared" si="27"/>
        <v>1255</v>
      </c>
      <c r="C91" s="603">
        <f t="shared" si="20"/>
        <v>450</v>
      </c>
      <c r="D91" s="607">
        <f t="shared" si="28"/>
        <v>1650</v>
      </c>
      <c r="E91" s="603">
        <v>43</v>
      </c>
      <c r="F91" s="604">
        <f t="shared" si="18"/>
        <v>627.5</v>
      </c>
      <c r="G91" s="604">
        <f t="shared" si="19"/>
        <v>0.28286852589641437</v>
      </c>
      <c r="H91" s="604">
        <f t="shared" si="21"/>
        <v>1.2840128621239533</v>
      </c>
      <c r="I91" s="604">
        <f t="shared" si="22"/>
        <v>398755.79544248531</v>
      </c>
      <c r="J91" s="604">
        <f t="shared" si="23"/>
        <v>706357002.66305661</v>
      </c>
      <c r="K91" s="605">
        <f t="shared" si="24"/>
        <v>706.35700266305662</v>
      </c>
      <c r="L91" s="606">
        <f t="shared" si="25"/>
        <v>699.35700266305662</v>
      </c>
    </row>
    <row r="92" spans="1:12">
      <c r="A92" s="607">
        <f t="shared" si="26"/>
        <v>100</v>
      </c>
      <c r="B92" s="607">
        <f t="shared" si="27"/>
        <v>1255</v>
      </c>
      <c r="C92" s="603">
        <f t="shared" si="20"/>
        <v>455</v>
      </c>
      <c r="D92" s="607">
        <f t="shared" si="28"/>
        <v>1650</v>
      </c>
      <c r="E92" s="603">
        <v>43.5</v>
      </c>
      <c r="F92" s="604">
        <f t="shared" si="18"/>
        <v>627.5</v>
      </c>
      <c r="G92" s="604">
        <f t="shared" si="19"/>
        <v>0.27490039840637448</v>
      </c>
      <c r="H92" s="604">
        <f t="shared" si="21"/>
        <v>1.2923102186788946</v>
      </c>
      <c r="I92" s="604">
        <f t="shared" si="22"/>
        <v>404781.81395359279</v>
      </c>
      <c r="J92" s="604">
        <f t="shared" si="23"/>
        <v>717208940.3157897</v>
      </c>
      <c r="K92" s="605">
        <f t="shared" si="24"/>
        <v>717.20894031578973</v>
      </c>
      <c r="L92" s="606">
        <f t="shared" si="25"/>
        <v>710.20894031578973</v>
      </c>
    </row>
    <row r="93" spans="1:12">
      <c r="A93" s="607">
        <f t="shared" si="26"/>
        <v>100</v>
      </c>
      <c r="B93" s="607">
        <f t="shared" si="27"/>
        <v>1255</v>
      </c>
      <c r="C93" s="603">
        <f t="shared" si="20"/>
        <v>460</v>
      </c>
      <c r="D93" s="607">
        <f t="shared" si="28"/>
        <v>1650</v>
      </c>
      <c r="E93" s="603">
        <v>44</v>
      </c>
      <c r="F93" s="604">
        <f t="shared" si="18"/>
        <v>627.5</v>
      </c>
      <c r="G93" s="604">
        <f t="shared" si="19"/>
        <v>0.26693227091633465</v>
      </c>
      <c r="H93" s="604">
        <f t="shared" si="21"/>
        <v>1.3005879369988411</v>
      </c>
      <c r="I93" s="604">
        <f t="shared" si="22"/>
        <v>410822.12852853618</v>
      </c>
      <c r="J93" s="604">
        <f t="shared" si="23"/>
        <v>728088784.59921253</v>
      </c>
      <c r="K93" s="605">
        <f t="shared" si="24"/>
        <v>728.08878459921254</v>
      </c>
      <c r="L93" s="606">
        <f t="shared" si="25"/>
        <v>721.08878459921254</v>
      </c>
    </row>
    <row r="94" spans="1:12">
      <c r="A94" s="607">
        <f t="shared" si="26"/>
        <v>100</v>
      </c>
      <c r="B94" s="607">
        <f t="shared" si="27"/>
        <v>1255</v>
      </c>
      <c r="C94" s="603">
        <f t="shared" si="20"/>
        <v>465</v>
      </c>
      <c r="D94" s="607">
        <f t="shared" si="28"/>
        <v>1650</v>
      </c>
      <c r="E94" s="603">
        <v>44.5</v>
      </c>
      <c r="F94" s="604">
        <f t="shared" si="18"/>
        <v>627.5</v>
      </c>
      <c r="G94" s="604">
        <f t="shared" si="19"/>
        <v>0.25896414342629481</v>
      </c>
      <c r="H94" s="604">
        <f t="shared" si="21"/>
        <v>1.3088467191334896</v>
      </c>
      <c r="I94" s="604">
        <f t="shared" si="22"/>
        <v>416876.29248334927</v>
      </c>
      <c r="J94" s="604">
        <f t="shared" si="23"/>
        <v>738995673.32172692</v>
      </c>
      <c r="K94" s="605">
        <f t="shared" si="24"/>
        <v>738.99567332172694</v>
      </c>
      <c r="L94" s="606">
        <f t="shared" si="25"/>
        <v>731.99567332172694</v>
      </c>
    </row>
    <row r="95" spans="1:12">
      <c r="A95" s="607">
        <f t="shared" si="26"/>
        <v>100</v>
      </c>
      <c r="B95" s="607">
        <f t="shared" si="27"/>
        <v>1255</v>
      </c>
      <c r="C95" s="603">
        <f t="shared" si="20"/>
        <v>470</v>
      </c>
      <c r="D95" s="607">
        <f t="shared" si="28"/>
        <v>1650</v>
      </c>
      <c r="E95" s="603">
        <v>45</v>
      </c>
      <c r="F95" s="604">
        <f t="shared" si="18"/>
        <v>627.5</v>
      </c>
      <c r="G95" s="604">
        <f t="shared" si="19"/>
        <v>0.25099601593625498</v>
      </c>
      <c r="H95" s="604">
        <f t="shared" si="21"/>
        <v>1.3170872539883438</v>
      </c>
      <c r="I95" s="604">
        <f t="shared" si="22"/>
        <v>422943.86219284893</v>
      </c>
      <c r="J95" s="604">
        <f t="shared" si="23"/>
        <v>749928749.33872688</v>
      </c>
      <c r="K95" s="605">
        <f t="shared" si="24"/>
        <v>749.9287493387269</v>
      </c>
      <c r="L95" s="606">
        <f t="shared" si="25"/>
        <v>742.9287493387269</v>
      </c>
    </row>
    <row r="96" spans="1:12">
      <c r="A96" s="607">
        <f t="shared" si="26"/>
        <v>100</v>
      </c>
      <c r="B96" s="607">
        <f t="shared" si="27"/>
        <v>1255</v>
      </c>
      <c r="C96" s="603">
        <f t="shared" si="20"/>
        <v>475</v>
      </c>
      <c r="D96" s="607">
        <f t="shared" si="28"/>
        <v>1650</v>
      </c>
      <c r="E96" s="603">
        <v>45.5</v>
      </c>
      <c r="F96" s="604">
        <f t="shared" si="18"/>
        <v>627.5</v>
      </c>
      <c r="G96" s="604">
        <f t="shared" si="19"/>
        <v>0.24302788844621515</v>
      </c>
      <c r="H96" s="604">
        <f t="shared" si="21"/>
        <v>1.3253102179499678</v>
      </c>
      <c r="I96" s="604">
        <f t="shared" si="22"/>
        <v>429024.39696610952</v>
      </c>
      <c r="J96" s="604">
        <f t="shared" si="23"/>
        <v>760887160.34713101</v>
      </c>
      <c r="K96" s="605">
        <f t="shared" si="24"/>
        <v>760.88716034713104</v>
      </c>
      <c r="L96" s="606">
        <f t="shared" si="25"/>
        <v>753.88716034713104</v>
      </c>
    </row>
    <row r="97" spans="1:12">
      <c r="A97" s="607">
        <f t="shared" si="26"/>
        <v>100</v>
      </c>
      <c r="B97" s="607">
        <f t="shared" si="27"/>
        <v>1255</v>
      </c>
      <c r="C97" s="603">
        <f t="shared" si="20"/>
        <v>480</v>
      </c>
      <c r="D97" s="607">
        <f t="shared" si="28"/>
        <v>1650</v>
      </c>
      <c r="E97" s="603">
        <v>46</v>
      </c>
      <c r="F97" s="604">
        <f t="shared" si="18"/>
        <v>627.5</v>
      </c>
      <c r="G97" s="604">
        <f t="shared" si="19"/>
        <v>0.23505976095617531</v>
      </c>
      <c r="H97" s="604">
        <f t="shared" si="21"/>
        <v>1.3335162754854097</v>
      </c>
      <c r="I97" s="604">
        <f t="shared" si="22"/>
        <v>435117.45892543811</v>
      </c>
      <c r="J97" s="604">
        <f t="shared" si="23"/>
        <v>771870058.68569231</v>
      </c>
      <c r="K97" s="605">
        <f t="shared" si="24"/>
        <v>771.87005868569236</v>
      </c>
      <c r="L97" s="606">
        <f t="shared" si="25"/>
        <v>764.87005868569236</v>
      </c>
    </row>
    <row r="98" spans="1:12">
      <c r="A98" s="607">
        <f t="shared" si="26"/>
        <v>100</v>
      </c>
      <c r="B98" s="607">
        <f t="shared" si="27"/>
        <v>1255</v>
      </c>
      <c r="C98" s="603">
        <f t="shared" si="20"/>
        <v>485</v>
      </c>
      <c r="D98" s="607">
        <f t="shared" si="28"/>
        <v>1650</v>
      </c>
      <c r="E98" s="603">
        <v>46.5</v>
      </c>
      <c r="F98" s="604">
        <f t="shared" si="18"/>
        <v>627.5</v>
      </c>
      <c r="G98" s="604">
        <f t="shared" si="19"/>
        <v>0.22709163346613545</v>
      </c>
      <c r="H98" s="604">
        <f t="shared" si="21"/>
        <v>1.3417060797174063</v>
      </c>
      <c r="I98" s="604">
        <f t="shared" si="22"/>
        <v>441222.61288865888</v>
      </c>
      <c r="J98" s="604">
        <f t="shared" si="23"/>
        <v>782876601.14076638</v>
      </c>
      <c r="K98" s="605">
        <f t="shared" si="24"/>
        <v>782.87660114076641</v>
      </c>
      <c r="L98" s="606">
        <f t="shared" si="25"/>
        <v>775.87660114076641</v>
      </c>
    </row>
    <row r="99" spans="1:12">
      <c r="A99" s="607">
        <f t="shared" si="26"/>
        <v>100</v>
      </c>
      <c r="B99" s="607">
        <f t="shared" si="27"/>
        <v>1255</v>
      </c>
      <c r="C99" s="603">
        <f t="shared" si="20"/>
        <v>490</v>
      </c>
      <c r="D99" s="607">
        <f t="shared" si="28"/>
        <v>1650</v>
      </c>
      <c r="E99" s="603">
        <v>47</v>
      </c>
      <c r="F99" s="604">
        <f t="shared" si="18"/>
        <v>627.5</v>
      </c>
      <c r="G99" s="604">
        <f t="shared" si="19"/>
        <v>0.21912350597609562</v>
      </c>
      <c r="H99" s="604">
        <f t="shared" si="21"/>
        <v>1.349880272976886</v>
      </c>
      <c r="I99" s="604">
        <f t="shared" si="22"/>
        <v>447339.42625452596</v>
      </c>
      <c r="J99" s="604">
        <f t="shared" si="23"/>
        <v>793905948.75724387</v>
      </c>
      <c r="K99" s="605">
        <f t="shared" si="24"/>
        <v>793.90594875724389</v>
      </c>
      <c r="L99" s="606">
        <f t="shared" si="25"/>
        <v>786.90594875724389</v>
      </c>
    </row>
    <row r="100" spans="1:12">
      <c r="A100" s="607">
        <f t="shared" si="26"/>
        <v>100</v>
      </c>
      <c r="B100" s="607">
        <f t="shared" si="27"/>
        <v>1255</v>
      </c>
      <c r="C100" s="603">
        <f t="shared" si="20"/>
        <v>495</v>
      </c>
      <c r="D100" s="607">
        <f t="shared" si="28"/>
        <v>1650</v>
      </c>
      <c r="E100" s="603">
        <v>47.5</v>
      </c>
      <c r="F100" s="604">
        <f t="shared" si="18"/>
        <v>627.5</v>
      </c>
      <c r="G100" s="604">
        <f t="shared" si="19"/>
        <v>0.21115537848605578</v>
      </c>
      <c r="H100" s="604">
        <f t="shared" si="21"/>
        <v>1.3580394873341914</v>
      </c>
      <c r="I100" s="604">
        <f t="shared" si="22"/>
        <v>453467.46889109683</v>
      </c>
      <c r="J100" s="604">
        <f t="shared" si="23"/>
        <v>804957266.65436566</v>
      </c>
      <c r="K100" s="605">
        <f t="shared" si="24"/>
        <v>804.95726665436564</v>
      </c>
      <c r="L100" s="606">
        <f t="shared" si="25"/>
        <v>797.95726665436564</v>
      </c>
    </row>
    <row r="101" spans="1:12">
      <c r="A101" s="607">
        <f t="shared" si="26"/>
        <v>100</v>
      </c>
      <c r="B101" s="607">
        <f t="shared" si="27"/>
        <v>1255</v>
      </c>
      <c r="C101" s="603">
        <f t="shared" si="20"/>
        <v>500</v>
      </c>
      <c r="D101" s="607">
        <f t="shared" si="28"/>
        <v>1650</v>
      </c>
      <c r="E101" s="603">
        <v>48</v>
      </c>
      <c r="F101" s="604">
        <f t="shared" si="18"/>
        <v>627.5</v>
      </c>
      <c r="G101" s="604">
        <f t="shared" si="19"/>
        <v>0.20318725099601595</v>
      </c>
      <c r="H101" s="604">
        <f t="shared" si="21"/>
        <v>1.3661843451103515</v>
      </c>
      <c r="I101" s="604">
        <f t="shared" si="22"/>
        <v>459606.31302689912</v>
      </c>
      <c r="J101" s="604">
        <f t="shared" si="23"/>
        <v>816029723.84614837</v>
      </c>
      <c r="K101" s="605">
        <f t="shared" si="24"/>
        <v>816.02972384614839</v>
      </c>
      <c r="L101" s="606">
        <f t="shared" si="25"/>
        <v>809.02972384614839</v>
      </c>
    </row>
    <row r="102" spans="1:12">
      <c r="A102" s="607">
        <f t="shared" si="26"/>
        <v>100</v>
      </c>
      <c r="B102" s="607">
        <f t="shared" si="27"/>
        <v>1255</v>
      </c>
      <c r="C102" s="603">
        <f t="shared" si="20"/>
        <v>505</v>
      </c>
      <c r="D102" s="607">
        <f t="shared" si="28"/>
        <v>1650</v>
      </c>
      <c r="E102" s="603">
        <v>48.5</v>
      </c>
      <c r="F102" s="604">
        <f t="shared" si="18"/>
        <v>627.5</v>
      </c>
      <c r="G102" s="604">
        <f t="shared" si="19"/>
        <v>0.19521912350597609</v>
      </c>
      <c r="H102" s="604">
        <f t="shared" si="21"/>
        <v>1.3743154593696563</v>
      </c>
      <c r="I102" s="604">
        <f t="shared" si="22"/>
        <v>465755.53314473975</v>
      </c>
      <c r="J102" s="604">
        <f t="shared" si="23"/>
        <v>827122493.0661695</v>
      </c>
      <c r="K102" s="605">
        <f t="shared" si="24"/>
        <v>827.12249306616945</v>
      </c>
      <c r="L102" s="606">
        <f t="shared" si="25"/>
        <v>820.12249306616945</v>
      </c>
    </row>
    <row r="103" spans="1:12">
      <c r="A103" s="607">
        <f t="shared" si="26"/>
        <v>100</v>
      </c>
      <c r="B103" s="607">
        <f t="shared" si="27"/>
        <v>1255</v>
      </c>
      <c r="C103" s="603">
        <f t="shared" si="20"/>
        <v>510</v>
      </c>
      <c r="D103" s="607">
        <f t="shared" si="28"/>
        <v>1650</v>
      </c>
      <c r="E103" s="603">
        <v>49</v>
      </c>
      <c r="F103" s="604">
        <f t="shared" si="18"/>
        <v>627.5</v>
      </c>
      <c r="G103" s="604">
        <f t="shared" si="19"/>
        <v>0.18725099601593626</v>
      </c>
      <c r="H103" s="604">
        <f t="shared" si="21"/>
        <v>1.3824334343947131</v>
      </c>
      <c r="I103" s="604">
        <f t="shared" si="22"/>
        <v>471914.70587800565</v>
      </c>
      <c r="J103" s="604">
        <f t="shared" si="23"/>
        <v>838234750.59646356</v>
      </c>
      <c r="K103" s="605">
        <f t="shared" si="24"/>
        <v>838.23475059646353</v>
      </c>
      <c r="L103" s="606">
        <f t="shared" si="25"/>
        <v>831.23475059646353</v>
      </c>
    </row>
    <row r="104" spans="1:12">
      <c r="A104" s="607">
        <f t="shared" si="26"/>
        <v>100</v>
      </c>
      <c r="B104" s="607">
        <f t="shared" si="27"/>
        <v>1255</v>
      </c>
      <c r="C104" s="603">
        <f t="shared" si="20"/>
        <v>515</v>
      </c>
      <c r="D104" s="607">
        <f t="shared" si="28"/>
        <v>1650</v>
      </c>
      <c r="E104" s="603">
        <v>49.5</v>
      </c>
      <c r="F104" s="604">
        <f t="shared" si="18"/>
        <v>627.5</v>
      </c>
      <c r="G104" s="604">
        <f t="shared" si="19"/>
        <v>0.17928286852589642</v>
      </c>
      <c r="H104" s="604">
        <f t="shared" si="21"/>
        <v>1.3905388661450968</v>
      </c>
      <c r="I104" s="604">
        <f t="shared" si="22"/>
        <v>478083.40990931727</v>
      </c>
      <c r="J104" s="604">
        <f t="shared" si="23"/>
        <v>849365676.10030031</v>
      </c>
      <c r="K104" s="605">
        <f t="shared" si="24"/>
        <v>849.36567610030033</v>
      </c>
      <c r="L104" s="606">
        <f t="shared" si="25"/>
        <v>842.36567610030033</v>
      </c>
    </row>
    <row r="105" spans="1:12">
      <c r="A105" s="607">
        <f t="shared" si="26"/>
        <v>100</v>
      </c>
      <c r="B105" s="607">
        <f t="shared" si="27"/>
        <v>1255</v>
      </c>
      <c r="C105" s="603">
        <f t="shared" si="20"/>
        <v>520</v>
      </c>
      <c r="D105" s="607">
        <f t="shared" si="28"/>
        <v>1650</v>
      </c>
      <c r="E105" s="603">
        <v>50</v>
      </c>
      <c r="F105" s="604">
        <f t="shared" si="18"/>
        <v>627.5</v>
      </c>
      <c r="G105" s="604">
        <f t="shared" si="19"/>
        <v>0.17131474103585656</v>
      </c>
      <c r="H105" s="604">
        <f t="shared" si="21"/>
        <v>1.3986323427006377</v>
      </c>
      <c r="I105" s="604">
        <f t="shared" si="22"/>
        <v>484261.22587140097</v>
      </c>
      <c r="J105" s="604">
        <f t="shared" si="23"/>
        <v>860514452.45862448</v>
      </c>
      <c r="K105" s="605">
        <f t="shared" si="24"/>
        <v>860.51445245862453</v>
      </c>
      <c r="L105" s="606">
        <f t="shared" si="25"/>
        <v>853.51445245862453</v>
      </c>
    </row>
    <row r="106" spans="1:12">
      <c r="A106" s="607">
        <f t="shared" si="26"/>
        <v>100</v>
      </c>
      <c r="B106" s="607">
        <f t="shared" si="27"/>
        <v>1255</v>
      </c>
      <c r="C106" s="603">
        <f t="shared" si="20"/>
        <v>525</v>
      </c>
      <c r="D106" s="607">
        <f t="shared" si="28"/>
        <v>1650</v>
      </c>
      <c r="E106" s="603">
        <v>50.5</v>
      </c>
      <c r="F106" s="604">
        <f t="shared" si="18"/>
        <v>627.5</v>
      </c>
      <c r="G106" s="604">
        <f t="shared" si="19"/>
        <v>0.16334661354581673</v>
      </c>
      <c r="H106" s="604">
        <f t="shared" si="21"/>
        <v>1.4067144446903377</v>
      </c>
      <c r="I106" s="604">
        <f t="shared" si="22"/>
        <v>490447.7362500467</v>
      </c>
      <c r="J106" s="604">
        <f t="shared" si="23"/>
        <v>871680265.60993528</v>
      </c>
      <c r="K106" s="605">
        <f t="shared" si="24"/>
        <v>871.6802656099353</v>
      </c>
      <c r="L106" s="606">
        <f t="shared" si="25"/>
        <v>864.6802656099353</v>
      </c>
    </row>
    <row r="107" spans="1:12">
      <c r="A107" s="607">
        <f t="shared" si="26"/>
        <v>100</v>
      </c>
      <c r="B107" s="607">
        <f t="shared" si="27"/>
        <v>1255</v>
      </c>
      <c r="C107" s="603">
        <f t="shared" si="20"/>
        <v>530</v>
      </c>
      <c r="D107" s="607">
        <f t="shared" si="28"/>
        <v>1650</v>
      </c>
      <c r="E107" s="603">
        <v>51</v>
      </c>
      <c r="F107" s="604">
        <f t="shared" si="18"/>
        <v>627.5</v>
      </c>
      <c r="G107" s="604">
        <f t="shared" si="19"/>
        <v>0.15537848605577689</v>
      </c>
      <c r="H107" s="604">
        <f t="shared" si="21"/>
        <v>1.4147857457078554</v>
      </c>
      <c r="I107" s="604">
        <f t="shared" si="22"/>
        <v>496642.52528903598</v>
      </c>
      <c r="J107" s="604">
        <f t="shared" si="23"/>
        <v>882862304.39341867</v>
      </c>
      <c r="K107" s="605">
        <f t="shared" si="24"/>
        <v>882.86230439341864</v>
      </c>
      <c r="L107" s="606">
        <f t="shared" si="25"/>
        <v>875.86230439341864</v>
      </c>
    </row>
    <row r="108" spans="1:12">
      <c r="A108" s="607">
        <f t="shared" si="26"/>
        <v>100</v>
      </c>
      <c r="B108" s="607">
        <f t="shared" si="27"/>
        <v>1255</v>
      </c>
      <c r="C108" s="603">
        <f t="shared" si="20"/>
        <v>535</v>
      </c>
      <c r="D108" s="607">
        <f t="shared" si="28"/>
        <v>1650</v>
      </c>
      <c r="E108" s="603">
        <v>51.5</v>
      </c>
      <c r="F108" s="604">
        <f t="shared" si="18"/>
        <v>627.5</v>
      </c>
      <c r="G108" s="604">
        <f t="shared" si="19"/>
        <v>0.14741035856573706</v>
      </c>
      <c r="H108" s="604">
        <f t="shared" si="21"/>
        <v>1.4228468127144391</v>
      </c>
      <c r="I108" s="604">
        <f t="shared" si="22"/>
        <v>502845.17889691319</v>
      </c>
      <c r="J108" s="604">
        <f t="shared" si="23"/>
        <v>894059760.39511859</v>
      </c>
      <c r="K108" s="605">
        <f t="shared" si="24"/>
        <v>894.05976039511859</v>
      </c>
      <c r="L108" s="606">
        <f t="shared" si="25"/>
        <v>887.05976039511859</v>
      </c>
    </row>
    <row r="109" spans="1:12">
      <c r="A109" s="607">
        <f t="shared" si="26"/>
        <v>100</v>
      </c>
      <c r="B109" s="607">
        <f t="shared" si="27"/>
        <v>1255</v>
      </c>
      <c r="C109" s="603">
        <f t="shared" si="20"/>
        <v>540</v>
      </c>
      <c r="D109" s="607">
        <f t="shared" si="28"/>
        <v>1650</v>
      </c>
      <c r="E109" s="603">
        <v>52</v>
      </c>
      <c r="F109" s="604">
        <f t="shared" si="18"/>
        <v>627.5</v>
      </c>
      <c r="G109" s="604">
        <f t="shared" si="19"/>
        <v>0.1394422310756972</v>
      </c>
      <c r="H109" s="604">
        <f t="shared" si="21"/>
        <v>1.4308982064301565</v>
      </c>
      <c r="I109" s="604">
        <f t="shared" si="22"/>
        <v>509055.28455549339</v>
      </c>
      <c r="J109" s="604">
        <f t="shared" si="23"/>
        <v>905271827.79697621</v>
      </c>
      <c r="K109" s="605">
        <f t="shared" si="24"/>
        <v>905.27182779697625</v>
      </c>
      <c r="L109" s="606">
        <f t="shared" si="25"/>
        <v>898.27182779697625</v>
      </c>
    </row>
    <row r="110" spans="1:12">
      <c r="A110" s="607">
        <f t="shared" si="26"/>
        <v>100</v>
      </c>
      <c r="B110" s="607">
        <f t="shared" si="27"/>
        <v>1255</v>
      </c>
      <c r="C110" s="603">
        <f t="shared" si="20"/>
        <v>545</v>
      </c>
      <c r="D110" s="607">
        <f t="shared" si="28"/>
        <v>1650</v>
      </c>
      <c r="E110" s="603">
        <v>52.5</v>
      </c>
      <c r="F110" s="604">
        <f t="shared" si="18"/>
        <v>627.5</v>
      </c>
      <c r="G110" s="604">
        <f t="shared" si="19"/>
        <v>0.13147410358565736</v>
      </c>
      <c r="H110" s="604">
        <f t="shared" si="21"/>
        <v>1.4389404817142162</v>
      </c>
      <c r="I110" s="604">
        <f t="shared" si="22"/>
        <v>515272.43122999382</v>
      </c>
      <c r="J110" s="604">
        <f t="shared" si="23"/>
        <v>916497703.22854578</v>
      </c>
      <c r="K110" s="605">
        <f t="shared" si="24"/>
        <v>916.49770322854579</v>
      </c>
      <c r="L110" s="606">
        <f t="shared" si="25"/>
        <v>909.49770322854579</v>
      </c>
    </row>
    <row r="111" spans="1:12">
      <c r="A111" s="607">
        <f t="shared" si="26"/>
        <v>100</v>
      </c>
      <c r="B111" s="607">
        <f t="shared" si="27"/>
        <v>1255</v>
      </c>
      <c r="C111" s="603">
        <f t="shared" si="20"/>
        <v>550</v>
      </c>
      <c r="D111" s="607">
        <f t="shared" si="28"/>
        <v>1650</v>
      </c>
      <c r="E111" s="603">
        <v>53</v>
      </c>
      <c r="F111" s="604">
        <f t="shared" si="18"/>
        <v>627.5</v>
      </c>
      <c r="G111" s="604">
        <f t="shared" si="19"/>
        <v>0.12350597609561753</v>
      </c>
      <c r="H111" s="604">
        <f t="shared" si="21"/>
        <v>1.4469741879351441</v>
      </c>
      <c r="I111" s="604">
        <f t="shared" si="22"/>
        <v>521496.20928068476</v>
      </c>
      <c r="J111" s="604">
        <f t="shared" si="23"/>
        <v>927736585.62121975</v>
      </c>
      <c r="K111" s="605">
        <f t="shared" si="24"/>
        <v>927.73658562121977</v>
      </c>
      <c r="L111" s="606">
        <f t="shared" si="25"/>
        <v>920.73658562121977</v>
      </c>
    </row>
    <row r="112" spans="1:12">
      <c r="A112" s="607">
        <f t="shared" si="26"/>
        <v>100</v>
      </c>
      <c r="B112" s="607">
        <f t="shared" si="27"/>
        <v>1255</v>
      </c>
      <c r="C112" s="603">
        <f t="shared" si="20"/>
        <v>555</v>
      </c>
      <c r="D112" s="607">
        <f t="shared" si="28"/>
        <v>1650</v>
      </c>
      <c r="E112" s="603">
        <v>53.5</v>
      </c>
      <c r="F112" s="604">
        <f t="shared" si="18"/>
        <v>627.5</v>
      </c>
      <c r="G112" s="604">
        <f t="shared" si="19"/>
        <v>0.11553784860557768</v>
      </c>
      <c r="H112" s="604">
        <f t="shared" si="21"/>
        <v>1.4549998693315411</v>
      </c>
      <c r="I112" s="604">
        <f t="shared" si="22"/>
        <v>527726.2103759601</v>
      </c>
      <c r="J112" s="604">
        <f t="shared" si="23"/>
        <v>938987676.06479359</v>
      </c>
      <c r="K112" s="605">
        <f t="shared" si="24"/>
        <v>938.98767606479362</v>
      </c>
      <c r="L112" s="606">
        <f t="shared" si="25"/>
        <v>931.98767606479362</v>
      </c>
    </row>
    <row r="113" spans="1:12">
      <c r="A113" s="607">
        <f t="shared" si="26"/>
        <v>100</v>
      </c>
      <c r="B113" s="607">
        <f t="shared" si="27"/>
        <v>1255</v>
      </c>
      <c r="C113" s="603">
        <f t="shared" si="20"/>
        <v>560</v>
      </c>
      <c r="D113" s="607">
        <f t="shared" si="28"/>
        <v>1650</v>
      </c>
      <c r="E113" s="603">
        <v>54</v>
      </c>
      <c r="F113" s="604">
        <f t="shared" si="18"/>
        <v>627.5</v>
      </c>
      <c r="G113" s="604">
        <f t="shared" si="19"/>
        <v>0.10756972111553785</v>
      </c>
      <c r="H113" s="604">
        <f t="shared" si="21"/>
        <v>1.4630180653641134</v>
      </c>
      <c r="I113" s="604">
        <f t="shared" si="22"/>
        <v>533962.02740672627</v>
      </c>
      <c r="J113" s="604">
        <f t="shared" si="23"/>
        <v>950250177.66620946</v>
      </c>
      <c r="K113" s="605">
        <f t="shared" si="24"/>
        <v>950.25017766620942</v>
      </c>
      <c r="L113" s="606">
        <f t="shared" si="25"/>
        <v>943.25017766620942</v>
      </c>
    </row>
    <row r="114" spans="1:12">
      <c r="A114" s="607">
        <f t="shared" si="26"/>
        <v>100</v>
      </c>
      <c r="B114" s="607">
        <f t="shared" si="27"/>
        <v>1255</v>
      </c>
      <c r="C114" s="603">
        <f t="shared" si="20"/>
        <v>565</v>
      </c>
      <c r="D114" s="607">
        <f t="shared" si="28"/>
        <v>1650</v>
      </c>
      <c r="E114" s="603">
        <v>54.5</v>
      </c>
      <c r="F114" s="604">
        <f t="shared" si="18"/>
        <v>627.5</v>
      </c>
      <c r="G114" s="604">
        <f t="shared" si="19"/>
        <v>9.9601593625498003E-2</v>
      </c>
      <c r="H114" s="604">
        <f t="shared" si="21"/>
        <v>1.4710293110596413</v>
      </c>
      <c r="I114" s="604">
        <f t="shared" si="22"/>
        <v>540203.2544020178</v>
      </c>
      <c r="J114" s="604">
        <f t="shared" si="23"/>
        <v>961523295.41032016</v>
      </c>
      <c r="K114" s="605">
        <f t="shared" si="24"/>
        <v>961.5232954103202</v>
      </c>
      <c r="L114" s="606">
        <f t="shared" si="25"/>
        <v>954.5232954103202</v>
      </c>
    </row>
    <row r="115" spans="1:12">
      <c r="A115" s="607">
        <f t="shared" si="26"/>
        <v>100</v>
      </c>
      <c r="B115" s="607">
        <f t="shared" si="27"/>
        <v>1255</v>
      </c>
      <c r="C115" s="603">
        <f t="shared" si="20"/>
        <v>570</v>
      </c>
      <c r="D115" s="607">
        <f t="shared" si="28"/>
        <v>1650</v>
      </c>
      <c r="E115" s="603">
        <v>55</v>
      </c>
      <c r="F115" s="604">
        <f t="shared" si="18"/>
        <v>627.5</v>
      </c>
      <c r="G115" s="604">
        <f t="shared" si="19"/>
        <v>9.1633466135458169E-2</v>
      </c>
      <c r="H115" s="604">
        <f t="shared" si="21"/>
        <v>1.4790341373475224</v>
      </c>
      <c r="I115" s="604">
        <f t="shared" si="22"/>
        <v>546449.48644574743</v>
      </c>
      <c r="J115" s="604">
        <f t="shared" si="23"/>
        <v>972806236.02252769</v>
      </c>
      <c r="K115" s="605">
        <f t="shared" si="24"/>
        <v>972.80623602252774</v>
      </c>
      <c r="L115" s="606">
        <f t="shared" si="25"/>
        <v>965.80623602252774</v>
      </c>
    </row>
    <row r="116" spans="1:12">
      <c r="A116" s="607">
        <f t="shared" si="26"/>
        <v>100</v>
      </c>
      <c r="B116" s="607">
        <f t="shared" si="27"/>
        <v>1255</v>
      </c>
      <c r="C116" s="603">
        <f t="shared" si="20"/>
        <v>575</v>
      </c>
      <c r="D116" s="607">
        <f t="shared" si="28"/>
        <v>1650</v>
      </c>
      <c r="E116" s="603">
        <v>55.5</v>
      </c>
      <c r="F116" s="604">
        <f t="shared" si="18"/>
        <v>627.5</v>
      </c>
      <c r="G116" s="604">
        <f t="shared" si="19"/>
        <v>8.3665338645418322E-2</v>
      </c>
      <c r="H116" s="604">
        <f t="shared" si="21"/>
        <v>1.487033071389501</v>
      </c>
      <c r="I116" s="604">
        <f t="shared" si="22"/>
        <v>552700.31959449896</v>
      </c>
      <c r="J116" s="604">
        <f t="shared" si="23"/>
        <v>984098207.83314168</v>
      </c>
      <c r="K116" s="605">
        <f t="shared" si="24"/>
        <v>984.09820783314171</v>
      </c>
      <c r="L116" s="606">
        <f t="shared" si="25"/>
        <v>977.09820783314171</v>
      </c>
    </row>
    <row r="117" spans="1:12">
      <c r="A117" s="607">
        <f t="shared" si="26"/>
        <v>100</v>
      </c>
      <c r="B117" s="607">
        <f t="shared" si="27"/>
        <v>1255</v>
      </c>
      <c r="C117" s="603">
        <f t="shared" si="20"/>
        <v>580</v>
      </c>
      <c r="D117" s="607">
        <f t="shared" si="28"/>
        <v>1650</v>
      </c>
      <c r="E117" s="603">
        <v>56</v>
      </c>
      <c r="F117" s="604">
        <f t="shared" si="18"/>
        <v>627.5</v>
      </c>
      <c r="G117" s="604">
        <f t="shared" si="19"/>
        <v>7.5697211155378488E-2</v>
      </c>
      <c r="H117" s="604">
        <f t="shared" si="21"/>
        <v>1.4950266369031719</v>
      </c>
      <c r="I117" s="604">
        <f t="shared" si="22"/>
        <v>558955.35079627938</v>
      </c>
      <c r="J117" s="604">
        <f t="shared" si="23"/>
        <v>995398420.64331961</v>
      </c>
      <c r="K117" s="605">
        <f t="shared" si="24"/>
        <v>995.39842064331958</v>
      </c>
      <c r="L117" s="606">
        <f t="shared" si="25"/>
        <v>988.39842064331958</v>
      </c>
    </row>
    <row r="118" spans="1:12">
      <c r="A118" s="607">
        <f t="shared" si="26"/>
        <v>100</v>
      </c>
      <c r="B118" s="607">
        <f t="shared" si="27"/>
        <v>1255</v>
      </c>
      <c r="C118" s="603">
        <f t="shared" si="20"/>
        <v>585</v>
      </c>
      <c r="D118" s="607">
        <f t="shared" si="28"/>
        <v>1650</v>
      </c>
      <c r="E118" s="603">
        <v>56.5</v>
      </c>
      <c r="F118" s="604">
        <f t="shared" si="18"/>
        <v>627.5</v>
      </c>
      <c r="G118" s="604">
        <f t="shared" si="19"/>
        <v>6.7729083665338641E-2</v>
      </c>
      <c r="H118" s="604">
        <f t="shared" si="21"/>
        <v>1.5030153544798293</v>
      </c>
      <c r="I118" s="604">
        <f t="shared" si="22"/>
        <v>565214.17781014403</v>
      </c>
      <c r="J118" s="604">
        <f t="shared" si="23"/>
        <v>1006706085.5924487</v>
      </c>
      <c r="K118" s="605">
        <f t="shared" si="24"/>
        <v>1006.7060855924487</v>
      </c>
      <c r="L118" s="606">
        <f t="shared" si="25"/>
        <v>999.70608559244874</v>
      </c>
    </row>
    <row r="119" spans="1:12">
      <c r="A119" s="607">
        <f t="shared" si="26"/>
        <v>100</v>
      </c>
      <c r="B119" s="607">
        <f t="shared" si="27"/>
        <v>1255</v>
      </c>
      <c r="C119" s="603">
        <f t="shared" si="20"/>
        <v>590</v>
      </c>
      <c r="D119" s="607">
        <f t="shared" si="28"/>
        <v>1650</v>
      </c>
      <c r="E119" s="603">
        <v>57</v>
      </c>
      <c r="F119" s="604">
        <f t="shared" si="18"/>
        <v>627.5</v>
      </c>
      <c r="G119" s="604">
        <f t="shared" si="19"/>
        <v>5.9760956175298807E-2</v>
      </c>
      <c r="H119" s="604">
        <f t="shared" si="21"/>
        <v>1.5109997418972094</v>
      </c>
      <c r="I119" s="604">
        <f t="shared" si="22"/>
        <v>571476.3991266127</v>
      </c>
      <c r="J119" s="604">
        <f t="shared" si="23"/>
        <v>1018020415.0268328</v>
      </c>
      <c r="K119" s="605">
        <f t="shared" si="24"/>
        <v>1018.0204150268328</v>
      </c>
      <c r="L119" s="606">
        <f t="shared" si="25"/>
        <v>1011.0204150268328</v>
      </c>
    </row>
    <row r="120" spans="1:12">
      <c r="A120" s="607">
        <f t="shared" si="26"/>
        <v>100</v>
      </c>
      <c r="B120" s="607">
        <f t="shared" si="27"/>
        <v>1255</v>
      </c>
      <c r="C120" s="603">
        <f t="shared" si="20"/>
        <v>595</v>
      </c>
      <c r="D120" s="607">
        <f t="shared" si="28"/>
        <v>1650</v>
      </c>
      <c r="E120" s="603">
        <v>57.5</v>
      </c>
      <c r="F120" s="604">
        <f t="shared" si="18"/>
        <v>627.5</v>
      </c>
      <c r="G120" s="604">
        <f t="shared" si="19"/>
        <v>5.1792828685258967E-2</v>
      </c>
      <c r="H120" s="604">
        <f t="shared" si="21"/>
        <v>1.5189803144276621</v>
      </c>
      <c r="I120" s="604">
        <f t="shared" si="22"/>
        <v>577741.61388879584</v>
      </c>
      <c r="J120" s="604">
        <f t="shared" si="23"/>
        <v>1029340622.3695503</v>
      </c>
      <c r="K120" s="605">
        <f t="shared" si="24"/>
        <v>1029.3406223695504</v>
      </c>
      <c r="L120" s="606">
        <f t="shared" si="25"/>
        <v>1022.3406223695504</v>
      </c>
    </row>
    <row r="121" spans="1:12">
      <c r="A121" s="607">
        <f t="shared" si="26"/>
        <v>100</v>
      </c>
      <c r="B121" s="607">
        <f t="shared" si="27"/>
        <v>1255</v>
      </c>
      <c r="C121" s="603">
        <f t="shared" si="20"/>
        <v>600</v>
      </c>
      <c r="D121" s="607">
        <f t="shared" si="28"/>
        <v>1650</v>
      </c>
      <c r="E121" s="603">
        <v>58</v>
      </c>
      <c r="F121" s="604">
        <f t="shared" si="18"/>
        <v>627.5</v>
      </c>
      <c r="G121" s="604">
        <f t="shared" si="19"/>
        <v>4.3824701195219126E-2</v>
      </c>
      <c r="H121" s="604">
        <f t="shared" si="21"/>
        <v>1.5269575851422699</v>
      </c>
      <c r="I121" s="604">
        <f t="shared" si="22"/>
        <v>584009.42181415274</v>
      </c>
      <c r="J121" s="604">
        <f t="shared" si="23"/>
        <v>1040665921.9913552</v>
      </c>
      <c r="K121" s="605">
        <f t="shared" si="24"/>
        <v>1040.6659219913552</v>
      </c>
      <c r="L121" s="606">
        <f t="shared" si="25"/>
        <v>1033.6659219913552</v>
      </c>
    </row>
    <row r="122" spans="1:12">
      <c r="A122" s="607">
        <f t="shared" si="26"/>
        <v>100</v>
      </c>
      <c r="B122" s="607">
        <f t="shared" si="27"/>
        <v>1255</v>
      </c>
      <c r="C122" s="603">
        <f t="shared" si="20"/>
        <v>605</v>
      </c>
      <c r="D122" s="607">
        <f t="shared" si="28"/>
        <v>1650</v>
      </c>
      <c r="E122" s="603">
        <v>58.5</v>
      </c>
      <c r="F122" s="604">
        <f t="shared" si="18"/>
        <v>627.5</v>
      </c>
      <c r="G122" s="604">
        <f t="shared" si="19"/>
        <v>3.5856573705179286E-2</v>
      </c>
      <c r="H122" s="604">
        <f t="shared" si="21"/>
        <v>1.5349320652114209</v>
      </c>
      <c r="I122" s="604">
        <f t="shared" si="22"/>
        <v>590279.42311680282</v>
      </c>
      <c r="J122" s="604">
        <f t="shared" si="23"/>
        <v>1051995529.0824902</v>
      </c>
      <c r="K122" s="605">
        <f t="shared" si="24"/>
        <v>1051.9955290824903</v>
      </c>
      <c r="L122" s="606">
        <f t="shared" si="25"/>
        <v>1044.9955290824903</v>
      </c>
    </row>
    <row r="123" spans="1:12">
      <c r="A123" s="607">
        <f t="shared" si="26"/>
        <v>100</v>
      </c>
      <c r="B123" s="607">
        <f t="shared" si="27"/>
        <v>1255</v>
      </c>
      <c r="C123" s="603">
        <f t="shared" si="20"/>
        <v>610</v>
      </c>
      <c r="D123" s="607">
        <f t="shared" si="28"/>
        <v>1650</v>
      </c>
      <c r="E123" s="603">
        <v>59</v>
      </c>
      <c r="F123" s="604">
        <f t="shared" si="18"/>
        <v>627.5</v>
      </c>
      <c r="G123" s="604">
        <f t="shared" si="19"/>
        <v>2.7888446215139442E-2</v>
      </c>
      <c r="H123" s="604">
        <f t="shared" si="21"/>
        <v>1.542904264202331</v>
      </c>
      <c r="I123" s="604">
        <f t="shared" si="22"/>
        <v>596551.2184303148</v>
      </c>
      <c r="J123" s="604">
        <f t="shared" si="23"/>
        <v>1063328659.52529</v>
      </c>
      <c r="K123" s="605">
        <f t="shared" si="24"/>
        <v>1063.32865952529</v>
      </c>
      <c r="L123" s="606">
        <f t="shared" si="25"/>
        <v>1056.32865952529</v>
      </c>
    </row>
    <row r="124" spans="1:12">
      <c r="A124" s="607">
        <f t="shared" si="26"/>
        <v>100</v>
      </c>
      <c r="B124" s="607">
        <f t="shared" si="27"/>
        <v>1255</v>
      </c>
      <c r="C124" s="603">
        <f t="shared" si="20"/>
        <v>615</v>
      </c>
      <c r="D124" s="607">
        <f t="shared" si="28"/>
        <v>1650</v>
      </c>
      <c r="E124" s="603">
        <v>59.5</v>
      </c>
      <c r="F124" s="604">
        <f t="shared" si="18"/>
        <v>627.5</v>
      </c>
      <c r="G124" s="604">
        <f t="shared" si="19"/>
        <v>1.9920318725099601E-2</v>
      </c>
      <c r="H124" s="604">
        <f t="shared" si="21"/>
        <v>1.5508746903739992</v>
      </c>
      <c r="I124" s="604">
        <f t="shared" si="22"/>
        <v>602824.40873089794</v>
      </c>
      <c r="J124" s="604">
        <f t="shared" si="23"/>
        <v>1074664529.767446</v>
      </c>
      <c r="K124" s="605">
        <f t="shared" si="24"/>
        <v>1074.6645297674461</v>
      </c>
      <c r="L124" s="606">
        <f t="shared" si="25"/>
        <v>1067.6645297674461</v>
      </c>
    </row>
    <row r="125" spans="1:12">
      <c r="A125" s="607">
        <f t="shared" si="26"/>
        <v>100</v>
      </c>
      <c r="B125" s="607">
        <f t="shared" si="27"/>
        <v>1255</v>
      </c>
      <c r="C125" s="603">
        <f t="shared" si="20"/>
        <v>620</v>
      </c>
      <c r="D125" s="607">
        <f t="shared" si="28"/>
        <v>1650</v>
      </c>
      <c r="E125" s="603">
        <v>60</v>
      </c>
      <c r="F125" s="604">
        <f t="shared" si="18"/>
        <v>627.5</v>
      </c>
      <c r="G125" s="604">
        <f t="shared" si="19"/>
        <v>1.1952191235059761E-2</v>
      </c>
      <c r="H125" s="604">
        <f t="shared" si="21"/>
        <v>1.5588438509700768</v>
      </c>
      <c r="I125" s="604">
        <f t="shared" si="22"/>
        <v>609098.59526092105</v>
      </c>
      <c r="J125" s="604">
        <f t="shared" si="23"/>
        <v>1086002356.6958129</v>
      </c>
      <c r="K125" s="605">
        <f t="shared" si="24"/>
        <v>1086.002356695813</v>
      </c>
      <c r="L125" s="606">
        <f t="shared" si="25"/>
        <v>1079.002356695813</v>
      </c>
    </row>
    <row r="126" spans="1:12">
      <c r="A126" s="607">
        <f t="shared" si="26"/>
        <v>100</v>
      </c>
      <c r="B126" s="607">
        <f t="shared" si="27"/>
        <v>1255</v>
      </c>
      <c r="C126" s="603">
        <f t="shared" si="20"/>
        <v>625</v>
      </c>
      <c r="D126" s="607">
        <f t="shared" si="28"/>
        <v>1650</v>
      </c>
      <c r="E126" s="603">
        <v>60.5</v>
      </c>
      <c r="F126" s="604">
        <f t="shared" si="18"/>
        <v>627.5</v>
      </c>
      <c r="G126" s="604">
        <f t="shared" si="19"/>
        <v>3.9840637450199202E-3</v>
      </c>
      <c r="H126" s="604">
        <f t="shared" si="21"/>
        <v>1.5668122525101176</v>
      </c>
      <c r="I126" s="604">
        <f t="shared" si="22"/>
        <v>615373.37945268559</v>
      </c>
      <c r="J126" s="604">
        <f t="shared" si="23"/>
        <v>1097341357.5106339</v>
      </c>
      <c r="K126" s="605">
        <f t="shared" si="24"/>
        <v>1097.341357510634</v>
      </c>
      <c r="L126" s="606">
        <f t="shared" si="25"/>
        <v>1090.341357510634</v>
      </c>
    </row>
    <row r="127" spans="1:12">
      <c r="A127" s="607">
        <f t="shared" si="26"/>
        <v>100</v>
      </c>
      <c r="B127" s="607">
        <f t="shared" si="27"/>
        <v>1255</v>
      </c>
      <c r="C127" s="603">
        <f t="shared" si="20"/>
        <v>630</v>
      </c>
      <c r="D127" s="607">
        <f t="shared" si="28"/>
        <v>1650</v>
      </c>
      <c r="E127" s="603">
        <v>61</v>
      </c>
      <c r="F127" s="604">
        <f t="shared" si="18"/>
        <v>627.5</v>
      </c>
      <c r="G127" s="604">
        <f t="shared" si="19"/>
        <v>-3.9840637450199202E-3</v>
      </c>
      <c r="H127" s="604">
        <f t="shared" si="21"/>
        <v>1.5747804010796755</v>
      </c>
      <c r="I127" s="604">
        <f t="shared" si="22"/>
        <v>621648.36285238038</v>
      </c>
      <c r="J127" s="604">
        <f t="shared" si="23"/>
        <v>1108680749.6000669</v>
      </c>
      <c r="K127" s="605">
        <f t="shared" si="24"/>
        <v>1108.680749600067</v>
      </c>
      <c r="L127" s="606">
        <f t="shared" si="25"/>
        <v>1101.680749600067</v>
      </c>
    </row>
    <row r="128" spans="1:12">
      <c r="A128" s="607">
        <f t="shared" si="26"/>
        <v>100</v>
      </c>
      <c r="B128" s="607">
        <f t="shared" si="27"/>
        <v>1255</v>
      </c>
      <c r="C128" s="603">
        <f t="shared" si="20"/>
        <v>635</v>
      </c>
      <c r="D128" s="607">
        <f t="shared" si="28"/>
        <v>1650</v>
      </c>
      <c r="E128" s="603">
        <v>61.5</v>
      </c>
      <c r="F128" s="604">
        <f t="shared" si="18"/>
        <v>627.5</v>
      </c>
      <c r="G128" s="604">
        <f t="shared" si="19"/>
        <v>-1.1952191235059761E-2</v>
      </c>
      <c r="H128" s="604">
        <f t="shared" si="21"/>
        <v>1.5827488026197163</v>
      </c>
      <c r="I128" s="604">
        <f t="shared" si="22"/>
        <v>627923.14704414492</v>
      </c>
      <c r="J128" s="604">
        <f t="shared" si="23"/>
        <v>1120019750.4148881</v>
      </c>
      <c r="K128" s="605">
        <f t="shared" si="24"/>
        <v>1120.0197504148882</v>
      </c>
      <c r="L128" s="606">
        <f t="shared" si="25"/>
        <v>1113.0197504148882</v>
      </c>
    </row>
    <row r="129" spans="1:12">
      <c r="A129" s="607">
        <f t="shared" si="26"/>
        <v>100</v>
      </c>
      <c r="B129" s="607">
        <f t="shared" si="27"/>
        <v>1255</v>
      </c>
      <c r="C129" s="603">
        <f t="shared" si="20"/>
        <v>640</v>
      </c>
      <c r="D129" s="607">
        <f t="shared" si="28"/>
        <v>1650</v>
      </c>
      <c r="E129" s="603">
        <v>62</v>
      </c>
      <c r="F129" s="604">
        <f t="shared" si="18"/>
        <v>627.5</v>
      </c>
      <c r="G129" s="604">
        <f t="shared" si="19"/>
        <v>-1.9920318725099601E-2</v>
      </c>
      <c r="H129" s="604">
        <f t="shared" si="21"/>
        <v>1.590717963215794</v>
      </c>
      <c r="I129" s="604">
        <f t="shared" si="22"/>
        <v>634197.33357416803</v>
      </c>
      <c r="J129" s="604">
        <f t="shared" si="23"/>
        <v>1131357577.3432548</v>
      </c>
      <c r="K129" s="605">
        <f t="shared" si="24"/>
        <v>1131.3575773432549</v>
      </c>
      <c r="L129" s="606">
        <f t="shared" si="25"/>
        <v>1124.3575773432549</v>
      </c>
    </row>
    <row r="130" spans="1:12">
      <c r="A130" s="607">
        <f t="shared" si="26"/>
        <v>100</v>
      </c>
      <c r="B130" s="607">
        <f t="shared" si="27"/>
        <v>1255</v>
      </c>
      <c r="C130" s="603">
        <f t="shared" si="20"/>
        <v>645</v>
      </c>
      <c r="D130" s="607">
        <f t="shared" si="28"/>
        <v>1650</v>
      </c>
      <c r="E130" s="603">
        <v>62.5</v>
      </c>
      <c r="F130" s="604">
        <f t="shared" si="18"/>
        <v>627.5</v>
      </c>
      <c r="G130" s="604">
        <f t="shared" si="19"/>
        <v>-2.7888446215139442E-2</v>
      </c>
      <c r="H130" s="604">
        <f t="shared" si="21"/>
        <v>1.5986883893874622</v>
      </c>
      <c r="I130" s="604">
        <f t="shared" si="22"/>
        <v>640470.52387475118</v>
      </c>
      <c r="J130" s="604">
        <f t="shared" si="23"/>
        <v>1142693447.5854108</v>
      </c>
      <c r="K130" s="605">
        <f t="shared" si="24"/>
        <v>1142.6934475854109</v>
      </c>
      <c r="L130" s="606">
        <f t="shared" si="25"/>
        <v>1135.6934475854109</v>
      </c>
    </row>
    <row r="131" spans="1:12">
      <c r="A131" s="607">
        <f t="shared" si="26"/>
        <v>100</v>
      </c>
      <c r="B131" s="607">
        <f t="shared" si="27"/>
        <v>1255</v>
      </c>
      <c r="C131" s="603">
        <f t="shared" si="20"/>
        <v>650</v>
      </c>
      <c r="D131" s="607">
        <f t="shared" si="28"/>
        <v>1650</v>
      </c>
      <c r="E131" s="603">
        <v>63</v>
      </c>
      <c r="F131" s="604">
        <f t="shared" si="18"/>
        <v>627.5</v>
      </c>
      <c r="G131" s="604">
        <f t="shared" si="19"/>
        <v>-3.5856573705179286E-2</v>
      </c>
      <c r="H131" s="604">
        <f t="shared" si="21"/>
        <v>1.6066605883783722</v>
      </c>
      <c r="I131" s="604">
        <f t="shared" si="22"/>
        <v>646742.31918826315</v>
      </c>
      <c r="J131" s="604">
        <f t="shared" si="23"/>
        <v>1154026578.0282109</v>
      </c>
      <c r="K131" s="605">
        <f t="shared" si="24"/>
        <v>1154.0265780282109</v>
      </c>
      <c r="L131" s="606">
        <f t="shared" si="25"/>
        <v>1147.0265780282109</v>
      </c>
    </row>
    <row r="132" spans="1:12">
      <c r="A132" s="607">
        <f t="shared" si="26"/>
        <v>100</v>
      </c>
      <c r="B132" s="607">
        <f t="shared" si="27"/>
        <v>1255</v>
      </c>
      <c r="C132" s="603">
        <f t="shared" si="20"/>
        <v>655</v>
      </c>
      <c r="D132" s="607">
        <f t="shared" si="28"/>
        <v>1650</v>
      </c>
      <c r="E132" s="603">
        <v>63.5</v>
      </c>
      <c r="F132" s="604">
        <f t="shared" ref="F132:F195" si="29">B132/2</f>
        <v>627.5</v>
      </c>
      <c r="G132" s="604">
        <f t="shared" ref="G132:G195" si="30">IF(C132=2*F132,0,(F132-C132)/F132)</f>
        <v>-4.3824701195219126E-2</v>
      </c>
      <c r="H132" s="604">
        <f t="shared" si="21"/>
        <v>1.6146350684475232</v>
      </c>
      <c r="I132" s="604">
        <f t="shared" si="22"/>
        <v>653012.32049091323</v>
      </c>
      <c r="J132" s="604">
        <f t="shared" si="23"/>
        <v>1165356185.1193459</v>
      </c>
      <c r="K132" s="605">
        <f t="shared" si="24"/>
        <v>1165.3561851193458</v>
      </c>
      <c r="L132" s="606">
        <f t="shared" si="25"/>
        <v>1158.3561851193458</v>
      </c>
    </row>
    <row r="133" spans="1:12">
      <c r="A133" s="607">
        <f t="shared" si="26"/>
        <v>100</v>
      </c>
      <c r="B133" s="607">
        <f t="shared" si="27"/>
        <v>1255</v>
      </c>
      <c r="C133" s="603">
        <f t="shared" si="20"/>
        <v>660</v>
      </c>
      <c r="D133" s="607">
        <f t="shared" si="28"/>
        <v>1650</v>
      </c>
      <c r="E133" s="603">
        <v>64</v>
      </c>
      <c r="F133" s="604">
        <f t="shared" si="29"/>
        <v>627.5</v>
      </c>
      <c r="G133" s="604">
        <f t="shared" si="30"/>
        <v>-5.1792828685258967E-2</v>
      </c>
      <c r="H133" s="604">
        <f t="shared" si="21"/>
        <v>1.622612339162131</v>
      </c>
      <c r="I133" s="604">
        <f t="shared" si="22"/>
        <v>659280.12841627013</v>
      </c>
      <c r="J133" s="604">
        <f t="shared" si="23"/>
        <v>1176681484.7411509</v>
      </c>
      <c r="K133" s="605">
        <f t="shared" si="24"/>
        <v>1176.6814847411508</v>
      </c>
      <c r="L133" s="606">
        <f t="shared" si="25"/>
        <v>1169.6814847411508</v>
      </c>
    </row>
    <row r="134" spans="1:12">
      <c r="A134" s="607">
        <f t="shared" si="26"/>
        <v>100</v>
      </c>
      <c r="B134" s="607">
        <f t="shared" si="27"/>
        <v>1255</v>
      </c>
      <c r="C134" s="603">
        <f t="shared" ref="C134:C197" si="31">(E134+2)*10</f>
        <v>665</v>
      </c>
      <c r="D134" s="607">
        <f t="shared" si="28"/>
        <v>1650</v>
      </c>
      <c r="E134" s="603">
        <v>64.5</v>
      </c>
      <c r="F134" s="604">
        <f t="shared" si="29"/>
        <v>627.5</v>
      </c>
      <c r="G134" s="604">
        <f t="shared" si="30"/>
        <v>-5.9760956175298807E-2</v>
      </c>
      <c r="H134" s="604">
        <f t="shared" ref="H134:H197" si="32">IF(C134=0,0,IF(C134=2*F134,PI(),ATAN(-G134 / SQRT(-G134 * G134 + 1)) + 2 * ATAN(1)))</f>
        <v>1.6305929116925837</v>
      </c>
      <c r="I134" s="604">
        <f t="shared" ref="I134:I197" si="33">IF(C134=0,(F134 ^ 2) * (H134) - ((F134 - C134) * SQRT((2 * F134 * C134) - (C134 ^ 2))),IF(C134=2*F134,
(F134 ^ 2) * (H134) - ((F134 - C134) * SQRT((2 * F134 * C134) - (C134 ^ 2))),
(F134 ^ 2) * (H134) - ((F134 - C134) * SQRT((2 * F134 * C134) - (C134 ^ 2)))))</f>
        <v>665545.34317845327</v>
      </c>
      <c r="J134" s="604">
        <f t="shared" ref="J134:J197" si="34">(I134 * D134) + (PI() * A134 * (C134 ^ 2) * (1 - (C134 / (3 * F134))))</f>
        <v>1188001692.0838683</v>
      </c>
      <c r="K134" s="605">
        <f t="shared" ref="K134:K197" si="35">IF(F134&lt;=0,"Λάθος δεδομένα!",((I134*D134)+(PI()*A134*(C134^2)*(1-(C134/(3*F134)))))/1000000)</f>
        <v>1188.0016920838682</v>
      </c>
      <c r="L134" s="606">
        <f t="shared" ref="L134:L197" si="36">K134-7</f>
        <v>1181.0016920838682</v>
      </c>
    </row>
    <row r="135" spans="1:12">
      <c r="A135" s="607">
        <f t="shared" ref="A135:A198" si="37">$A$5</f>
        <v>100</v>
      </c>
      <c r="B135" s="607">
        <f t="shared" ref="B135:B198" si="38">$B$5</f>
        <v>1255</v>
      </c>
      <c r="C135" s="603">
        <f t="shared" si="31"/>
        <v>670</v>
      </c>
      <c r="D135" s="607">
        <f t="shared" ref="D135:D198" si="39">$D$5</f>
        <v>1650</v>
      </c>
      <c r="E135" s="603">
        <v>65</v>
      </c>
      <c r="F135" s="604">
        <f t="shared" si="29"/>
        <v>627.5</v>
      </c>
      <c r="G135" s="604">
        <f t="shared" si="30"/>
        <v>-6.7729083665338641E-2</v>
      </c>
      <c r="H135" s="604">
        <f t="shared" si="32"/>
        <v>1.6385772991099639</v>
      </c>
      <c r="I135" s="604">
        <f t="shared" si="33"/>
        <v>671807.56449492194</v>
      </c>
      <c r="J135" s="604">
        <f t="shared" si="34"/>
        <v>1199316021.5182524</v>
      </c>
      <c r="K135" s="605">
        <f t="shared" si="35"/>
        <v>1199.3160215182525</v>
      </c>
      <c r="L135" s="606">
        <f t="shared" si="36"/>
        <v>1192.3160215182525</v>
      </c>
    </row>
    <row r="136" spans="1:12">
      <c r="A136" s="607">
        <f t="shared" si="37"/>
        <v>100</v>
      </c>
      <c r="B136" s="607">
        <f t="shared" si="38"/>
        <v>1255</v>
      </c>
      <c r="C136" s="603">
        <f t="shared" si="31"/>
        <v>675</v>
      </c>
      <c r="D136" s="607">
        <f t="shared" si="39"/>
        <v>1650</v>
      </c>
      <c r="E136" s="603">
        <v>65.5</v>
      </c>
      <c r="F136" s="604">
        <f t="shared" si="29"/>
        <v>627.5</v>
      </c>
      <c r="G136" s="604">
        <f t="shared" si="30"/>
        <v>-7.5697211155378488E-2</v>
      </c>
      <c r="H136" s="604">
        <f t="shared" si="32"/>
        <v>1.6465660166866212</v>
      </c>
      <c r="I136" s="604">
        <f t="shared" si="33"/>
        <v>678066.39150878659</v>
      </c>
      <c r="J136" s="604">
        <f t="shared" si="34"/>
        <v>1210623686.4673815</v>
      </c>
      <c r="K136" s="605">
        <f t="shared" si="35"/>
        <v>1210.6236864673815</v>
      </c>
      <c r="L136" s="606">
        <f t="shared" si="36"/>
        <v>1203.6236864673815</v>
      </c>
    </row>
    <row r="137" spans="1:12">
      <c r="A137" s="607">
        <f t="shared" si="37"/>
        <v>100</v>
      </c>
      <c r="B137" s="607">
        <f t="shared" si="38"/>
        <v>1255</v>
      </c>
      <c r="C137" s="603">
        <f t="shared" si="31"/>
        <v>680</v>
      </c>
      <c r="D137" s="607">
        <f t="shared" si="39"/>
        <v>1650</v>
      </c>
      <c r="E137" s="603">
        <v>66</v>
      </c>
      <c r="F137" s="604">
        <f t="shared" si="29"/>
        <v>627.5</v>
      </c>
      <c r="G137" s="604">
        <f t="shared" si="30"/>
        <v>-8.3665338645418322E-2</v>
      </c>
      <c r="H137" s="604">
        <f t="shared" si="32"/>
        <v>1.6545595822002921</v>
      </c>
      <c r="I137" s="604">
        <f t="shared" si="33"/>
        <v>684321.42271056701</v>
      </c>
      <c r="J137" s="604">
        <f t="shared" si="34"/>
        <v>1221923899.2775593</v>
      </c>
      <c r="K137" s="605">
        <f t="shared" si="35"/>
        <v>1221.9238992775593</v>
      </c>
      <c r="L137" s="606">
        <f t="shared" si="36"/>
        <v>1214.9238992775593</v>
      </c>
    </row>
    <row r="138" spans="1:12">
      <c r="A138" s="607">
        <f t="shared" si="37"/>
        <v>100</v>
      </c>
      <c r="B138" s="607">
        <f t="shared" si="38"/>
        <v>1255</v>
      </c>
      <c r="C138" s="603">
        <f t="shared" si="31"/>
        <v>685</v>
      </c>
      <c r="D138" s="607">
        <f t="shared" si="39"/>
        <v>1650</v>
      </c>
      <c r="E138" s="603">
        <v>66.5</v>
      </c>
      <c r="F138" s="604">
        <f t="shared" si="29"/>
        <v>627.5</v>
      </c>
      <c r="G138" s="604">
        <f t="shared" si="30"/>
        <v>-9.1633466135458169E-2</v>
      </c>
      <c r="H138" s="604">
        <f t="shared" si="32"/>
        <v>1.6625585162422707</v>
      </c>
      <c r="I138" s="604">
        <f t="shared" si="33"/>
        <v>690572.25585931854</v>
      </c>
      <c r="J138" s="604">
        <f t="shared" si="34"/>
        <v>1233215871.0881732</v>
      </c>
      <c r="K138" s="605">
        <f t="shared" si="35"/>
        <v>1233.2158710881731</v>
      </c>
      <c r="L138" s="606">
        <f t="shared" si="36"/>
        <v>1226.2158710881731</v>
      </c>
    </row>
    <row r="139" spans="1:12">
      <c r="A139" s="607">
        <f t="shared" si="37"/>
        <v>100</v>
      </c>
      <c r="B139" s="607">
        <f t="shared" si="38"/>
        <v>1255</v>
      </c>
      <c r="C139" s="603">
        <f t="shared" si="31"/>
        <v>690</v>
      </c>
      <c r="D139" s="607">
        <f t="shared" si="39"/>
        <v>1650</v>
      </c>
      <c r="E139" s="603">
        <v>67</v>
      </c>
      <c r="F139" s="604">
        <f t="shared" si="29"/>
        <v>627.5</v>
      </c>
      <c r="G139" s="604">
        <f t="shared" si="30"/>
        <v>-9.9601593625498003E-2</v>
      </c>
      <c r="H139" s="604">
        <f t="shared" si="32"/>
        <v>1.6705633425301518</v>
      </c>
      <c r="I139" s="604">
        <f t="shared" si="33"/>
        <v>696818.48790304817</v>
      </c>
      <c r="J139" s="604">
        <f t="shared" si="34"/>
        <v>1244498811.7003808</v>
      </c>
      <c r="K139" s="605">
        <f t="shared" si="35"/>
        <v>1244.4988117003809</v>
      </c>
      <c r="L139" s="606">
        <f t="shared" si="36"/>
        <v>1237.4988117003809</v>
      </c>
    </row>
    <row r="140" spans="1:12">
      <c r="A140" s="607">
        <f t="shared" si="37"/>
        <v>100</v>
      </c>
      <c r="B140" s="607">
        <f t="shared" si="38"/>
        <v>1255</v>
      </c>
      <c r="C140" s="603">
        <f t="shared" si="31"/>
        <v>695</v>
      </c>
      <c r="D140" s="607">
        <f t="shared" si="39"/>
        <v>1650</v>
      </c>
      <c r="E140" s="603">
        <v>67.5</v>
      </c>
      <c r="F140" s="604">
        <f t="shared" si="29"/>
        <v>627.5</v>
      </c>
      <c r="G140" s="604">
        <f t="shared" si="30"/>
        <v>-0.10756972111553785</v>
      </c>
      <c r="H140" s="604">
        <f t="shared" si="32"/>
        <v>1.6785745882256797</v>
      </c>
      <c r="I140" s="604">
        <f t="shared" si="33"/>
        <v>703059.71489833971</v>
      </c>
      <c r="J140" s="604">
        <f t="shared" si="34"/>
        <v>1255771929.4444916</v>
      </c>
      <c r="K140" s="605">
        <f t="shared" si="35"/>
        <v>1255.7719294444917</v>
      </c>
      <c r="L140" s="606">
        <f t="shared" si="36"/>
        <v>1248.7719294444917</v>
      </c>
    </row>
    <row r="141" spans="1:12">
      <c r="A141" s="607">
        <f t="shared" si="37"/>
        <v>100</v>
      </c>
      <c r="B141" s="607">
        <f t="shared" si="38"/>
        <v>1255</v>
      </c>
      <c r="C141" s="603">
        <f t="shared" si="31"/>
        <v>700</v>
      </c>
      <c r="D141" s="607">
        <f t="shared" si="39"/>
        <v>1650</v>
      </c>
      <c r="E141" s="603">
        <v>68</v>
      </c>
      <c r="F141" s="604">
        <f t="shared" si="29"/>
        <v>627.5</v>
      </c>
      <c r="G141" s="604">
        <f t="shared" si="30"/>
        <v>-0.11553784860557768</v>
      </c>
      <c r="H141" s="604">
        <f t="shared" si="32"/>
        <v>1.686592784258252</v>
      </c>
      <c r="I141" s="604">
        <f t="shared" si="33"/>
        <v>709295.53192910587</v>
      </c>
      <c r="J141" s="604">
        <f t="shared" si="34"/>
        <v>1267034431.0459073</v>
      </c>
      <c r="K141" s="605">
        <f t="shared" si="35"/>
        <v>1267.0344310459072</v>
      </c>
      <c r="L141" s="606">
        <f t="shared" si="36"/>
        <v>1260.0344310459072</v>
      </c>
    </row>
    <row r="142" spans="1:12">
      <c r="A142" s="607">
        <f t="shared" si="37"/>
        <v>100</v>
      </c>
      <c r="B142" s="607">
        <f t="shared" si="38"/>
        <v>1255</v>
      </c>
      <c r="C142" s="603">
        <f t="shared" si="31"/>
        <v>705</v>
      </c>
      <c r="D142" s="607">
        <f t="shared" si="39"/>
        <v>1650</v>
      </c>
      <c r="E142" s="603">
        <v>68.5</v>
      </c>
      <c r="F142" s="604">
        <f t="shared" si="29"/>
        <v>627.5</v>
      </c>
      <c r="G142" s="604">
        <f t="shared" si="30"/>
        <v>-0.12350597609561753</v>
      </c>
      <c r="H142" s="604">
        <f t="shared" si="32"/>
        <v>1.694618465654649</v>
      </c>
      <c r="I142" s="604">
        <f t="shared" si="33"/>
        <v>715525.53302438115</v>
      </c>
      <c r="J142" s="604">
        <f t="shared" si="34"/>
        <v>1278285521.4894812</v>
      </c>
      <c r="K142" s="605">
        <f t="shared" si="35"/>
        <v>1278.2855214894812</v>
      </c>
      <c r="L142" s="606">
        <f t="shared" si="36"/>
        <v>1271.2855214894812</v>
      </c>
    </row>
    <row r="143" spans="1:12">
      <c r="A143" s="607">
        <f t="shared" si="37"/>
        <v>100</v>
      </c>
      <c r="B143" s="607">
        <f t="shared" si="38"/>
        <v>1255</v>
      </c>
      <c r="C143" s="603">
        <f t="shared" si="31"/>
        <v>710</v>
      </c>
      <c r="D143" s="607">
        <f t="shared" si="39"/>
        <v>1650</v>
      </c>
      <c r="E143" s="603">
        <v>69</v>
      </c>
      <c r="F143" s="604">
        <f t="shared" si="29"/>
        <v>627.5</v>
      </c>
      <c r="G143" s="604">
        <f t="shared" si="30"/>
        <v>-0.13147410358565736</v>
      </c>
      <c r="H143" s="604">
        <f t="shared" si="32"/>
        <v>1.7026521718755769</v>
      </c>
      <c r="I143" s="604">
        <f t="shared" si="33"/>
        <v>721749.31107507215</v>
      </c>
      <c r="J143" s="604">
        <f t="shared" si="34"/>
        <v>1289524403.8821552</v>
      </c>
      <c r="K143" s="605">
        <f t="shared" si="35"/>
        <v>1289.5244038821552</v>
      </c>
      <c r="L143" s="606">
        <f t="shared" si="36"/>
        <v>1282.5244038821552</v>
      </c>
    </row>
    <row r="144" spans="1:12">
      <c r="A144" s="607">
        <f t="shared" si="37"/>
        <v>100</v>
      </c>
      <c r="B144" s="607">
        <f t="shared" si="38"/>
        <v>1255</v>
      </c>
      <c r="C144" s="603">
        <f t="shared" si="31"/>
        <v>715</v>
      </c>
      <c r="D144" s="607">
        <f t="shared" si="39"/>
        <v>1650</v>
      </c>
      <c r="E144" s="603">
        <v>69.5</v>
      </c>
      <c r="F144" s="604">
        <f t="shared" si="29"/>
        <v>627.5</v>
      </c>
      <c r="G144" s="604">
        <f t="shared" si="30"/>
        <v>-0.1394422310756972</v>
      </c>
      <c r="H144" s="604">
        <f t="shared" si="32"/>
        <v>1.7106944471596366</v>
      </c>
      <c r="I144" s="604">
        <f t="shared" si="33"/>
        <v>727966.45774957258</v>
      </c>
      <c r="J144" s="604">
        <f t="shared" si="34"/>
        <v>1300750279.3137248</v>
      </c>
      <c r="K144" s="605">
        <f t="shared" si="35"/>
        <v>1300.7502793137248</v>
      </c>
      <c r="L144" s="606">
        <f t="shared" si="36"/>
        <v>1293.7502793137248</v>
      </c>
    </row>
    <row r="145" spans="1:12">
      <c r="A145" s="607">
        <f t="shared" si="37"/>
        <v>100</v>
      </c>
      <c r="B145" s="607">
        <f t="shared" si="38"/>
        <v>1255</v>
      </c>
      <c r="C145" s="603">
        <f t="shared" si="31"/>
        <v>720</v>
      </c>
      <c r="D145" s="607">
        <f t="shared" si="39"/>
        <v>1650</v>
      </c>
      <c r="E145" s="603">
        <v>70</v>
      </c>
      <c r="F145" s="604">
        <f t="shared" si="29"/>
        <v>627.5</v>
      </c>
      <c r="G145" s="604">
        <f t="shared" si="30"/>
        <v>-0.14741035856573706</v>
      </c>
      <c r="H145" s="604">
        <f t="shared" si="32"/>
        <v>1.718745840875354</v>
      </c>
      <c r="I145" s="604">
        <f t="shared" si="33"/>
        <v>734176.56340815278</v>
      </c>
      <c r="J145" s="604">
        <f t="shared" si="34"/>
        <v>1311962346.7155826</v>
      </c>
      <c r="K145" s="605">
        <f t="shared" si="35"/>
        <v>1311.9623467155825</v>
      </c>
      <c r="L145" s="606">
        <f t="shared" si="36"/>
        <v>1304.9623467155825</v>
      </c>
    </row>
    <row r="146" spans="1:12">
      <c r="A146" s="607">
        <f t="shared" si="37"/>
        <v>100</v>
      </c>
      <c r="B146" s="607">
        <f t="shared" si="38"/>
        <v>1255</v>
      </c>
      <c r="C146" s="603">
        <f t="shared" si="31"/>
        <v>725</v>
      </c>
      <c r="D146" s="607">
        <f t="shared" si="39"/>
        <v>1650</v>
      </c>
      <c r="E146" s="603">
        <v>70.5</v>
      </c>
      <c r="F146" s="604">
        <f t="shared" si="29"/>
        <v>627.5</v>
      </c>
      <c r="G146" s="604">
        <f t="shared" si="30"/>
        <v>-0.15537848605577689</v>
      </c>
      <c r="H146" s="604">
        <f t="shared" si="32"/>
        <v>1.7268069078819377</v>
      </c>
      <c r="I146" s="604">
        <f t="shared" si="33"/>
        <v>740379.21701602999</v>
      </c>
      <c r="J146" s="604">
        <f t="shared" si="34"/>
        <v>1323159802.7172823</v>
      </c>
      <c r="K146" s="605">
        <f t="shared" si="35"/>
        <v>1323.1598027172822</v>
      </c>
      <c r="L146" s="606">
        <f t="shared" si="36"/>
        <v>1316.1598027172822</v>
      </c>
    </row>
    <row r="147" spans="1:12">
      <c r="A147" s="607">
        <f t="shared" si="37"/>
        <v>100</v>
      </c>
      <c r="B147" s="607">
        <f t="shared" si="38"/>
        <v>1255</v>
      </c>
      <c r="C147" s="603">
        <f t="shared" si="31"/>
        <v>730</v>
      </c>
      <c r="D147" s="607">
        <f t="shared" si="39"/>
        <v>1650</v>
      </c>
      <c r="E147" s="603">
        <v>71</v>
      </c>
      <c r="F147" s="604">
        <f t="shared" si="29"/>
        <v>627.5</v>
      </c>
      <c r="G147" s="604">
        <f t="shared" si="30"/>
        <v>-0.16334661354581673</v>
      </c>
      <c r="H147" s="604">
        <f t="shared" si="32"/>
        <v>1.7348782088994554</v>
      </c>
      <c r="I147" s="604">
        <f t="shared" si="33"/>
        <v>746574.00605501933</v>
      </c>
      <c r="J147" s="604">
        <f t="shared" si="34"/>
        <v>1334341841.5007656</v>
      </c>
      <c r="K147" s="605">
        <f t="shared" si="35"/>
        <v>1334.3418415007657</v>
      </c>
      <c r="L147" s="606">
        <f t="shared" si="36"/>
        <v>1327.3418415007657</v>
      </c>
    </row>
    <row r="148" spans="1:12">
      <c r="A148" s="607">
        <f t="shared" si="37"/>
        <v>100</v>
      </c>
      <c r="B148" s="607">
        <f t="shared" si="38"/>
        <v>1255</v>
      </c>
      <c r="C148" s="603">
        <f t="shared" si="31"/>
        <v>735</v>
      </c>
      <c r="D148" s="607">
        <f t="shared" si="39"/>
        <v>1650</v>
      </c>
      <c r="E148" s="603">
        <v>71.5</v>
      </c>
      <c r="F148" s="604">
        <f t="shared" si="29"/>
        <v>627.5</v>
      </c>
      <c r="G148" s="604">
        <f t="shared" si="30"/>
        <v>-0.17131474103585656</v>
      </c>
      <c r="H148" s="604">
        <f t="shared" si="32"/>
        <v>1.7429603108891554</v>
      </c>
      <c r="I148" s="604">
        <f t="shared" si="33"/>
        <v>752760.51643366506</v>
      </c>
      <c r="J148" s="604">
        <f t="shared" si="34"/>
        <v>1345507654.6520767</v>
      </c>
      <c r="K148" s="605">
        <f t="shared" si="35"/>
        <v>1345.5076546520768</v>
      </c>
      <c r="L148" s="606">
        <f t="shared" si="36"/>
        <v>1338.5076546520768</v>
      </c>
    </row>
    <row r="149" spans="1:12">
      <c r="A149" s="607">
        <f t="shared" si="37"/>
        <v>100</v>
      </c>
      <c r="B149" s="607">
        <f t="shared" si="38"/>
        <v>1255</v>
      </c>
      <c r="C149" s="603">
        <f t="shared" si="31"/>
        <v>740</v>
      </c>
      <c r="D149" s="607">
        <f t="shared" si="39"/>
        <v>1650</v>
      </c>
      <c r="E149" s="603">
        <v>72</v>
      </c>
      <c r="F149" s="604">
        <f t="shared" si="29"/>
        <v>627.5</v>
      </c>
      <c r="G149" s="604">
        <f t="shared" si="30"/>
        <v>-0.17928286852589642</v>
      </c>
      <c r="H149" s="604">
        <f t="shared" si="32"/>
        <v>1.7510537874446963</v>
      </c>
      <c r="I149" s="604">
        <f t="shared" si="33"/>
        <v>758938.3323957487</v>
      </c>
      <c r="J149" s="604">
        <f t="shared" si="34"/>
        <v>1356656431.0104005</v>
      </c>
      <c r="K149" s="605">
        <f t="shared" si="35"/>
        <v>1356.6564310104006</v>
      </c>
      <c r="L149" s="606">
        <f t="shared" si="36"/>
        <v>1349.6564310104006</v>
      </c>
    </row>
    <row r="150" spans="1:12">
      <c r="A150" s="607">
        <f t="shared" si="37"/>
        <v>100</v>
      </c>
      <c r="B150" s="607">
        <f t="shared" si="38"/>
        <v>1255</v>
      </c>
      <c r="C150" s="603">
        <f t="shared" si="31"/>
        <v>745</v>
      </c>
      <c r="D150" s="607">
        <f t="shared" si="39"/>
        <v>1650</v>
      </c>
      <c r="E150" s="603">
        <v>72.5</v>
      </c>
      <c r="F150" s="604">
        <f t="shared" si="29"/>
        <v>627.5</v>
      </c>
      <c r="G150" s="604">
        <f t="shared" si="30"/>
        <v>-0.18725099601593626</v>
      </c>
      <c r="H150" s="604">
        <f t="shared" si="32"/>
        <v>1.75915921919508</v>
      </c>
      <c r="I150" s="604">
        <f t="shared" si="33"/>
        <v>765107.03642706037</v>
      </c>
      <c r="J150" s="604">
        <f t="shared" si="34"/>
        <v>1367787356.5142374</v>
      </c>
      <c r="K150" s="605">
        <f t="shared" si="35"/>
        <v>1367.7873565142374</v>
      </c>
      <c r="L150" s="606">
        <f t="shared" si="36"/>
        <v>1360.7873565142374</v>
      </c>
    </row>
    <row r="151" spans="1:12">
      <c r="A151" s="607">
        <f t="shared" si="37"/>
        <v>100</v>
      </c>
      <c r="B151" s="607">
        <f t="shared" si="38"/>
        <v>1255</v>
      </c>
      <c r="C151" s="603">
        <f t="shared" si="31"/>
        <v>750</v>
      </c>
      <c r="D151" s="607">
        <f t="shared" si="39"/>
        <v>1650</v>
      </c>
      <c r="E151" s="603">
        <v>73</v>
      </c>
      <c r="F151" s="604">
        <f t="shared" si="29"/>
        <v>627.5</v>
      </c>
      <c r="G151" s="604">
        <f t="shared" si="30"/>
        <v>-0.19521912350597609</v>
      </c>
      <c r="H151" s="604">
        <f t="shared" si="32"/>
        <v>1.7672771942201368</v>
      </c>
      <c r="I151" s="604">
        <f t="shared" si="33"/>
        <v>771266.20916032628</v>
      </c>
      <c r="J151" s="604">
        <f t="shared" si="34"/>
        <v>1378899614.0445316</v>
      </c>
      <c r="K151" s="605">
        <f t="shared" si="35"/>
        <v>1378.8996140445315</v>
      </c>
      <c r="L151" s="606">
        <f t="shared" si="36"/>
        <v>1371.8996140445315</v>
      </c>
    </row>
    <row r="152" spans="1:12">
      <c r="A152" s="607">
        <f t="shared" si="37"/>
        <v>100</v>
      </c>
      <c r="B152" s="607">
        <f t="shared" si="38"/>
        <v>1255</v>
      </c>
      <c r="C152" s="603">
        <f t="shared" si="31"/>
        <v>755</v>
      </c>
      <c r="D152" s="607">
        <f t="shared" si="39"/>
        <v>1650</v>
      </c>
      <c r="E152" s="603">
        <v>73.5</v>
      </c>
      <c r="F152" s="604">
        <f t="shared" si="29"/>
        <v>627.5</v>
      </c>
      <c r="G152" s="604">
        <f t="shared" si="30"/>
        <v>-0.20318725099601595</v>
      </c>
      <c r="H152" s="604">
        <f t="shared" si="32"/>
        <v>1.7754083084794416</v>
      </c>
      <c r="I152" s="604">
        <f t="shared" si="33"/>
        <v>777415.42927816685</v>
      </c>
      <c r="J152" s="604">
        <f t="shared" si="34"/>
        <v>1389992383.2645526</v>
      </c>
      <c r="K152" s="605">
        <f t="shared" si="35"/>
        <v>1389.9923832645527</v>
      </c>
      <c r="L152" s="606">
        <f t="shared" si="36"/>
        <v>1382.9923832645527</v>
      </c>
    </row>
    <row r="153" spans="1:12">
      <c r="A153" s="607">
        <f t="shared" si="37"/>
        <v>100</v>
      </c>
      <c r="B153" s="607">
        <f t="shared" si="38"/>
        <v>1255</v>
      </c>
      <c r="C153" s="603">
        <f t="shared" si="31"/>
        <v>760</v>
      </c>
      <c r="D153" s="607">
        <f t="shared" si="39"/>
        <v>1650</v>
      </c>
      <c r="E153" s="603">
        <v>74</v>
      </c>
      <c r="F153" s="604">
        <f t="shared" si="29"/>
        <v>627.5</v>
      </c>
      <c r="G153" s="604">
        <f t="shared" si="30"/>
        <v>-0.21115537848605578</v>
      </c>
      <c r="H153" s="604">
        <f t="shared" si="32"/>
        <v>1.7835531662556017</v>
      </c>
      <c r="I153" s="604">
        <f t="shared" si="33"/>
        <v>783554.27341396932</v>
      </c>
      <c r="J153" s="604">
        <f t="shared" si="34"/>
        <v>1401064840.4563358</v>
      </c>
      <c r="K153" s="605">
        <f t="shared" si="35"/>
        <v>1401.0648404563358</v>
      </c>
      <c r="L153" s="606">
        <f t="shared" si="36"/>
        <v>1394.0648404563358</v>
      </c>
    </row>
    <row r="154" spans="1:12">
      <c r="A154" s="607">
        <f t="shared" si="37"/>
        <v>100</v>
      </c>
      <c r="B154" s="607">
        <f t="shared" si="38"/>
        <v>1255</v>
      </c>
      <c r="C154" s="603">
        <f t="shared" si="31"/>
        <v>765</v>
      </c>
      <c r="D154" s="607">
        <f t="shared" si="39"/>
        <v>1650</v>
      </c>
      <c r="E154" s="603">
        <v>74.5</v>
      </c>
      <c r="F154" s="604">
        <f t="shared" si="29"/>
        <v>627.5</v>
      </c>
      <c r="G154" s="604">
        <f t="shared" si="30"/>
        <v>-0.21912350597609562</v>
      </c>
      <c r="H154" s="604">
        <f t="shared" si="32"/>
        <v>1.7917123806129072</v>
      </c>
      <c r="I154" s="604">
        <f t="shared" si="33"/>
        <v>789682.31605053996</v>
      </c>
      <c r="J154" s="604">
        <f t="shared" si="34"/>
        <v>1412116158.3534572</v>
      </c>
      <c r="K154" s="605">
        <f t="shared" si="35"/>
        <v>1412.1161583534572</v>
      </c>
      <c r="L154" s="606">
        <f t="shared" si="36"/>
        <v>1405.1161583534572</v>
      </c>
    </row>
    <row r="155" spans="1:12">
      <c r="A155" s="607">
        <f t="shared" si="37"/>
        <v>100</v>
      </c>
      <c r="B155" s="607">
        <f t="shared" si="38"/>
        <v>1255</v>
      </c>
      <c r="C155" s="603">
        <f t="shared" si="31"/>
        <v>770</v>
      </c>
      <c r="D155" s="607">
        <f t="shared" si="39"/>
        <v>1650</v>
      </c>
      <c r="E155" s="603">
        <v>75</v>
      </c>
      <c r="F155" s="604">
        <f t="shared" si="29"/>
        <v>627.5</v>
      </c>
      <c r="G155" s="604">
        <f t="shared" si="30"/>
        <v>-0.22709163346613545</v>
      </c>
      <c r="H155" s="604">
        <f t="shared" si="32"/>
        <v>1.7998865738723868</v>
      </c>
      <c r="I155" s="604">
        <f t="shared" si="33"/>
        <v>795799.12941640709</v>
      </c>
      <c r="J155" s="604">
        <f t="shared" si="34"/>
        <v>1423145505.9699347</v>
      </c>
      <c r="K155" s="605">
        <f t="shared" si="35"/>
        <v>1423.1455059699347</v>
      </c>
      <c r="L155" s="606">
        <f t="shared" si="36"/>
        <v>1416.1455059699347</v>
      </c>
    </row>
    <row r="156" spans="1:12">
      <c r="A156" s="607">
        <f t="shared" si="37"/>
        <v>100</v>
      </c>
      <c r="B156" s="607">
        <f t="shared" si="38"/>
        <v>1255</v>
      </c>
      <c r="C156" s="603">
        <f t="shared" si="31"/>
        <v>775</v>
      </c>
      <c r="D156" s="607">
        <f t="shared" si="39"/>
        <v>1650</v>
      </c>
      <c r="E156" s="603">
        <v>75.5</v>
      </c>
      <c r="F156" s="604">
        <f t="shared" si="29"/>
        <v>627.5</v>
      </c>
      <c r="G156" s="604">
        <f t="shared" si="30"/>
        <v>-0.23505976095617531</v>
      </c>
      <c r="H156" s="604">
        <f t="shared" si="32"/>
        <v>1.8080763781043834</v>
      </c>
      <c r="I156" s="604">
        <f t="shared" si="33"/>
        <v>801904.28337962786</v>
      </c>
      <c r="J156" s="604">
        <f t="shared" si="34"/>
        <v>1434152048.4250088</v>
      </c>
      <c r="K156" s="605">
        <f t="shared" si="35"/>
        <v>1434.1520484250088</v>
      </c>
      <c r="L156" s="606">
        <f t="shared" si="36"/>
        <v>1427.1520484250088</v>
      </c>
    </row>
    <row r="157" spans="1:12">
      <c r="A157" s="607">
        <f t="shared" si="37"/>
        <v>100</v>
      </c>
      <c r="B157" s="607">
        <f t="shared" si="38"/>
        <v>1255</v>
      </c>
      <c r="C157" s="603">
        <f t="shared" si="31"/>
        <v>780</v>
      </c>
      <c r="D157" s="607">
        <f t="shared" si="39"/>
        <v>1650</v>
      </c>
      <c r="E157" s="603">
        <v>76</v>
      </c>
      <c r="F157" s="604">
        <f t="shared" si="29"/>
        <v>627.5</v>
      </c>
      <c r="G157" s="604">
        <f t="shared" si="30"/>
        <v>-0.24302788844621515</v>
      </c>
      <c r="H157" s="604">
        <f t="shared" si="32"/>
        <v>1.8162824356398253</v>
      </c>
      <c r="I157" s="604">
        <f t="shared" si="33"/>
        <v>807997.34533895645</v>
      </c>
      <c r="J157" s="604">
        <f t="shared" si="34"/>
        <v>1445134946.7635701</v>
      </c>
      <c r="K157" s="605">
        <f t="shared" si="35"/>
        <v>1445.13494676357</v>
      </c>
      <c r="L157" s="606">
        <f t="shared" si="36"/>
        <v>1438.13494676357</v>
      </c>
    </row>
    <row r="158" spans="1:12">
      <c r="A158" s="607">
        <f t="shared" si="37"/>
        <v>100</v>
      </c>
      <c r="B158" s="607">
        <f t="shared" si="38"/>
        <v>1255</v>
      </c>
      <c r="C158" s="603">
        <f t="shared" si="31"/>
        <v>785</v>
      </c>
      <c r="D158" s="607">
        <f t="shared" si="39"/>
        <v>1650</v>
      </c>
      <c r="E158" s="603">
        <v>76.5</v>
      </c>
      <c r="F158" s="604">
        <f t="shared" si="29"/>
        <v>627.5</v>
      </c>
      <c r="G158" s="604">
        <f t="shared" si="30"/>
        <v>-0.25099601593625498</v>
      </c>
      <c r="H158" s="604">
        <f t="shared" si="32"/>
        <v>1.8245053996014493</v>
      </c>
      <c r="I158" s="604">
        <f t="shared" si="33"/>
        <v>814077.88011221704</v>
      </c>
      <c r="J158" s="604">
        <f t="shared" si="34"/>
        <v>1456093357.7719741</v>
      </c>
      <c r="K158" s="605">
        <f t="shared" si="35"/>
        <v>1456.0933577719741</v>
      </c>
      <c r="L158" s="606">
        <f t="shared" si="36"/>
        <v>1449.0933577719741</v>
      </c>
    </row>
    <row r="159" spans="1:12">
      <c r="A159" s="607">
        <f t="shared" si="37"/>
        <v>100</v>
      </c>
      <c r="B159" s="607">
        <f t="shared" si="38"/>
        <v>1255</v>
      </c>
      <c r="C159" s="603">
        <f t="shared" si="31"/>
        <v>790</v>
      </c>
      <c r="D159" s="607">
        <f t="shared" si="39"/>
        <v>1650</v>
      </c>
      <c r="E159" s="603">
        <v>77</v>
      </c>
      <c r="F159" s="604">
        <f t="shared" si="29"/>
        <v>627.5</v>
      </c>
      <c r="G159" s="604">
        <f t="shared" si="30"/>
        <v>-0.25896414342629481</v>
      </c>
      <c r="H159" s="604">
        <f t="shared" si="32"/>
        <v>1.8327459344563035</v>
      </c>
      <c r="I159" s="604">
        <f t="shared" si="33"/>
        <v>820145.44982171664</v>
      </c>
      <c r="J159" s="604">
        <f t="shared" si="34"/>
        <v>1467026433.788974</v>
      </c>
      <c r="K159" s="605">
        <f t="shared" si="35"/>
        <v>1467.0264337889741</v>
      </c>
      <c r="L159" s="606">
        <f t="shared" si="36"/>
        <v>1460.0264337889741</v>
      </c>
    </row>
    <row r="160" spans="1:12">
      <c r="A160" s="607">
        <f t="shared" si="37"/>
        <v>100</v>
      </c>
      <c r="B160" s="607">
        <f t="shared" si="38"/>
        <v>1255</v>
      </c>
      <c r="C160" s="603">
        <f t="shared" si="31"/>
        <v>795</v>
      </c>
      <c r="D160" s="607">
        <f t="shared" si="39"/>
        <v>1650</v>
      </c>
      <c r="E160" s="603">
        <v>77.5</v>
      </c>
      <c r="F160" s="604">
        <f t="shared" si="29"/>
        <v>627.5</v>
      </c>
      <c r="G160" s="604">
        <f t="shared" si="30"/>
        <v>-0.26693227091633465</v>
      </c>
      <c r="H160" s="604">
        <f t="shared" si="32"/>
        <v>1.841004716590952</v>
      </c>
      <c r="I160" s="604">
        <f t="shared" si="33"/>
        <v>826199.61377652979</v>
      </c>
      <c r="J160" s="604">
        <f t="shared" si="34"/>
        <v>1477933322.5114884</v>
      </c>
      <c r="K160" s="605">
        <f t="shared" si="35"/>
        <v>1477.9333225114885</v>
      </c>
      <c r="L160" s="606">
        <f t="shared" si="36"/>
        <v>1470.9333225114885</v>
      </c>
    </row>
    <row r="161" spans="1:12">
      <c r="A161" s="607">
        <f t="shared" si="37"/>
        <v>100</v>
      </c>
      <c r="B161" s="607">
        <f t="shared" si="38"/>
        <v>1255</v>
      </c>
      <c r="C161" s="603">
        <f t="shared" si="31"/>
        <v>800</v>
      </c>
      <c r="D161" s="607">
        <f t="shared" si="39"/>
        <v>1650</v>
      </c>
      <c r="E161" s="603">
        <v>78</v>
      </c>
      <c r="F161" s="604">
        <f t="shared" si="29"/>
        <v>627.5</v>
      </c>
      <c r="G161" s="604">
        <f t="shared" si="30"/>
        <v>-0.27490039840637448</v>
      </c>
      <c r="H161" s="604">
        <f t="shared" si="32"/>
        <v>1.8492824349108985</v>
      </c>
      <c r="I161" s="604">
        <f t="shared" si="33"/>
        <v>832239.92835147306</v>
      </c>
      <c r="J161" s="604">
        <f t="shared" si="34"/>
        <v>1488813166.7949111</v>
      </c>
      <c r="K161" s="605">
        <f t="shared" si="35"/>
        <v>1488.8131667949112</v>
      </c>
      <c r="L161" s="606">
        <f t="shared" si="36"/>
        <v>1481.8131667949112</v>
      </c>
    </row>
    <row r="162" spans="1:12">
      <c r="A162" s="607">
        <f t="shared" si="37"/>
        <v>100</v>
      </c>
      <c r="B162" s="607">
        <f t="shared" si="38"/>
        <v>1255</v>
      </c>
      <c r="C162" s="603">
        <f t="shared" si="31"/>
        <v>805</v>
      </c>
      <c r="D162" s="607">
        <f t="shared" si="39"/>
        <v>1650</v>
      </c>
      <c r="E162" s="603">
        <v>78.5</v>
      </c>
      <c r="F162" s="604">
        <f t="shared" si="29"/>
        <v>627.5</v>
      </c>
      <c r="G162" s="604">
        <f t="shared" si="30"/>
        <v>-0.28286852589641437</v>
      </c>
      <c r="H162" s="604">
        <f t="shared" si="32"/>
        <v>1.8575797914658398</v>
      </c>
      <c r="I162" s="604">
        <f t="shared" si="33"/>
        <v>838265.94686258072</v>
      </c>
      <c r="J162" s="604">
        <f t="shared" si="34"/>
        <v>1499665104.4476445</v>
      </c>
      <c r="K162" s="605">
        <f t="shared" si="35"/>
        <v>1499.6651044476446</v>
      </c>
      <c r="L162" s="606">
        <f t="shared" si="36"/>
        <v>1492.6651044476446</v>
      </c>
    </row>
    <row r="163" spans="1:12">
      <c r="A163" s="607">
        <f t="shared" si="37"/>
        <v>100</v>
      </c>
      <c r="B163" s="607">
        <f t="shared" si="38"/>
        <v>1255</v>
      </c>
      <c r="C163" s="603">
        <f t="shared" si="31"/>
        <v>810</v>
      </c>
      <c r="D163" s="607">
        <f t="shared" si="39"/>
        <v>1650</v>
      </c>
      <c r="E163" s="603">
        <v>79</v>
      </c>
      <c r="F163" s="604">
        <f t="shared" si="29"/>
        <v>627.5</v>
      </c>
      <c r="G163" s="604">
        <f t="shared" si="30"/>
        <v>-0.2908366533864542</v>
      </c>
      <c r="H163" s="604">
        <f t="shared" si="32"/>
        <v>1.8658975021024817</v>
      </c>
      <c r="I163" s="604">
        <f t="shared" si="33"/>
        <v>844277.21943887777</v>
      </c>
      <c r="J163" s="604">
        <f t="shared" si="34"/>
        <v>1510488268.019526</v>
      </c>
      <c r="K163" s="605">
        <f t="shared" si="35"/>
        <v>1510.488268019526</v>
      </c>
      <c r="L163" s="606">
        <f t="shared" si="36"/>
        <v>1503.488268019526</v>
      </c>
    </row>
    <row r="164" spans="1:12">
      <c r="A164" s="607">
        <f t="shared" si="37"/>
        <v>100</v>
      </c>
      <c r="B164" s="607">
        <f t="shared" si="38"/>
        <v>1255</v>
      </c>
      <c r="C164" s="603">
        <f t="shared" si="31"/>
        <v>815</v>
      </c>
      <c r="D164" s="607">
        <f t="shared" si="39"/>
        <v>1650</v>
      </c>
      <c r="E164" s="603">
        <v>79.5</v>
      </c>
      <c r="F164" s="604">
        <f t="shared" si="29"/>
        <v>627.5</v>
      </c>
      <c r="G164" s="604">
        <f t="shared" si="30"/>
        <v>-0.29880478087649404</v>
      </c>
      <c r="H164" s="604">
        <f t="shared" si="32"/>
        <v>1.8742362971467661</v>
      </c>
      <c r="I164" s="604">
        <f t="shared" si="33"/>
        <v>850273.29289024533</v>
      </c>
      <c r="J164" s="604">
        <f t="shared" si="34"/>
        <v>1521281784.5838051</v>
      </c>
      <c r="K164" s="605">
        <f t="shared" si="35"/>
        <v>1521.2817845838051</v>
      </c>
      <c r="L164" s="606">
        <f t="shared" si="36"/>
        <v>1514.2817845838051</v>
      </c>
    </row>
    <row r="165" spans="1:12">
      <c r="A165" s="607">
        <f t="shared" si="37"/>
        <v>100</v>
      </c>
      <c r="B165" s="607">
        <f t="shared" si="38"/>
        <v>1255</v>
      </c>
      <c r="C165" s="603">
        <f t="shared" si="31"/>
        <v>820</v>
      </c>
      <c r="D165" s="607">
        <f t="shared" si="39"/>
        <v>1650</v>
      </c>
      <c r="E165" s="603">
        <v>80</v>
      </c>
      <c r="F165" s="604">
        <f t="shared" si="29"/>
        <v>627.5</v>
      </c>
      <c r="G165" s="604">
        <f t="shared" si="30"/>
        <v>-0.30677290836653387</v>
      </c>
      <c r="H165" s="604">
        <f t="shared" si="32"/>
        <v>1.8825969221174885</v>
      </c>
      <c r="I165" s="604">
        <f t="shared" si="33"/>
        <v>856253.71057114541</v>
      </c>
      <c r="J165" s="604">
        <f t="shared" si="34"/>
        <v>1532044775.512291</v>
      </c>
      <c r="K165" s="605">
        <f t="shared" si="35"/>
        <v>1532.0447755122909</v>
      </c>
      <c r="L165" s="606">
        <f t="shared" si="36"/>
        <v>1525.0447755122909</v>
      </c>
    </row>
    <row r="166" spans="1:12">
      <c r="A166" s="607">
        <f t="shared" si="37"/>
        <v>100</v>
      </c>
      <c r="B166" s="607">
        <f t="shared" si="38"/>
        <v>1255</v>
      </c>
      <c r="C166" s="603">
        <f t="shared" si="31"/>
        <v>825</v>
      </c>
      <c r="D166" s="607">
        <f t="shared" si="39"/>
        <v>1650</v>
      </c>
      <c r="E166" s="603">
        <v>80.5</v>
      </c>
      <c r="F166" s="604">
        <f t="shared" si="29"/>
        <v>627.5</v>
      </c>
      <c r="G166" s="604">
        <f t="shared" si="30"/>
        <v>-0.3147410358565737</v>
      </c>
      <c r="H166" s="604">
        <f t="shared" si="32"/>
        <v>1.8909801384734357</v>
      </c>
      <c r="I166" s="604">
        <f t="shared" si="33"/>
        <v>862218.01223997807</v>
      </c>
      <c r="J166" s="604">
        <f t="shared" si="34"/>
        <v>1542776356.2432892</v>
      </c>
      <c r="K166" s="605">
        <f t="shared" si="35"/>
        <v>1542.7763562432892</v>
      </c>
      <c r="L166" s="606">
        <f t="shared" si="36"/>
        <v>1535.7763562432892</v>
      </c>
    </row>
    <row r="167" spans="1:12">
      <c r="A167" s="607">
        <f t="shared" si="37"/>
        <v>100</v>
      </c>
      <c r="B167" s="607">
        <f t="shared" si="38"/>
        <v>1255</v>
      </c>
      <c r="C167" s="603">
        <f t="shared" si="31"/>
        <v>830</v>
      </c>
      <c r="D167" s="607">
        <f t="shared" si="39"/>
        <v>1650</v>
      </c>
      <c r="E167" s="603">
        <v>81</v>
      </c>
      <c r="F167" s="604">
        <f t="shared" si="29"/>
        <v>627.5</v>
      </c>
      <c r="G167" s="604">
        <f t="shared" si="30"/>
        <v>-0.32270916334661354</v>
      </c>
      <c r="H167" s="604">
        <f t="shared" si="32"/>
        <v>1.8993867243963174</v>
      </c>
      <c r="I167" s="604">
        <f t="shared" si="33"/>
        <v>868165.73391381034</v>
      </c>
      <c r="J167" s="604">
        <f t="shared" si="34"/>
        <v>1553475636.0419068</v>
      </c>
      <c r="K167" s="605">
        <f t="shared" si="35"/>
        <v>1553.4756360419069</v>
      </c>
      <c r="L167" s="606">
        <f t="shared" si="36"/>
        <v>1546.4756360419069</v>
      </c>
    </row>
    <row r="168" spans="1:12">
      <c r="A168" s="607">
        <f t="shared" si="37"/>
        <v>100</v>
      </c>
      <c r="B168" s="607">
        <f t="shared" si="38"/>
        <v>1255</v>
      </c>
      <c r="C168" s="603">
        <f t="shared" si="31"/>
        <v>835</v>
      </c>
      <c r="D168" s="607">
        <f t="shared" si="39"/>
        <v>1650</v>
      </c>
      <c r="E168" s="603">
        <v>81.5</v>
      </c>
      <c r="F168" s="604">
        <f t="shared" si="29"/>
        <v>627.5</v>
      </c>
      <c r="G168" s="604">
        <f t="shared" si="30"/>
        <v>-0.33067729083665337</v>
      </c>
      <c r="H168" s="604">
        <f t="shared" si="32"/>
        <v>1.9078174756119508</v>
      </c>
      <c r="I168" s="604">
        <f t="shared" si="33"/>
        <v>874096.40771821956</v>
      </c>
      <c r="J168" s="604">
        <f t="shared" si="34"/>
        <v>1564141717.7522922</v>
      </c>
      <c r="K168" s="605">
        <f t="shared" si="35"/>
        <v>1564.1417177522922</v>
      </c>
      <c r="L168" s="606">
        <f t="shared" si="36"/>
        <v>1557.1417177522922</v>
      </c>
    </row>
    <row r="169" spans="1:12">
      <c r="A169" s="607">
        <f t="shared" si="37"/>
        <v>100</v>
      </c>
      <c r="B169" s="607">
        <f t="shared" si="38"/>
        <v>1255</v>
      </c>
      <c r="C169" s="603">
        <f t="shared" si="31"/>
        <v>840</v>
      </c>
      <c r="D169" s="607">
        <f t="shared" si="39"/>
        <v>1650</v>
      </c>
      <c r="E169" s="603">
        <v>82</v>
      </c>
      <c r="F169" s="604">
        <f t="shared" si="29"/>
        <v>627.5</v>
      </c>
      <c r="G169" s="604">
        <f t="shared" si="30"/>
        <v>-0.3386454183266932</v>
      </c>
      <c r="H169" s="604">
        <f t="shared" si="32"/>
        <v>1.9162732062523307</v>
      </c>
      <c r="I169" s="604">
        <f t="shared" si="33"/>
        <v>880009.56173196109</v>
      </c>
      <c r="J169" s="604">
        <f t="shared" si="34"/>
        <v>1574773697.541338</v>
      </c>
      <c r="K169" s="605">
        <f t="shared" si="35"/>
        <v>1574.7736975413379</v>
      </c>
      <c r="L169" s="606">
        <f t="shared" si="36"/>
        <v>1567.7736975413379</v>
      </c>
    </row>
    <row r="170" spans="1:12">
      <c r="A170" s="607">
        <f t="shared" si="37"/>
        <v>100</v>
      </c>
      <c r="B170" s="607">
        <f t="shared" si="38"/>
        <v>1255</v>
      </c>
      <c r="C170" s="603">
        <f t="shared" si="31"/>
        <v>845</v>
      </c>
      <c r="D170" s="607">
        <f t="shared" si="39"/>
        <v>1650</v>
      </c>
      <c r="E170" s="603">
        <v>82.5</v>
      </c>
      <c r="F170" s="604">
        <f t="shared" si="29"/>
        <v>627.5</v>
      </c>
      <c r="G170" s="604">
        <f t="shared" si="30"/>
        <v>-0.34661354581673309</v>
      </c>
      <c r="H170" s="604">
        <f t="shared" si="32"/>
        <v>1.9247547497614279</v>
      </c>
      <c r="I170" s="604">
        <f t="shared" si="33"/>
        <v>885904.71982616594</v>
      </c>
      <c r="J170" s="604">
        <f t="shared" si="34"/>
        <v>1585370664.6333561</v>
      </c>
      <c r="K170" s="605">
        <f t="shared" si="35"/>
        <v>1585.370664633356</v>
      </c>
      <c r="L170" s="606">
        <f t="shared" si="36"/>
        <v>1578.370664633356</v>
      </c>
    </row>
    <row r="171" spans="1:12">
      <c r="A171" s="607">
        <f t="shared" si="37"/>
        <v>100</v>
      </c>
      <c r="B171" s="607">
        <f t="shared" si="38"/>
        <v>1255</v>
      </c>
      <c r="C171" s="603">
        <f t="shared" si="31"/>
        <v>850</v>
      </c>
      <c r="D171" s="607">
        <f t="shared" si="39"/>
        <v>1650</v>
      </c>
      <c r="E171" s="603">
        <v>83</v>
      </c>
      <c r="F171" s="604">
        <f t="shared" si="29"/>
        <v>627.5</v>
      </c>
      <c r="G171" s="604">
        <f t="shared" si="30"/>
        <v>-0.35458167330677293</v>
      </c>
      <c r="H171" s="604">
        <f t="shared" si="32"/>
        <v>1.9332629598477791</v>
      </c>
      <c r="I171" s="604">
        <f t="shared" si="33"/>
        <v>891781.40149774507</v>
      </c>
      <c r="J171" s="604">
        <f t="shared" si="34"/>
        <v>1595931701.0351961</v>
      </c>
      <c r="K171" s="605">
        <f t="shared" si="35"/>
        <v>1595.9317010351961</v>
      </c>
      <c r="L171" s="606">
        <f t="shared" si="36"/>
        <v>1588.9317010351961</v>
      </c>
    </row>
    <row r="172" spans="1:12">
      <c r="A172" s="607">
        <f t="shared" si="37"/>
        <v>100</v>
      </c>
      <c r="B172" s="607">
        <f t="shared" si="38"/>
        <v>1255</v>
      </c>
      <c r="C172" s="603">
        <f t="shared" si="31"/>
        <v>855</v>
      </c>
      <c r="D172" s="607">
        <f t="shared" si="39"/>
        <v>1650</v>
      </c>
      <c r="E172" s="603">
        <v>83.5</v>
      </c>
      <c r="F172" s="604">
        <f t="shared" si="29"/>
        <v>627.5</v>
      </c>
      <c r="G172" s="604">
        <f t="shared" si="30"/>
        <v>-0.36254980079681276</v>
      </c>
      <c r="H172" s="604">
        <f t="shared" si="32"/>
        <v>1.94179871148717</v>
      </c>
      <c r="I172" s="604">
        <f t="shared" si="33"/>
        <v>897639.12169666227</v>
      </c>
      <c r="J172" s="604">
        <f t="shared" si="34"/>
        <v>1606455881.2512441</v>
      </c>
      <c r="K172" s="605">
        <f t="shared" si="35"/>
        <v>1606.4558812512441</v>
      </c>
      <c r="L172" s="606">
        <f t="shared" si="36"/>
        <v>1599.4558812512441</v>
      </c>
    </row>
    <row r="173" spans="1:12">
      <c r="A173" s="607">
        <f t="shared" si="37"/>
        <v>100</v>
      </c>
      <c r="B173" s="607">
        <f t="shared" si="38"/>
        <v>1255</v>
      </c>
      <c r="C173" s="603">
        <f t="shared" si="31"/>
        <v>860</v>
      </c>
      <c r="D173" s="607">
        <f t="shared" si="39"/>
        <v>1650</v>
      </c>
      <c r="E173" s="603">
        <v>84</v>
      </c>
      <c r="F173" s="604">
        <f t="shared" si="29"/>
        <v>627.5</v>
      </c>
      <c r="G173" s="604">
        <f t="shared" si="30"/>
        <v>-0.37051792828685259</v>
      </c>
      <c r="H173" s="604">
        <f t="shared" si="32"/>
        <v>1.950362901978987</v>
      </c>
      <c r="I173" s="604">
        <f t="shared" si="33"/>
        <v>903477.39064671309</v>
      </c>
      <c r="J173" s="604">
        <f t="shared" si="34"/>
        <v>1616942271.9877088</v>
      </c>
      <c r="K173" s="605">
        <f t="shared" si="35"/>
        <v>1616.9422719877089</v>
      </c>
      <c r="L173" s="606">
        <f t="shared" si="36"/>
        <v>1609.9422719877089</v>
      </c>
    </row>
    <row r="174" spans="1:12">
      <c r="A174" s="607">
        <f t="shared" si="37"/>
        <v>100</v>
      </c>
      <c r="B174" s="607">
        <f t="shared" si="38"/>
        <v>1255</v>
      </c>
      <c r="C174" s="603">
        <f t="shared" si="31"/>
        <v>865</v>
      </c>
      <c r="D174" s="607">
        <f t="shared" si="39"/>
        <v>1650</v>
      </c>
      <c r="E174" s="603">
        <v>84.5</v>
      </c>
      <c r="F174" s="604">
        <f t="shared" si="29"/>
        <v>627.5</v>
      </c>
      <c r="G174" s="604">
        <f t="shared" si="30"/>
        <v>-0.37848605577689243</v>
      </c>
      <c r="H174" s="604">
        <f t="shared" si="32"/>
        <v>1.9589564520600973</v>
      </c>
      <c r="I174" s="604">
        <f t="shared" si="33"/>
        <v>909295.71365942224</v>
      </c>
      <c r="J174" s="604">
        <f t="shared" si="34"/>
        <v>1627389931.845552</v>
      </c>
      <c r="K174" s="605">
        <f t="shared" si="35"/>
        <v>1627.3899318455519</v>
      </c>
      <c r="L174" s="606">
        <f t="shared" si="36"/>
        <v>1620.3899318455519</v>
      </c>
    </row>
    <row r="175" spans="1:12">
      <c r="A175" s="607">
        <f t="shared" si="37"/>
        <v>100</v>
      </c>
      <c r="B175" s="607">
        <f t="shared" si="38"/>
        <v>1255</v>
      </c>
      <c r="C175" s="603">
        <f t="shared" si="31"/>
        <v>870</v>
      </c>
      <c r="D175" s="607">
        <f t="shared" si="39"/>
        <v>1650</v>
      </c>
      <c r="E175" s="603">
        <v>85</v>
      </c>
      <c r="F175" s="604">
        <f t="shared" si="29"/>
        <v>627.5</v>
      </c>
      <c r="G175" s="604">
        <f t="shared" si="30"/>
        <v>-0.38645418326693226</v>
      </c>
      <c r="H175" s="604">
        <f t="shared" si="32"/>
        <v>1.9675803070804398</v>
      </c>
      <c r="I175" s="604">
        <f t="shared" si="33"/>
        <v>915093.59094064857</v>
      </c>
      <c r="J175" s="604">
        <f t="shared" si="34"/>
        <v>1637797911.0013871</v>
      </c>
      <c r="K175" s="605">
        <f t="shared" si="35"/>
        <v>1637.7979110013871</v>
      </c>
      <c r="L175" s="606">
        <f t="shared" si="36"/>
        <v>1630.7979110013871</v>
      </c>
    </row>
    <row r="176" spans="1:12">
      <c r="A176" s="607">
        <f t="shared" si="37"/>
        <v>100</v>
      </c>
      <c r="B176" s="607">
        <f t="shared" si="38"/>
        <v>1255</v>
      </c>
      <c r="C176" s="603">
        <f t="shared" si="31"/>
        <v>875</v>
      </c>
      <c r="D176" s="607">
        <f t="shared" si="39"/>
        <v>1650</v>
      </c>
      <c r="E176" s="603">
        <v>85.5</v>
      </c>
      <c r="F176" s="604">
        <f t="shared" si="29"/>
        <v>627.5</v>
      </c>
      <c r="G176" s="604">
        <f t="shared" si="30"/>
        <v>-0.39442231075697209</v>
      </c>
      <c r="H176" s="604">
        <f t="shared" si="32"/>
        <v>1.9762354382448621</v>
      </c>
      <c r="I176" s="604">
        <f t="shared" si="33"/>
        <v>920870.51738945453</v>
      </c>
      <c r="J176" s="604">
        <f t="shared" si="34"/>
        <v>1648165250.875613</v>
      </c>
      <c r="K176" s="605">
        <f t="shared" si="35"/>
        <v>1648.1652508756131</v>
      </c>
      <c r="L176" s="606">
        <f t="shared" si="36"/>
        <v>1641.1652508756131</v>
      </c>
    </row>
    <row r="177" spans="1:12">
      <c r="A177" s="607">
        <f t="shared" si="37"/>
        <v>100</v>
      </c>
      <c r="B177" s="607">
        <f t="shared" si="38"/>
        <v>1255</v>
      </c>
      <c r="C177" s="603">
        <f t="shared" si="31"/>
        <v>880</v>
      </c>
      <c r="D177" s="607">
        <f t="shared" si="39"/>
        <v>1650</v>
      </c>
      <c r="E177" s="603">
        <v>86</v>
      </c>
      <c r="F177" s="604">
        <f t="shared" si="29"/>
        <v>627.5</v>
      </c>
      <c r="G177" s="604">
        <f t="shared" si="30"/>
        <v>-0.40239043824701193</v>
      </c>
      <c r="H177" s="604">
        <f t="shared" si="32"/>
        <v>1.9849228439261184</v>
      </c>
      <c r="I177" s="604">
        <f t="shared" si="33"/>
        <v>926625.98238876893</v>
      </c>
      <c r="J177" s="604">
        <f t="shared" si="34"/>
        <v>1658490983.7870085</v>
      </c>
      <c r="K177" s="605">
        <f t="shared" si="35"/>
        <v>1658.4909837870084</v>
      </c>
      <c r="L177" s="606">
        <f t="shared" si="36"/>
        <v>1651.4909837870084</v>
      </c>
    </row>
    <row r="178" spans="1:12">
      <c r="A178" s="607">
        <f t="shared" si="37"/>
        <v>100</v>
      </c>
      <c r="B178" s="607">
        <f t="shared" si="38"/>
        <v>1255</v>
      </c>
      <c r="C178" s="603">
        <f t="shared" si="31"/>
        <v>885</v>
      </c>
      <c r="D178" s="607">
        <f t="shared" si="39"/>
        <v>1650</v>
      </c>
      <c r="E178" s="603">
        <v>86.5</v>
      </c>
      <c r="F178" s="604">
        <f t="shared" si="29"/>
        <v>627.5</v>
      </c>
      <c r="G178" s="604">
        <f t="shared" si="30"/>
        <v>-0.41035856573705182</v>
      </c>
      <c r="H178" s="604">
        <f t="shared" si="32"/>
        <v>1.9936435510543804</v>
      </c>
      <c r="I178" s="604">
        <f t="shared" si="33"/>
        <v>932359.46958733746</v>
      </c>
      <c r="J178" s="604">
        <f t="shared" si="34"/>
        <v>1668774132.5929499</v>
      </c>
      <c r="K178" s="605">
        <f t="shared" si="35"/>
        <v>1668.7741325929499</v>
      </c>
      <c r="L178" s="606">
        <f t="shared" si="36"/>
        <v>1661.7741325929499</v>
      </c>
    </row>
    <row r="179" spans="1:12">
      <c r="A179" s="607">
        <f t="shared" si="37"/>
        <v>100</v>
      </c>
      <c r="B179" s="607">
        <f t="shared" si="38"/>
        <v>1255</v>
      </c>
      <c r="C179" s="603">
        <f t="shared" si="31"/>
        <v>890</v>
      </c>
      <c r="D179" s="607">
        <f t="shared" si="39"/>
        <v>1650</v>
      </c>
      <c r="E179" s="603">
        <v>87</v>
      </c>
      <c r="F179" s="604">
        <f t="shared" si="29"/>
        <v>627.5</v>
      </c>
      <c r="G179" s="604">
        <f t="shared" si="30"/>
        <v>-0.41832669322709165</v>
      </c>
      <c r="H179" s="604">
        <f t="shared" si="32"/>
        <v>2.0023986165890646</v>
      </c>
      <c r="I179" s="604">
        <f t="shared" si="33"/>
        <v>938070.45667241898</v>
      </c>
      <c r="J179" s="604">
        <f t="shared" si="34"/>
        <v>1679013710.3143604</v>
      </c>
      <c r="K179" s="605">
        <f t="shared" si="35"/>
        <v>1679.0137103143604</v>
      </c>
      <c r="L179" s="606">
        <f t="shared" si="36"/>
        <v>1672.0137103143604</v>
      </c>
    </row>
    <row r="180" spans="1:12">
      <c r="A180" s="607">
        <f t="shared" si="37"/>
        <v>100</v>
      </c>
      <c r="B180" s="607">
        <f t="shared" si="38"/>
        <v>1255</v>
      </c>
      <c r="C180" s="603">
        <f t="shared" si="31"/>
        <v>895</v>
      </c>
      <c r="D180" s="607">
        <f t="shared" si="39"/>
        <v>1650</v>
      </c>
      <c r="E180" s="603">
        <v>87.5</v>
      </c>
      <c r="F180" s="604">
        <f t="shared" si="29"/>
        <v>627.5</v>
      </c>
      <c r="G180" s="604">
        <f t="shared" si="30"/>
        <v>-0.42629482071713148</v>
      </c>
      <c r="H180" s="604">
        <f t="shared" si="32"/>
        <v>2.0111891290793156</v>
      </c>
      <c r="I180" s="604">
        <f t="shared" si="33"/>
        <v>943758.41513264389</v>
      </c>
      <c r="J180" s="604">
        <f t="shared" si="34"/>
        <v>1689208719.7444265</v>
      </c>
      <c r="K180" s="605">
        <f t="shared" si="35"/>
        <v>1689.2087197444264</v>
      </c>
      <c r="L180" s="606">
        <f t="shared" si="36"/>
        <v>1682.2087197444264</v>
      </c>
    </row>
    <row r="181" spans="1:12">
      <c r="A181" s="607">
        <f t="shared" si="37"/>
        <v>100</v>
      </c>
      <c r="B181" s="607">
        <f t="shared" si="38"/>
        <v>1255</v>
      </c>
      <c r="C181" s="603">
        <f t="shared" si="31"/>
        <v>900</v>
      </c>
      <c r="D181" s="607">
        <f t="shared" si="39"/>
        <v>1650</v>
      </c>
      <c r="E181" s="603">
        <v>88</v>
      </c>
      <c r="F181" s="604">
        <f t="shared" si="29"/>
        <v>627.5</v>
      </c>
      <c r="G181" s="604">
        <f t="shared" si="30"/>
        <v>-0.43426294820717132</v>
      </c>
      <c r="H181" s="604">
        <f t="shared" si="32"/>
        <v>2.0200162103200419</v>
      </c>
      <c r="I181" s="604">
        <f t="shared" si="33"/>
        <v>949422.81001041306</v>
      </c>
      <c r="J181" s="604">
        <f t="shared" si="34"/>
        <v>1699358153.0400553</v>
      </c>
      <c r="K181" s="605">
        <f t="shared" si="35"/>
        <v>1699.3581530400552</v>
      </c>
      <c r="L181" s="606">
        <f t="shared" si="36"/>
        <v>1692.3581530400552</v>
      </c>
    </row>
    <row r="182" spans="1:12">
      <c r="A182" s="607">
        <f t="shared" si="37"/>
        <v>100</v>
      </c>
      <c r="B182" s="607">
        <f t="shared" si="38"/>
        <v>1255</v>
      </c>
      <c r="C182" s="603">
        <f t="shared" si="31"/>
        <v>905</v>
      </c>
      <c r="D182" s="607">
        <f t="shared" si="39"/>
        <v>1650</v>
      </c>
      <c r="E182" s="603">
        <v>88.5</v>
      </c>
      <c r="F182" s="604">
        <f t="shared" si="29"/>
        <v>627.5</v>
      </c>
      <c r="G182" s="604">
        <f t="shared" si="30"/>
        <v>-0.44223107569721115</v>
      </c>
      <c r="H182" s="604">
        <f t="shared" si="32"/>
        <v>2.028881017111039</v>
      </c>
      <c r="I182" s="604">
        <f t="shared" si="33"/>
        <v>955063.09964316129</v>
      </c>
      <c r="J182" s="604">
        <f t="shared" si="34"/>
        <v>1709460991.2949603</v>
      </c>
      <c r="K182" s="605">
        <f t="shared" si="35"/>
        <v>1709.4609912949602</v>
      </c>
      <c r="L182" s="606">
        <f t="shared" si="36"/>
        <v>1702.4609912949602</v>
      </c>
    </row>
    <row r="183" spans="1:12">
      <c r="A183" s="607">
        <f t="shared" si="37"/>
        <v>100</v>
      </c>
      <c r="B183" s="607">
        <f t="shared" si="38"/>
        <v>1255</v>
      </c>
      <c r="C183" s="603">
        <f t="shared" si="31"/>
        <v>910</v>
      </c>
      <c r="D183" s="607">
        <f t="shared" si="39"/>
        <v>1650</v>
      </c>
      <c r="E183" s="603">
        <v>89</v>
      </c>
      <c r="F183" s="604">
        <f t="shared" si="29"/>
        <v>627.5</v>
      </c>
      <c r="G183" s="604">
        <f t="shared" si="30"/>
        <v>-0.45019920318725098</v>
      </c>
      <c r="H183" s="604">
        <f t="shared" si="32"/>
        <v>2.0377847431274323</v>
      </c>
      <c r="I183" s="604">
        <f t="shared" si="33"/>
        <v>960678.73539276177</v>
      </c>
      <c r="J183" s="604">
        <f t="shared" si="34"/>
        <v>1719516204.093179</v>
      </c>
      <c r="K183" s="605">
        <f t="shared" si="35"/>
        <v>1719.5162040931789</v>
      </c>
      <c r="L183" s="606">
        <f t="shared" si="36"/>
        <v>1712.5162040931789</v>
      </c>
    </row>
    <row r="184" spans="1:12">
      <c r="A184" s="607">
        <f t="shared" si="37"/>
        <v>100</v>
      </c>
      <c r="B184" s="607">
        <f t="shared" si="38"/>
        <v>1255</v>
      </c>
      <c r="C184" s="603">
        <f t="shared" si="31"/>
        <v>915</v>
      </c>
      <c r="D184" s="607">
        <f t="shared" si="39"/>
        <v>1650</v>
      </c>
      <c r="E184" s="603">
        <v>89.5</v>
      </c>
      <c r="F184" s="604">
        <f t="shared" si="29"/>
        <v>627.5</v>
      </c>
      <c r="G184" s="604">
        <f t="shared" si="30"/>
        <v>-0.45816733067729082</v>
      </c>
      <c r="H184" s="604">
        <f t="shared" si="32"/>
        <v>2.0467286209104598</v>
      </c>
      <c r="I184" s="604">
        <f t="shared" si="33"/>
        <v>966269.16136229411</v>
      </c>
      <c r="J184" s="604">
        <f t="shared" si="34"/>
        <v>1729522749.041738</v>
      </c>
      <c r="K184" s="605">
        <f t="shared" si="35"/>
        <v>1729.5227490417381</v>
      </c>
      <c r="L184" s="606">
        <f t="shared" si="36"/>
        <v>1722.5227490417381</v>
      </c>
    </row>
    <row r="185" spans="1:12">
      <c r="A185" s="607">
        <f t="shared" si="37"/>
        <v>100</v>
      </c>
      <c r="B185" s="607">
        <f t="shared" si="38"/>
        <v>1255</v>
      </c>
      <c r="C185" s="603">
        <f t="shared" si="31"/>
        <v>920</v>
      </c>
      <c r="D185" s="607">
        <f t="shared" si="39"/>
        <v>1650</v>
      </c>
      <c r="E185" s="603">
        <v>90</v>
      </c>
      <c r="F185" s="604">
        <f t="shared" si="29"/>
        <v>627.5</v>
      </c>
      <c r="G185" s="604">
        <f t="shared" si="30"/>
        <v>-0.46613545816733065</v>
      </c>
      <c r="H185" s="604">
        <f t="shared" si="32"/>
        <v>2.0557139239884545</v>
      </c>
      <c r="I185" s="604">
        <f t="shared" si="33"/>
        <v>971833.81409932836</v>
      </c>
      <c r="J185" s="604">
        <f t="shared" si="34"/>
        <v>1739479571.2810743</v>
      </c>
      <c r="K185" s="605">
        <f t="shared" si="35"/>
        <v>1739.4795712810742</v>
      </c>
      <c r="L185" s="606">
        <f t="shared" si="36"/>
        <v>1732.4795712810742</v>
      </c>
    </row>
    <row r="186" spans="1:12">
      <c r="A186" s="607">
        <f t="shared" si="37"/>
        <v>100</v>
      </c>
      <c r="B186" s="607">
        <f t="shared" si="38"/>
        <v>1255</v>
      </c>
      <c r="C186" s="603">
        <f t="shared" si="31"/>
        <v>925</v>
      </c>
      <c r="D186" s="607">
        <f t="shared" si="39"/>
        <v>1650</v>
      </c>
      <c r="E186" s="603">
        <v>90.5</v>
      </c>
      <c r="F186" s="604">
        <f t="shared" si="29"/>
        <v>627.5</v>
      </c>
      <c r="G186" s="604">
        <f t="shared" si="30"/>
        <v>-0.47410358565737054</v>
      </c>
      <c r="H186" s="604">
        <f t="shared" si="32"/>
        <v>2.0647419691388782</v>
      </c>
      <c r="I186" s="604">
        <f t="shared" si="33"/>
        <v>977372.1222848196</v>
      </c>
      <c r="J186" s="604">
        <f t="shared" si="34"/>
        <v>1749385602.97171</v>
      </c>
      <c r="K186" s="605">
        <f t="shared" si="35"/>
        <v>1749.3856029717099</v>
      </c>
      <c r="L186" s="606">
        <f t="shared" si="36"/>
        <v>1742.3856029717099</v>
      </c>
    </row>
    <row r="187" spans="1:12">
      <c r="A187" s="607">
        <f t="shared" si="37"/>
        <v>100</v>
      </c>
      <c r="B187" s="607">
        <f t="shared" si="38"/>
        <v>1255</v>
      </c>
      <c r="C187" s="603">
        <f t="shared" si="31"/>
        <v>930</v>
      </c>
      <c r="D187" s="607">
        <f t="shared" si="39"/>
        <v>1650</v>
      </c>
      <c r="E187" s="603">
        <v>91</v>
      </c>
      <c r="F187" s="604">
        <f t="shared" si="29"/>
        <v>627.5</v>
      </c>
      <c r="G187" s="604">
        <f t="shared" si="30"/>
        <v>-0.48207171314741037</v>
      </c>
      <c r="H187" s="604">
        <f t="shared" si="32"/>
        <v>2.0738141188032992</v>
      </c>
      <c r="I187" s="604">
        <f t="shared" si="33"/>
        <v>982883.50640662352</v>
      </c>
      <c r="J187" s="604">
        <f t="shared" si="34"/>
        <v>1759239762.7555528</v>
      </c>
      <c r="K187" s="605">
        <f t="shared" si="35"/>
        <v>1759.2397627555529</v>
      </c>
      <c r="L187" s="606">
        <f t="shared" si="36"/>
        <v>1752.2397627555529</v>
      </c>
    </row>
    <row r="188" spans="1:12">
      <c r="A188" s="607">
        <f t="shared" si="37"/>
        <v>100</v>
      </c>
      <c r="B188" s="607">
        <f t="shared" si="38"/>
        <v>1255</v>
      </c>
      <c r="C188" s="603">
        <f t="shared" si="31"/>
        <v>935</v>
      </c>
      <c r="D188" s="607">
        <f t="shared" si="39"/>
        <v>1650</v>
      </c>
      <c r="E188" s="603">
        <v>91.5</v>
      </c>
      <c r="F188" s="604">
        <f t="shared" si="29"/>
        <v>627.5</v>
      </c>
      <c r="G188" s="604">
        <f t="shared" si="30"/>
        <v>-0.49003984063745021</v>
      </c>
      <c r="H188" s="604">
        <f t="shared" si="32"/>
        <v>2.0829317836684282</v>
      </c>
      <c r="I188" s="604">
        <f t="shared" si="33"/>
        <v>988367.37841657293</v>
      </c>
      <c r="J188" s="604">
        <f t="shared" si="34"/>
        <v>1769040955.190073</v>
      </c>
      <c r="K188" s="605">
        <f t="shared" si="35"/>
        <v>1769.040955190073</v>
      </c>
      <c r="L188" s="606">
        <f t="shared" si="36"/>
        <v>1762.040955190073</v>
      </c>
    </row>
    <row r="189" spans="1:12">
      <c r="A189" s="607">
        <f t="shared" si="37"/>
        <v>100</v>
      </c>
      <c r="B189" s="607">
        <f t="shared" si="38"/>
        <v>1255</v>
      </c>
      <c r="C189" s="603">
        <f t="shared" si="31"/>
        <v>940</v>
      </c>
      <c r="D189" s="607">
        <f t="shared" si="39"/>
        <v>1650</v>
      </c>
      <c r="E189" s="603">
        <v>92</v>
      </c>
      <c r="F189" s="604">
        <f t="shared" si="29"/>
        <v>627.5</v>
      </c>
      <c r="G189" s="604">
        <f t="shared" si="30"/>
        <v>-0.49800796812749004</v>
      </c>
      <c r="H189" s="604">
        <f t="shared" si="32"/>
        <v>2.0920964254276351</v>
      </c>
      <c r="I189" s="604">
        <f t="shared" si="33"/>
        <v>993823.14136995014</v>
      </c>
      <c r="J189" s="604">
        <f t="shared" si="34"/>
        <v>1778788070.1534326</v>
      </c>
      <c r="K189" s="605">
        <f t="shared" si="35"/>
        <v>1778.7880701534325</v>
      </c>
      <c r="L189" s="606">
        <f t="shared" si="36"/>
        <v>1771.7880701534325</v>
      </c>
    </row>
    <row r="190" spans="1:12">
      <c r="A190" s="607">
        <f t="shared" si="37"/>
        <v>100</v>
      </c>
      <c r="B190" s="607">
        <f t="shared" si="38"/>
        <v>1255</v>
      </c>
      <c r="C190" s="603">
        <f t="shared" si="31"/>
        <v>945</v>
      </c>
      <c r="D190" s="607">
        <f t="shared" si="39"/>
        <v>1650</v>
      </c>
      <c r="E190" s="603">
        <v>92.5</v>
      </c>
      <c r="F190" s="604">
        <f t="shared" si="29"/>
        <v>627.5</v>
      </c>
      <c r="G190" s="604">
        <f t="shared" si="30"/>
        <v>-0.50597609561752988</v>
      </c>
      <c r="H190" s="604">
        <f t="shared" si="32"/>
        <v>2.1013095597388904</v>
      </c>
      <c r="I190" s="604">
        <f t="shared" si="33"/>
        <v>999250.18904610607</v>
      </c>
      <c r="J190" s="604">
        <f t="shared" si="34"/>
        <v>1788479982.2185066</v>
      </c>
      <c r="K190" s="605">
        <f t="shared" si="35"/>
        <v>1788.4799822185066</v>
      </c>
      <c r="L190" s="606">
        <f t="shared" si="36"/>
        <v>1781.4799822185066</v>
      </c>
    </row>
    <row r="191" spans="1:12">
      <c r="A191" s="607">
        <f t="shared" si="37"/>
        <v>100</v>
      </c>
      <c r="B191" s="607">
        <f t="shared" si="38"/>
        <v>1255</v>
      </c>
      <c r="C191" s="603">
        <f t="shared" si="31"/>
        <v>950</v>
      </c>
      <c r="D191" s="607">
        <f t="shared" si="39"/>
        <v>1650</v>
      </c>
      <c r="E191" s="603">
        <v>93</v>
      </c>
      <c r="F191" s="604">
        <f t="shared" si="29"/>
        <v>627.5</v>
      </c>
      <c r="G191" s="604">
        <f t="shared" si="30"/>
        <v>-0.51394422310756971</v>
      </c>
      <c r="H191" s="604">
        <f t="shared" si="32"/>
        <v>2.1105727593967383</v>
      </c>
      <c r="I191" s="604">
        <f t="shared" si="33"/>
        <v>1004647.9055488564</v>
      </c>
      <c r="J191" s="604">
        <f t="shared" si="34"/>
        <v>1798115549.9935367</v>
      </c>
      <c r="K191" s="605">
        <f t="shared" si="35"/>
        <v>1798.1155499935367</v>
      </c>
      <c r="L191" s="606">
        <f t="shared" si="36"/>
        <v>1791.1155499935367</v>
      </c>
    </row>
    <row r="192" spans="1:12">
      <c r="A192" s="607">
        <f t="shared" si="37"/>
        <v>100</v>
      </c>
      <c r="B192" s="607">
        <f t="shared" si="38"/>
        <v>1255</v>
      </c>
      <c r="C192" s="603">
        <f t="shared" si="31"/>
        <v>955</v>
      </c>
      <c r="D192" s="607">
        <f t="shared" si="39"/>
        <v>1650</v>
      </c>
      <c r="E192" s="603">
        <v>93.5</v>
      </c>
      <c r="F192" s="604">
        <f t="shared" si="29"/>
        <v>627.5</v>
      </c>
      <c r="G192" s="604">
        <f t="shared" si="30"/>
        <v>-0.52191235059760954</v>
      </c>
      <c r="H192" s="604">
        <f t="shared" si="32"/>
        <v>2.1198876577377961</v>
      </c>
      <c r="I192" s="604">
        <f t="shared" si="33"/>
        <v>1010015.6648851696</v>
      </c>
      <c r="J192" s="604">
        <f t="shared" si="34"/>
        <v>1807693615.4269676</v>
      </c>
      <c r="K192" s="605">
        <f t="shared" si="35"/>
        <v>1807.6936154269677</v>
      </c>
      <c r="L192" s="606">
        <f t="shared" si="36"/>
        <v>1800.6936154269677</v>
      </c>
    </row>
    <row r="193" spans="1:12">
      <c r="A193" s="607">
        <f t="shared" si="37"/>
        <v>100</v>
      </c>
      <c r="B193" s="607">
        <f t="shared" si="38"/>
        <v>1255</v>
      </c>
      <c r="C193" s="603">
        <f t="shared" si="31"/>
        <v>960</v>
      </c>
      <c r="D193" s="607">
        <f t="shared" si="39"/>
        <v>1650</v>
      </c>
      <c r="E193" s="603">
        <v>94</v>
      </c>
      <c r="F193" s="604">
        <f t="shared" si="29"/>
        <v>627.5</v>
      </c>
      <c r="G193" s="604">
        <f t="shared" si="30"/>
        <v>-0.52988047808764938</v>
      </c>
      <c r="H193" s="604">
        <f t="shared" si="32"/>
        <v>2.1292559523013974</v>
      </c>
      <c r="I193" s="604">
        <f t="shared" si="33"/>
        <v>1015352.8305205231</v>
      </c>
      <c r="J193" s="604">
        <f t="shared" si="34"/>
        <v>1817213003.0737824</v>
      </c>
      <c r="K193" s="605">
        <f t="shared" si="35"/>
        <v>1817.2130030737824</v>
      </c>
      <c r="L193" s="606">
        <f t="shared" si="36"/>
        <v>1810.2130030737824</v>
      </c>
    </row>
    <row r="194" spans="1:12">
      <c r="A194" s="607">
        <f t="shared" si="37"/>
        <v>100</v>
      </c>
      <c r="B194" s="607">
        <f t="shared" si="38"/>
        <v>1255</v>
      </c>
      <c r="C194" s="603">
        <f t="shared" si="31"/>
        <v>965</v>
      </c>
      <c r="D194" s="607">
        <f t="shared" si="39"/>
        <v>1650</v>
      </c>
      <c r="E194" s="603">
        <v>94.5</v>
      </c>
      <c r="F194" s="604">
        <f t="shared" si="29"/>
        <v>627.5</v>
      </c>
      <c r="G194" s="604">
        <f t="shared" si="30"/>
        <v>-0.53784860557768921</v>
      </c>
      <c r="H194" s="604">
        <f t="shared" si="32"/>
        <v>2.1386794087694012</v>
      </c>
      <c r="I194" s="604">
        <f t="shared" si="33"/>
        <v>1020658.7549091601</v>
      </c>
      <c r="J194" s="604">
        <f t="shared" si="34"/>
        <v>1826672519.3204288</v>
      </c>
      <c r="K194" s="605">
        <f t="shared" si="35"/>
        <v>1826.6725193204288</v>
      </c>
      <c r="L194" s="606">
        <f t="shared" si="36"/>
        <v>1819.6725193204288</v>
      </c>
    </row>
    <row r="195" spans="1:12">
      <c r="A195" s="607">
        <f t="shared" si="37"/>
        <v>100</v>
      </c>
      <c r="B195" s="607">
        <f t="shared" si="38"/>
        <v>1255</v>
      </c>
      <c r="C195" s="603">
        <f t="shared" si="31"/>
        <v>970</v>
      </c>
      <c r="D195" s="607">
        <f t="shared" si="39"/>
        <v>1650</v>
      </c>
      <c r="E195" s="603">
        <v>95</v>
      </c>
      <c r="F195" s="604">
        <f t="shared" si="29"/>
        <v>627.5</v>
      </c>
      <c r="G195" s="604">
        <f t="shared" si="30"/>
        <v>-0.54581673306772904</v>
      </c>
      <c r="H195" s="604">
        <f t="shared" si="32"/>
        <v>2.1481598652118681</v>
      </c>
      <c r="I195" s="604">
        <f t="shared" si="33"/>
        <v>1025932.7789973074</v>
      </c>
      <c r="J195" s="604">
        <f t="shared" si="34"/>
        <v>1836070951.5651274</v>
      </c>
      <c r="K195" s="605">
        <f t="shared" si="35"/>
        <v>1836.0709515651274</v>
      </c>
      <c r="L195" s="606">
        <f t="shared" si="36"/>
        <v>1829.0709515651274</v>
      </c>
    </row>
    <row r="196" spans="1:12">
      <c r="A196" s="607">
        <f t="shared" si="37"/>
        <v>100</v>
      </c>
      <c r="B196" s="607">
        <f t="shared" si="38"/>
        <v>1255</v>
      </c>
      <c r="C196" s="603">
        <f t="shared" si="31"/>
        <v>975</v>
      </c>
      <c r="D196" s="607">
        <f t="shared" si="39"/>
        <v>1650</v>
      </c>
      <c r="E196" s="603">
        <v>95.5</v>
      </c>
      <c r="F196" s="604">
        <f t="shared" ref="F196:F252" si="40">B196/2</f>
        <v>627.5</v>
      </c>
      <c r="G196" s="604">
        <f t="shared" ref="G196:G252" si="41">IF(C196=2*F196,0,(F196-C196)/F196)</f>
        <v>-0.55378486055776888</v>
      </c>
      <c r="H196" s="604">
        <f t="shared" si="32"/>
        <v>2.1576992366684049</v>
      </c>
      <c r="I196" s="604">
        <f t="shared" si="33"/>
        <v>1031174.2316972362</v>
      </c>
      <c r="J196" s="604">
        <f t="shared" si="34"/>
        <v>1845407067.350071</v>
      </c>
      <c r="K196" s="605">
        <f t="shared" si="35"/>
        <v>1845.407067350071</v>
      </c>
      <c r="L196" s="606">
        <f t="shared" si="36"/>
        <v>1838.407067350071</v>
      </c>
    </row>
    <row r="197" spans="1:12">
      <c r="A197" s="607">
        <f t="shared" si="37"/>
        <v>100</v>
      </c>
      <c r="B197" s="607">
        <f t="shared" si="38"/>
        <v>1255</v>
      </c>
      <c r="C197" s="603">
        <f t="shared" si="31"/>
        <v>980</v>
      </c>
      <c r="D197" s="607">
        <f t="shared" si="39"/>
        <v>1650</v>
      </c>
      <c r="E197" s="603">
        <v>96</v>
      </c>
      <c r="F197" s="604">
        <f t="shared" si="40"/>
        <v>627.5</v>
      </c>
      <c r="G197" s="604">
        <f t="shared" si="41"/>
        <v>-0.56175298804780871</v>
      </c>
      <c r="H197" s="604">
        <f t="shared" si="32"/>
        <v>2.1672995200984202</v>
      </c>
      <c r="I197" s="604">
        <f t="shared" si="33"/>
        <v>1036382.4293298391</v>
      </c>
      <c r="J197" s="604">
        <f t="shared" si="34"/>
        <v>1854679613.441679</v>
      </c>
      <c r="K197" s="605">
        <f t="shared" si="35"/>
        <v>1854.6796134416791</v>
      </c>
      <c r="L197" s="606">
        <f t="shared" si="36"/>
        <v>1847.6796134416791</v>
      </c>
    </row>
    <row r="198" spans="1:12">
      <c r="A198" s="607">
        <f t="shared" si="37"/>
        <v>100</v>
      </c>
      <c r="B198" s="607">
        <f t="shared" si="38"/>
        <v>1255</v>
      </c>
      <c r="C198" s="603">
        <f t="shared" ref="C198:C252" si="42">(E198+2)*10</f>
        <v>985</v>
      </c>
      <c r="D198" s="607">
        <f t="shared" si="39"/>
        <v>1650</v>
      </c>
      <c r="E198" s="603">
        <v>96.5</v>
      </c>
      <c r="F198" s="604">
        <f t="shared" si="40"/>
        <v>627.5</v>
      </c>
      <c r="G198" s="604">
        <f t="shared" si="41"/>
        <v>-0.56972111553784865</v>
      </c>
      <c r="H198" s="604">
        <f t="shared" ref="H198:H252" si="43">IF(C198=0,0,IF(C198=2*F198,PI(),ATAN(-G198 / SQRT(-G198 * G198 + 1)) + 2 * ATAN(1)))</f>
        <v>2.1769627997375149</v>
      </c>
      <c r="I198" s="604">
        <f t="shared" ref="I198:I252" si="44">IF(C198=0,(F198 ^ 2) * (H198) - ((F198 - C198) * SQRT((2 * F198 * C198) - (C198 ^ 2))),IF(C198=2*F198,
(F198 ^ 2) * (H198) - ((F198 - C198) * SQRT((2 * F198 * C198) - (C198 ^ 2))),
(F198 ^ 2) * (H198) - ((F198 - C198) * SQRT((2 * F198 * C198) - (C198 ^ 2)))))</f>
        <v>1041556.6750331672</v>
      </c>
      <c r="J198" s="604">
        <f t="shared" ref="J198:J252" si="45">(I198 * D198) + (PI() * A198 * (C198 ^ 2) * (1 - (C198 / (3 * F198))))</f>
        <v>1863887314.8546817</v>
      </c>
      <c r="K198" s="605">
        <f t="shared" ref="K198:K252" si="46">IF(F198&lt;=0,"Λάθος δεδομένα!",((I198*D198)+(PI()*A198*(C198^2)*(1-(C198/(3*F198)))))/1000000)</f>
        <v>1863.8873148546818</v>
      </c>
      <c r="L198" s="606">
        <f t="shared" ref="L198:L252" si="47">K198-7</f>
        <v>1856.8873148546818</v>
      </c>
    </row>
    <row r="199" spans="1:12">
      <c r="A199" s="607">
        <f t="shared" ref="A199:A252" si="48">$A$5</f>
        <v>100</v>
      </c>
      <c r="B199" s="607">
        <f t="shared" ref="B199:B252" si="49">$B$5</f>
        <v>1255</v>
      </c>
      <c r="C199" s="603">
        <f t="shared" si="42"/>
        <v>990</v>
      </c>
      <c r="D199" s="607">
        <f t="shared" ref="D199:D252" si="50">$D$5</f>
        <v>1650</v>
      </c>
      <c r="E199" s="603">
        <v>97</v>
      </c>
      <c r="F199" s="604">
        <f t="shared" si="40"/>
        <v>627.5</v>
      </c>
      <c r="G199" s="604">
        <f t="shared" si="41"/>
        <v>-0.57768924302788849</v>
      </c>
      <c r="H199" s="604">
        <f t="shared" si="43"/>
        <v>2.186691252901718</v>
      </c>
      <c r="I199" s="604">
        <f t="shared" si="44"/>
        <v>1046696.2581341142</v>
      </c>
      <c r="J199" s="604">
        <f t="shared" si="45"/>
        <v>1873028873.8153999</v>
      </c>
      <c r="K199" s="605">
        <f t="shared" si="46"/>
        <v>1873.0288738153999</v>
      </c>
      <c r="L199" s="606">
        <f t="shared" si="47"/>
        <v>1866.0288738153999</v>
      </c>
    </row>
    <row r="200" spans="1:12">
      <c r="A200" s="607">
        <f t="shared" si="48"/>
        <v>100</v>
      </c>
      <c r="B200" s="607">
        <f t="shared" si="49"/>
        <v>1255</v>
      </c>
      <c r="C200" s="603">
        <f t="shared" si="42"/>
        <v>995</v>
      </c>
      <c r="D200" s="607">
        <f t="shared" si="50"/>
        <v>1650</v>
      </c>
      <c r="E200" s="603">
        <v>97.5</v>
      </c>
      <c r="F200" s="604">
        <f t="shared" si="40"/>
        <v>627.5</v>
      </c>
      <c r="G200" s="604">
        <f t="shared" si="41"/>
        <v>-0.58565737051792832</v>
      </c>
      <c r="H200" s="604">
        <f t="shared" si="43"/>
        <v>2.1964871562864414</v>
      </c>
      <c r="I200" s="604">
        <f t="shared" si="44"/>
        <v>1051800.4534801471</v>
      </c>
      <c r="J200" s="604">
        <f t="shared" si="45"/>
        <v>1882102968.6590996</v>
      </c>
      <c r="K200" s="605">
        <f t="shared" si="46"/>
        <v>1882.1029686590996</v>
      </c>
      <c r="L200" s="606">
        <f t="shared" si="47"/>
        <v>1875.1029686590996</v>
      </c>
    </row>
    <row r="201" spans="1:12">
      <c r="A201" s="607">
        <f t="shared" si="48"/>
        <v>100</v>
      </c>
      <c r="B201" s="607">
        <f t="shared" si="49"/>
        <v>1255</v>
      </c>
      <c r="C201" s="603">
        <f t="shared" si="42"/>
        <v>1000</v>
      </c>
      <c r="D201" s="607">
        <f t="shared" si="50"/>
        <v>1650</v>
      </c>
      <c r="E201" s="603">
        <v>98</v>
      </c>
      <c r="F201" s="604">
        <f t="shared" si="40"/>
        <v>627.5</v>
      </c>
      <c r="G201" s="604">
        <f t="shared" si="41"/>
        <v>-0.59362549800796816</v>
      </c>
      <c r="H201" s="604">
        <f t="shared" si="43"/>
        <v>2.2063528928129075</v>
      </c>
      <c r="I201" s="604">
        <f t="shared" si="44"/>
        <v>1056868.5207276561</v>
      </c>
      <c r="J201" s="604">
        <f t="shared" si="45"/>
        <v>1891108252.6557717</v>
      </c>
      <c r="K201" s="605">
        <f t="shared" si="46"/>
        <v>1891.1082526557718</v>
      </c>
      <c r="L201" s="606">
        <f t="shared" si="47"/>
        <v>1884.1082526557718</v>
      </c>
    </row>
    <row r="202" spans="1:12">
      <c r="A202" s="607">
        <f t="shared" si="48"/>
        <v>100</v>
      </c>
      <c r="B202" s="607">
        <f t="shared" si="49"/>
        <v>1255</v>
      </c>
      <c r="C202" s="603">
        <f t="shared" si="42"/>
        <v>1005</v>
      </c>
      <c r="D202" s="607">
        <f t="shared" si="50"/>
        <v>1650</v>
      </c>
      <c r="E202" s="603">
        <v>98.5</v>
      </c>
      <c r="F202" s="604">
        <f t="shared" si="40"/>
        <v>627.5</v>
      </c>
      <c r="G202" s="604">
        <f t="shared" si="41"/>
        <v>-0.60159362549800799</v>
      </c>
      <c r="H202" s="604">
        <f t="shared" si="43"/>
        <v>2.2162909590815891</v>
      </c>
      <c r="I202" s="604">
        <f t="shared" si="44"/>
        <v>1061899.7035831374</v>
      </c>
      <c r="J202" s="604">
        <f t="shared" si="45"/>
        <v>1900043352.75808</v>
      </c>
      <c r="K202" s="605">
        <f t="shared" si="46"/>
        <v>1900.0433527580801</v>
      </c>
      <c r="L202" s="606">
        <f t="shared" si="47"/>
        <v>1893.0433527580801</v>
      </c>
    </row>
    <row r="203" spans="1:12">
      <c r="A203" s="607">
        <f t="shared" si="48"/>
        <v>100</v>
      </c>
      <c r="B203" s="607">
        <f t="shared" si="49"/>
        <v>1255</v>
      </c>
      <c r="C203" s="603">
        <f t="shared" si="42"/>
        <v>1010</v>
      </c>
      <c r="D203" s="607">
        <f t="shared" si="50"/>
        <v>1650</v>
      </c>
      <c r="E203" s="603">
        <v>99</v>
      </c>
      <c r="F203" s="604">
        <f t="shared" si="40"/>
        <v>627.5</v>
      </c>
      <c r="G203" s="604">
        <f t="shared" si="41"/>
        <v>-0.60956175298804782</v>
      </c>
      <c r="H203" s="604">
        <f t="shared" si="43"/>
        <v>2.2263039734999728</v>
      </c>
      <c r="I203" s="604">
        <f t="shared" si="44"/>
        <v>1066893.2289929998</v>
      </c>
      <c r="J203" s="604">
        <f t="shared" si="45"/>
        <v>1908906868.2645459</v>
      </c>
      <c r="K203" s="605">
        <f t="shared" si="46"/>
        <v>1908.9068682645459</v>
      </c>
      <c r="L203" s="606">
        <f t="shared" si="47"/>
        <v>1901.9068682645459</v>
      </c>
    </row>
    <row r="204" spans="1:12">
      <c r="A204" s="607">
        <f t="shared" si="48"/>
        <v>100</v>
      </c>
      <c r="B204" s="607">
        <f t="shared" si="49"/>
        <v>1255</v>
      </c>
      <c r="C204" s="603">
        <f t="shared" si="42"/>
        <v>1015</v>
      </c>
      <c r="D204" s="607">
        <f t="shared" si="50"/>
        <v>1650</v>
      </c>
      <c r="E204" s="603">
        <v>99.5</v>
      </c>
      <c r="F204" s="604">
        <f t="shared" si="40"/>
        <v>627.5</v>
      </c>
      <c r="G204" s="604">
        <f t="shared" si="41"/>
        <v>-0.61752988047808766</v>
      </c>
      <c r="H204" s="604">
        <f t="shared" si="43"/>
        <v>2.2363946851609624</v>
      </c>
      <c r="I204" s="604">
        <f t="shared" si="44"/>
        <v>1071848.3062773338</v>
      </c>
      <c r="J204" s="604">
        <f t="shared" si="45"/>
        <v>1917697369.3902643</v>
      </c>
      <c r="K204" s="605">
        <f t="shared" si="46"/>
        <v>1917.6973693902644</v>
      </c>
      <c r="L204" s="606">
        <f t="shared" si="47"/>
        <v>1910.6973693902644</v>
      </c>
    </row>
    <row r="205" spans="1:12">
      <c r="A205" s="607">
        <f t="shared" si="48"/>
        <v>100</v>
      </c>
      <c r="B205" s="607">
        <f t="shared" si="49"/>
        <v>1255</v>
      </c>
      <c r="C205" s="603">
        <f t="shared" si="42"/>
        <v>1020</v>
      </c>
      <c r="D205" s="607">
        <f t="shared" si="50"/>
        <v>1650</v>
      </c>
      <c r="E205" s="603">
        <v>100</v>
      </c>
      <c r="F205" s="604">
        <f t="shared" si="40"/>
        <v>627.5</v>
      </c>
      <c r="G205" s="604">
        <f t="shared" si="41"/>
        <v>-0.62549800796812749</v>
      </c>
      <c r="H205" s="604">
        <f t="shared" si="43"/>
        <v>2.2465659835586305</v>
      </c>
      <c r="I205" s="604">
        <f t="shared" si="44"/>
        <v>1076764.1262024383</v>
      </c>
      <c r="J205" s="604">
        <f t="shared" si="45"/>
        <v>1926413395.7365746</v>
      </c>
      <c r="K205" s="605">
        <f t="shared" si="46"/>
        <v>1926.4133957365746</v>
      </c>
      <c r="L205" s="606">
        <f t="shared" si="47"/>
        <v>1919.4133957365746</v>
      </c>
    </row>
    <row r="206" spans="1:12">
      <c r="A206" s="607">
        <f t="shared" si="48"/>
        <v>100</v>
      </c>
      <c r="B206" s="607">
        <f t="shared" si="49"/>
        <v>1255</v>
      </c>
      <c r="C206" s="603">
        <f t="shared" si="42"/>
        <v>1025</v>
      </c>
      <c r="D206" s="607">
        <f t="shared" si="50"/>
        <v>1650</v>
      </c>
      <c r="E206" s="603">
        <v>100.5</v>
      </c>
      <c r="F206" s="604">
        <f t="shared" si="40"/>
        <v>627.5</v>
      </c>
      <c r="G206" s="604">
        <f t="shared" si="41"/>
        <v>-0.63346613545816732</v>
      </c>
      <c r="H206" s="604">
        <f t="shared" si="43"/>
        <v>2.2568209092401146</v>
      </c>
      <c r="I206" s="604">
        <f t="shared" si="44"/>
        <v>1081639.8599863104</v>
      </c>
      <c r="J206" s="604">
        <f t="shared" si="45"/>
        <v>1935053454.6501181</v>
      </c>
      <c r="K206" s="605">
        <f t="shared" si="46"/>
        <v>1935.0534546501181</v>
      </c>
      <c r="L206" s="606">
        <f t="shared" si="47"/>
        <v>1928.0534546501181</v>
      </c>
    </row>
    <row r="207" spans="1:12">
      <c r="A207" s="607">
        <f t="shared" si="48"/>
        <v>100</v>
      </c>
      <c r="B207" s="607">
        <f t="shared" si="49"/>
        <v>1255</v>
      </c>
      <c r="C207" s="603">
        <f t="shared" si="42"/>
        <v>1030</v>
      </c>
      <c r="D207" s="607">
        <f t="shared" si="50"/>
        <v>1650</v>
      </c>
      <c r="E207" s="603">
        <v>101</v>
      </c>
      <c r="F207" s="604">
        <f t="shared" si="40"/>
        <v>627.5</v>
      </c>
      <c r="G207" s="604">
        <f t="shared" si="41"/>
        <v>-0.64143426294820716</v>
      </c>
      <c r="H207" s="604">
        <f t="shared" si="43"/>
        <v>2.2671626655064996</v>
      </c>
      <c r="I207" s="604">
        <f t="shared" si="44"/>
        <v>1086474.6582306093</v>
      </c>
      <c r="J207" s="604">
        <f t="shared" si="45"/>
        <v>1943616019.4605789</v>
      </c>
      <c r="K207" s="605">
        <f t="shared" si="46"/>
        <v>1943.6160194605789</v>
      </c>
      <c r="L207" s="606">
        <f t="shared" si="47"/>
        <v>1936.6160194605789</v>
      </c>
    </row>
    <row r="208" spans="1:12">
      <c r="A208" s="607">
        <f t="shared" si="48"/>
        <v>100</v>
      </c>
      <c r="B208" s="607">
        <f t="shared" si="49"/>
        <v>1255</v>
      </c>
      <c r="C208" s="603">
        <f t="shared" si="42"/>
        <v>1035</v>
      </c>
      <c r="D208" s="607">
        <f t="shared" si="50"/>
        <v>1650</v>
      </c>
      <c r="E208" s="603">
        <v>101.5</v>
      </c>
      <c r="F208" s="604">
        <f t="shared" si="40"/>
        <v>627.5</v>
      </c>
      <c r="G208" s="604">
        <f t="shared" si="41"/>
        <v>-0.64940239043824699</v>
      </c>
      <c r="H208" s="604">
        <f t="shared" si="43"/>
        <v>2.2775946312919628</v>
      </c>
      <c r="I208" s="604">
        <f t="shared" si="44"/>
        <v>1091267.6497718305</v>
      </c>
      <c r="J208" s="604">
        <f t="shared" si="45"/>
        <v>1952099527.58512</v>
      </c>
      <c r="K208" s="605">
        <f t="shared" si="46"/>
        <v>1952.0995275851199</v>
      </c>
      <c r="L208" s="606">
        <f t="shared" si="47"/>
        <v>1945.0995275851199</v>
      </c>
    </row>
    <row r="209" spans="1:12">
      <c r="A209" s="607">
        <f t="shared" si="48"/>
        <v>100</v>
      </c>
      <c r="B209" s="607">
        <f t="shared" si="49"/>
        <v>1255</v>
      </c>
      <c r="C209" s="603">
        <f t="shared" si="42"/>
        <v>1040</v>
      </c>
      <c r="D209" s="607">
        <f t="shared" si="50"/>
        <v>1650</v>
      </c>
      <c r="E209" s="603">
        <v>102</v>
      </c>
      <c r="F209" s="604">
        <f t="shared" si="40"/>
        <v>627.5</v>
      </c>
      <c r="G209" s="604">
        <f t="shared" si="41"/>
        <v>-0.65737051792828682</v>
      </c>
      <c r="H209" s="604">
        <f t="shared" si="43"/>
        <v>2.2881203753696786</v>
      </c>
      <c r="I209" s="604">
        <f t="shared" si="44"/>
        <v>1096017.9404435158</v>
      </c>
      <c r="J209" s="604">
        <f t="shared" si="45"/>
        <v>1960502378.4860318</v>
      </c>
      <c r="K209" s="605">
        <f t="shared" si="46"/>
        <v>1960.5023784860318</v>
      </c>
      <c r="L209" s="606">
        <f t="shared" si="47"/>
        <v>1953.5023784860318</v>
      </c>
    </row>
    <row r="210" spans="1:12">
      <c r="A210" s="607">
        <f t="shared" si="48"/>
        <v>100</v>
      </c>
      <c r="B210" s="607">
        <f t="shared" si="49"/>
        <v>1255</v>
      </c>
      <c r="C210" s="603">
        <f t="shared" si="42"/>
        <v>1045</v>
      </c>
      <c r="D210" s="607">
        <f t="shared" si="50"/>
        <v>1650</v>
      </c>
      <c r="E210" s="603">
        <v>102.5</v>
      </c>
      <c r="F210" s="604">
        <f t="shared" si="40"/>
        <v>627.5</v>
      </c>
      <c r="G210" s="604">
        <f t="shared" si="41"/>
        <v>-0.66533864541832666</v>
      </c>
      <c r="H210" s="604">
        <f t="shared" si="43"/>
        <v>2.2987436720556085</v>
      </c>
      <c r="I210" s="604">
        <f t="shared" si="44"/>
        <v>1100724.6117403037</v>
      </c>
      <c r="J210" s="604">
        <f t="shared" si="45"/>
        <v>1968822931.4664137</v>
      </c>
      <c r="K210" s="605">
        <f t="shared" si="46"/>
        <v>1968.8229314664138</v>
      </c>
      <c r="L210" s="606">
        <f t="shared" si="47"/>
        <v>1961.8229314664138</v>
      </c>
    </row>
    <row r="211" spans="1:12">
      <c r="A211" s="607">
        <f t="shared" si="48"/>
        <v>100</v>
      </c>
      <c r="B211" s="607">
        <f t="shared" si="49"/>
        <v>1255</v>
      </c>
      <c r="C211" s="603">
        <f t="shared" si="42"/>
        <v>1050</v>
      </c>
      <c r="D211" s="607">
        <f t="shared" si="50"/>
        <v>1650</v>
      </c>
      <c r="E211" s="603">
        <v>103</v>
      </c>
      <c r="F211" s="604">
        <f t="shared" si="40"/>
        <v>627.5</v>
      </c>
      <c r="G211" s="604">
        <f t="shared" si="41"/>
        <v>-0.67330677290836649</v>
      </c>
      <c r="H211" s="604">
        <f t="shared" si="43"/>
        <v>2.3094685186079875</v>
      </c>
      <c r="I211" s="604">
        <f t="shared" si="44"/>
        <v>1105386.719373425</v>
      </c>
      <c r="J211" s="604">
        <f t="shared" si="45"/>
        <v>1977059503.2867429</v>
      </c>
      <c r="K211" s="605">
        <f t="shared" si="46"/>
        <v>1977.0595032867429</v>
      </c>
      <c r="L211" s="606">
        <f t="shared" si="47"/>
        <v>1970.0595032867429</v>
      </c>
    </row>
    <row r="212" spans="1:12">
      <c r="A212" s="607">
        <f t="shared" si="48"/>
        <v>100</v>
      </c>
      <c r="B212" s="607">
        <f t="shared" si="49"/>
        <v>1255</v>
      </c>
      <c r="C212" s="603">
        <f t="shared" si="42"/>
        <v>1055</v>
      </c>
      <c r="D212" s="607">
        <f t="shared" si="50"/>
        <v>1650</v>
      </c>
      <c r="E212" s="603">
        <v>103.5</v>
      </c>
      <c r="F212" s="604">
        <f t="shared" si="40"/>
        <v>627.5</v>
      </c>
      <c r="G212" s="604">
        <f t="shared" si="41"/>
        <v>-0.68127490039840632</v>
      </c>
      <c r="H212" s="604">
        <f t="shared" si="43"/>
        <v>2.3202991545519187</v>
      </c>
      <c r="I212" s="604">
        <f t="shared" si="44"/>
        <v>1110003.2917058689</v>
      </c>
      <c r="J212" s="604">
        <f t="shared" si="45"/>
        <v>1985210365.5828974</v>
      </c>
      <c r="K212" s="605">
        <f t="shared" si="46"/>
        <v>1985.2103655828973</v>
      </c>
      <c r="L212" s="606">
        <f t="shared" si="47"/>
        <v>1978.2103655828973</v>
      </c>
    </row>
    <row r="213" spans="1:12">
      <c r="A213" s="607">
        <f t="shared" si="48"/>
        <v>100</v>
      </c>
      <c r="B213" s="607">
        <f t="shared" si="49"/>
        <v>1255</v>
      </c>
      <c r="C213" s="603">
        <f t="shared" si="42"/>
        <v>1060</v>
      </c>
      <c r="D213" s="607">
        <f t="shared" si="50"/>
        <v>1650</v>
      </c>
      <c r="E213" s="603">
        <v>104</v>
      </c>
      <c r="F213" s="604">
        <f t="shared" si="40"/>
        <v>627.5</v>
      </c>
      <c r="G213" s="604">
        <f t="shared" si="41"/>
        <v>-0.68924302788844627</v>
      </c>
      <c r="H213" s="604">
        <f t="shared" si="43"/>
        <v>2.3312400831960702</v>
      </c>
      <c r="I213" s="604">
        <f t="shared" si="44"/>
        <v>1114573.3280538516</v>
      </c>
      <c r="J213" s="604">
        <f t="shared" si="45"/>
        <v>1993273742.06358</v>
      </c>
      <c r="K213" s="605">
        <f t="shared" si="46"/>
        <v>1993.2737420635801</v>
      </c>
      <c r="L213" s="606">
        <f t="shared" si="47"/>
        <v>1986.2737420635801</v>
      </c>
    </row>
    <row r="214" spans="1:12">
      <c r="A214" s="607">
        <f t="shared" si="48"/>
        <v>100</v>
      </c>
      <c r="B214" s="607">
        <f t="shared" si="49"/>
        <v>1255</v>
      </c>
      <c r="C214" s="603">
        <f t="shared" si="42"/>
        <v>1065</v>
      </c>
      <c r="D214" s="607">
        <f t="shared" si="50"/>
        <v>1650</v>
      </c>
      <c r="E214" s="603">
        <v>104.5</v>
      </c>
      <c r="F214" s="604">
        <f t="shared" si="40"/>
        <v>627.5</v>
      </c>
      <c r="G214" s="604">
        <f t="shared" si="41"/>
        <v>-0.6972111553784861</v>
      </c>
      <c r="H214" s="604">
        <f t="shared" si="43"/>
        <v>2.3422960956533361</v>
      </c>
      <c r="I214" s="604">
        <f t="shared" si="44"/>
        <v>1119095.7968393425</v>
      </c>
      <c r="J214" s="604">
        <f t="shared" si="45"/>
        <v>2001247805.4619863</v>
      </c>
      <c r="K214" s="605">
        <f t="shared" si="46"/>
        <v>2001.2478054619862</v>
      </c>
      <c r="L214" s="606">
        <f t="shared" si="47"/>
        <v>1994.2478054619862</v>
      </c>
    </row>
    <row r="215" spans="1:12">
      <c r="A215" s="607">
        <f t="shared" si="48"/>
        <v>100</v>
      </c>
      <c r="B215" s="607">
        <f t="shared" si="49"/>
        <v>1255</v>
      </c>
      <c r="C215" s="603">
        <f t="shared" si="42"/>
        <v>1070</v>
      </c>
      <c r="D215" s="607">
        <f t="shared" si="50"/>
        <v>1650</v>
      </c>
      <c r="E215" s="603">
        <v>105</v>
      </c>
      <c r="F215" s="604">
        <f t="shared" si="40"/>
        <v>627.5</v>
      </c>
      <c r="G215" s="604">
        <f t="shared" si="41"/>
        <v>-0.70517928286852594</v>
      </c>
      <c r="H215" s="604">
        <f t="shared" si="43"/>
        <v>2.3534722977311007</v>
      </c>
      <c r="I215" s="604">
        <f t="shared" si="44"/>
        <v>1123569.6335762299</v>
      </c>
      <c r="J215" s="604">
        <f t="shared" si="45"/>
        <v>2009130674.2129784</v>
      </c>
      <c r="K215" s="605">
        <f t="shared" si="46"/>
        <v>2009.1306742129784</v>
      </c>
      <c r="L215" s="606">
        <f t="shared" si="47"/>
        <v>2002.1306742129784</v>
      </c>
    </row>
    <row r="216" spans="1:12">
      <c r="A216" s="607">
        <f t="shared" si="48"/>
        <v>100</v>
      </c>
      <c r="B216" s="607">
        <f t="shared" si="49"/>
        <v>1255</v>
      </c>
      <c r="C216" s="603">
        <f t="shared" si="42"/>
        <v>1075</v>
      </c>
      <c r="D216" s="607">
        <f t="shared" si="50"/>
        <v>1650</v>
      </c>
      <c r="E216" s="603">
        <v>105.5</v>
      </c>
      <c r="F216" s="604">
        <f t="shared" si="40"/>
        <v>627.5</v>
      </c>
      <c r="G216" s="604">
        <f t="shared" si="41"/>
        <v>-0.71314741035856577</v>
      </c>
      <c r="H216" s="604">
        <f t="shared" si="43"/>
        <v>2.3647741401215434</v>
      </c>
      <c r="I216" s="604">
        <f t="shared" si="44"/>
        <v>1127993.7386701424</v>
      </c>
      <c r="J216" s="604">
        <f t="shared" si="45"/>
        <v>2016920408.8227892</v>
      </c>
      <c r="K216" s="605">
        <f t="shared" si="46"/>
        <v>2016.9204088227891</v>
      </c>
      <c r="L216" s="606">
        <f t="shared" si="47"/>
        <v>2009.9204088227891</v>
      </c>
    </row>
    <row r="217" spans="1:12">
      <c r="A217" s="607">
        <f t="shared" si="48"/>
        <v>100</v>
      </c>
      <c r="B217" s="607">
        <f t="shared" si="49"/>
        <v>1255</v>
      </c>
      <c r="C217" s="603">
        <f t="shared" si="42"/>
        <v>1080</v>
      </c>
      <c r="D217" s="607">
        <f t="shared" si="50"/>
        <v>1650</v>
      </c>
      <c r="E217" s="603">
        <v>106</v>
      </c>
      <c r="F217" s="604">
        <f t="shared" si="40"/>
        <v>627.5</v>
      </c>
      <c r="G217" s="604">
        <f t="shared" si="41"/>
        <v>-0.7211155378486056</v>
      </c>
      <c r="H217" s="604">
        <f t="shared" si="43"/>
        <v>2.3762074524008163</v>
      </c>
      <c r="I217" s="604">
        <f t="shared" si="44"/>
        <v>1132366.9750089205</v>
      </c>
      <c r="J217" s="604">
        <f t="shared" si="45"/>
        <v>2024615007.8933017</v>
      </c>
      <c r="K217" s="605">
        <f t="shared" si="46"/>
        <v>2024.6150078933017</v>
      </c>
      <c r="L217" s="606">
        <f t="shared" si="47"/>
        <v>2017.6150078933017</v>
      </c>
    </row>
    <row r="218" spans="1:12">
      <c r="A218" s="607">
        <f t="shared" si="48"/>
        <v>100</v>
      </c>
      <c r="B218" s="607">
        <f t="shared" si="49"/>
        <v>1255</v>
      </c>
      <c r="C218" s="603">
        <f t="shared" si="42"/>
        <v>1085</v>
      </c>
      <c r="D218" s="607">
        <f t="shared" si="50"/>
        <v>1650</v>
      </c>
      <c r="E218" s="603">
        <v>106.5</v>
      </c>
      <c r="F218" s="604">
        <f t="shared" si="40"/>
        <v>627.5</v>
      </c>
      <c r="G218" s="604">
        <f t="shared" si="41"/>
        <v>-0.72908366533864544</v>
      </c>
      <c r="H218" s="604">
        <f t="shared" si="43"/>
        <v>2.3877784814412641</v>
      </c>
      <c r="I218" s="604">
        <f t="shared" si="44"/>
        <v>1136688.1653171624</v>
      </c>
      <c r="J218" s="604">
        <f t="shared" si="45"/>
        <v>2032212403.7570493</v>
      </c>
      <c r="K218" s="605">
        <f t="shared" si="46"/>
        <v>2032.2124037570493</v>
      </c>
      <c r="L218" s="606">
        <f t="shared" si="47"/>
        <v>2025.2124037570493</v>
      </c>
    </row>
    <row r="219" spans="1:12">
      <c r="A219" s="607">
        <f t="shared" si="48"/>
        <v>100</v>
      </c>
      <c r="B219" s="607">
        <f t="shared" si="49"/>
        <v>1255</v>
      </c>
      <c r="C219" s="603">
        <f t="shared" si="42"/>
        <v>1090</v>
      </c>
      <c r="D219" s="607">
        <f t="shared" si="50"/>
        <v>1650</v>
      </c>
      <c r="E219" s="603">
        <v>107</v>
      </c>
      <c r="F219" s="604">
        <f t="shared" si="40"/>
        <v>627.5</v>
      </c>
      <c r="G219" s="604">
        <f t="shared" si="41"/>
        <v>-0.73705179282868527</v>
      </c>
      <c r="H219" s="604">
        <f t="shared" si="43"/>
        <v>2.3994939349574396</v>
      </c>
      <c r="I219" s="604">
        <f t="shared" si="44"/>
        <v>1140956.0892440055</v>
      </c>
      <c r="J219" s="604">
        <f t="shared" si="45"/>
        <v>2039710457.6720541</v>
      </c>
      <c r="K219" s="605">
        <f t="shared" si="46"/>
        <v>2039.710457672054</v>
      </c>
      <c r="L219" s="606">
        <f t="shared" si="47"/>
        <v>2032.710457672054</v>
      </c>
    </row>
    <row r="220" spans="1:12">
      <c r="A220" s="607">
        <f t="shared" si="48"/>
        <v>100</v>
      </c>
      <c r="B220" s="607">
        <f t="shared" si="49"/>
        <v>1255</v>
      </c>
      <c r="C220" s="603">
        <f t="shared" si="42"/>
        <v>1095</v>
      </c>
      <c r="D220" s="607">
        <f t="shared" si="50"/>
        <v>1650</v>
      </c>
      <c r="E220" s="603">
        <v>107.5</v>
      </c>
      <c r="F220" s="604">
        <f t="shared" si="40"/>
        <v>627.5</v>
      </c>
      <c r="G220" s="604">
        <f t="shared" si="41"/>
        <v>-0.7450199203187251</v>
      </c>
      <c r="H220" s="604">
        <f t="shared" si="43"/>
        <v>2.4113610310499629</v>
      </c>
      <c r="I220" s="604">
        <f t="shared" si="44"/>
        <v>1145169.4801482339</v>
      </c>
      <c r="J220" s="604">
        <f t="shared" si="45"/>
        <v>2047106954.5172563</v>
      </c>
      <c r="K220" s="605">
        <f t="shared" si="46"/>
        <v>2047.1069545172563</v>
      </c>
      <c r="L220" s="606">
        <f t="shared" si="47"/>
        <v>2040.1069545172563</v>
      </c>
    </row>
    <row r="221" spans="1:12">
      <c r="A221" s="607">
        <f t="shared" si="48"/>
        <v>100</v>
      </c>
      <c r="B221" s="607">
        <f t="shared" si="49"/>
        <v>1255</v>
      </c>
      <c r="C221" s="603">
        <f t="shared" si="42"/>
        <v>1100</v>
      </c>
      <c r="D221" s="607">
        <f t="shared" si="50"/>
        <v>1650</v>
      </c>
      <c r="E221" s="603">
        <v>108</v>
      </c>
      <c r="F221" s="604">
        <f t="shared" si="40"/>
        <v>627.5</v>
      </c>
      <c r="G221" s="604">
        <f t="shared" si="41"/>
        <v>-0.75298804780876494</v>
      </c>
      <c r="H221" s="604">
        <f t="shared" si="43"/>
        <v>2.4233875547885066</v>
      </c>
      <c r="I221" s="604">
        <f t="shared" si="44"/>
        <v>1149327.0215386832</v>
      </c>
      <c r="J221" s="604">
        <f t="shared" si="45"/>
        <v>2054399596.9191809</v>
      </c>
      <c r="K221" s="605">
        <f t="shared" si="46"/>
        <v>2054.399596919181</v>
      </c>
      <c r="L221" s="606">
        <f t="shared" si="47"/>
        <v>2047.399596919181</v>
      </c>
    </row>
    <row r="222" spans="1:12">
      <c r="A222" s="607">
        <f t="shared" si="48"/>
        <v>100</v>
      </c>
      <c r="B222" s="607">
        <f t="shared" si="49"/>
        <v>1255</v>
      </c>
      <c r="C222" s="603">
        <f t="shared" si="42"/>
        <v>1105</v>
      </c>
      <c r="D222" s="607">
        <f t="shared" si="50"/>
        <v>1650</v>
      </c>
      <c r="E222" s="603">
        <v>108.5</v>
      </c>
      <c r="F222" s="604">
        <f t="shared" si="40"/>
        <v>627.5</v>
      </c>
      <c r="G222" s="604">
        <f t="shared" si="41"/>
        <v>-0.76095617529880477</v>
      </c>
      <c r="H222" s="604">
        <f t="shared" si="43"/>
        <v>2.4355819230956954</v>
      </c>
      <c r="I222" s="604">
        <f t="shared" si="44"/>
        <v>1153427.3431205521</v>
      </c>
      <c r="J222" s="604">
        <f t="shared" si="45"/>
        <v>2061585998.7283516</v>
      </c>
      <c r="K222" s="605">
        <f t="shared" si="46"/>
        <v>2061.5859987283516</v>
      </c>
      <c r="L222" s="606">
        <f t="shared" si="47"/>
        <v>2054.5859987283516</v>
      </c>
    </row>
    <row r="223" spans="1:12">
      <c r="A223" s="607">
        <f t="shared" si="48"/>
        <v>100</v>
      </c>
      <c r="B223" s="607">
        <f t="shared" si="49"/>
        <v>1255</v>
      </c>
      <c r="C223" s="603">
        <f t="shared" si="42"/>
        <v>1110</v>
      </c>
      <c r="D223" s="607">
        <f t="shared" si="50"/>
        <v>1650</v>
      </c>
      <c r="E223" s="603">
        <v>109</v>
      </c>
      <c r="F223" s="604">
        <f t="shared" si="40"/>
        <v>627.5</v>
      </c>
      <c r="G223" s="604">
        <f t="shared" si="41"/>
        <v>-0.7689243027888446</v>
      </c>
      <c r="H223" s="604">
        <f t="shared" si="43"/>
        <v>2.4479532594699309</v>
      </c>
      <c r="I223" s="604">
        <f t="shared" si="44"/>
        <v>1157469.016389261</v>
      </c>
      <c r="J223" s="604">
        <f t="shared" si="45"/>
        <v>2068663677.7491581</v>
      </c>
      <c r="K223" s="605">
        <f t="shared" si="46"/>
        <v>2068.6636777491581</v>
      </c>
      <c r="L223" s="606">
        <f t="shared" si="47"/>
        <v>2061.6636777491581</v>
      </c>
    </row>
    <row r="224" spans="1:12">
      <c r="A224" s="607">
        <f t="shared" si="48"/>
        <v>100</v>
      </c>
      <c r="B224" s="607">
        <f t="shared" si="49"/>
        <v>1255</v>
      </c>
      <c r="C224" s="603">
        <f t="shared" si="42"/>
        <v>1115</v>
      </c>
      <c r="D224" s="607">
        <f t="shared" si="50"/>
        <v>1650</v>
      </c>
      <c r="E224" s="603">
        <v>109.5</v>
      </c>
      <c r="F224" s="604">
        <f t="shared" si="40"/>
        <v>627.5</v>
      </c>
      <c r="G224" s="604">
        <f t="shared" si="41"/>
        <v>-0.77689243027888444</v>
      </c>
      <c r="H224" s="604">
        <f t="shared" si="43"/>
        <v>2.4605114804335546</v>
      </c>
      <c r="I224" s="604">
        <f t="shared" si="44"/>
        <v>1161450.5497025643</v>
      </c>
      <c r="J224" s="604">
        <f t="shared" si="45"/>
        <v>2075630047.6088414</v>
      </c>
      <c r="K224" s="605">
        <f t="shared" si="46"/>
        <v>2075.6300476088413</v>
      </c>
      <c r="L224" s="606">
        <f t="shared" si="47"/>
        <v>2068.6300476088413</v>
      </c>
    </row>
    <row r="225" spans="1:12">
      <c r="A225" s="607">
        <f t="shared" si="48"/>
        <v>100</v>
      </c>
      <c r="B225" s="607">
        <f t="shared" si="49"/>
        <v>1255</v>
      </c>
      <c r="C225" s="603">
        <f t="shared" si="42"/>
        <v>1120</v>
      </c>
      <c r="D225" s="607">
        <f t="shared" si="50"/>
        <v>1650</v>
      </c>
      <c r="E225" s="603">
        <v>110</v>
      </c>
      <c r="F225" s="604">
        <f t="shared" si="40"/>
        <v>627.5</v>
      </c>
      <c r="G225" s="604">
        <f t="shared" si="41"/>
        <v>-0.78486055776892427</v>
      </c>
      <c r="H225" s="604">
        <f t="shared" si="43"/>
        <v>2.4732673960355109</v>
      </c>
      <c r="I225" s="604">
        <f t="shared" si="44"/>
        <v>1165370.38274816</v>
      </c>
      <c r="J225" s="604">
        <f t="shared" si="45"/>
        <v>2082482408.6290493</v>
      </c>
      <c r="K225" s="605">
        <f t="shared" si="46"/>
        <v>2082.4824086290491</v>
      </c>
      <c r="L225" s="606">
        <f t="shared" si="47"/>
        <v>2075.4824086290491</v>
      </c>
    </row>
    <row r="226" spans="1:12">
      <c r="A226" s="607">
        <f t="shared" si="48"/>
        <v>100</v>
      </c>
      <c r="B226" s="607">
        <f t="shared" si="49"/>
        <v>1255</v>
      </c>
      <c r="C226" s="603">
        <f t="shared" si="42"/>
        <v>1125</v>
      </c>
      <c r="D226" s="607">
        <f t="shared" si="50"/>
        <v>1650</v>
      </c>
      <c r="E226" s="603">
        <v>110.5</v>
      </c>
      <c r="F226" s="604">
        <f t="shared" si="40"/>
        <v>627.5</v>
      </c>
      <c r="G226" s="604">
        <f t="shared" si="41"/>
        <v>-0.79282868525896411</v>
      </c>
      <c r="H226" s="604">
        <f t="shared" si="43"/>
        <v>2.4862328273047889</v>
      </c>
      <c r="I226" s="604">
        <f t="shared" si="44"/>
        <v>1169226.8803073619</v>
      </c>
      <c r="J226" s="604">
        <f t="shared" si="45"/>
        <v>2089217937.5358953</v>
      </c>
      <c r="K226" s="605">
        <f t="shared" si="46"/>
        <v>2089.2179375358955</v>
      </c>
      <c r="L226" s="606">
        <f t="shared" si="47"/>
        <v>2082.2179375358955</v>
      </c>
    </row>
    <row r="227" spans="1:12">
      <c r="A227" s="607">
        <f t="shared" si="48"/>
        <v>100</v>
      </c>
      <c r="B227" s="607">
        <f t="shared" si="49"/>
        <v>1255</v>
      </c>
      <c r="C227" s="603">
        <f t="shared" si="42"/>
        <v>1130</v>
      </c>
      <c r="D227" s="607">
        <f t="shared" si="50"/>
        <v>1650</v>
      </c>
      <c r="E227" s="603">
        <v>111</v>
      </c>
      <c r="F227" s="604">
        <f t="shared" si="40"/>
        <v>627.5</v>
      </c>
      <c r="G227" s="604">
        <f t="shared" si="41"/>
        <v>-0.80079681274900394</v>
      </c>
      <c r="H227" s="604">
        <f t="shared" si="43"/>
        <v>2.4994207442835914</v>
      </c>
      <c r="I227" s="604">
        <f t="shared" si="44"/>
        <v>1173018.3251946256</v>
      </c>
      <c r="J227" s="604">
        <f t="shared" si="45"/>
        <v>2095833675.8101778</v>
      </c>
      <c r="K227" s="605">
        <f t="shared" si="46"/>
        <v>2095.8336758101777</v>
      </c>
      <c r="L227" s="606">
        <f t="shared" si="47"/>
        <v>2088.8336758101777</v>
      </c>
    </row>
    <row r="228" spans="1:12">
      <c r="A228" s="607">
        <f t="shared" si="48"/>
        <v>100</v>
      </c>
      <c r="B228" s="607">
        <f t="shared" si="49"/>
        <v>1255</v>
      </c>
      <c r="C228" s="603">
        <f t="shared" si="42"/>
        <v>1135</v>
      </c>
      <c r="D228" s="607">
        <f t="shared" si="50"/>
        <v>1650</v>
      </c>
      <c r="E228" s="603">
        <v>111.5</v>
      </c>
      <c r="F228" s="604">
        <f t="shared" si="40"/>
        <v>627.5</v>
      </c>
      <c r="G228" s="604">
        <f t="shared" si="41"/>
        <v>-0.80876494023904377</v>
      </c>
      <c r="H228" s="604">
        <f t="shared" si="43"/>
        <v>2.5128454292243179</v>
      </c>
      <c r="I228" s="604">
        <f t="shared" si="44"/>
        <v>1176742.9102265539</v>
      </c>
      <c r="J228" s="604">
        <f t="shared" si="45"/>
        <v>2102326516.4362366</v>
      </c>
      <c r="K228" s="605">
        <f t="shared" si="46"/>
        <v>2102.3265164362365</v>
      </c>
      <c r="L228" s="606">
        <f t="shared" si="47"/>
        <v>2095.3265164362365</v>
      </c>
    </row>
    <row r="229" spans="1:12">
      <c r="A229" s="607">
        <f t="shared" si="48"/>
        <v>100</v>
      </c>
      <c r="B229" s="607">
        <f t="shared" si="49"/>
        <v>1255</v>
      </c>
      <c r="C229" s="603">
        <f t="shared" si="42"/>
        <v>1140</v>
      </c>
      <c r="D229" s="607">
        <f t="shared" si="50"/>
        <v>1650</v>
      </c>
      <c r="E229" s="603">
        <v>112</v>
      </c>
      <c r="F229" s="604">
        <f t="shared" si="40"/>
        <v>627.5</v>
      </c>
      <c r="G229" s="604">
        <f t="shared" si="41"/>
        <v>-0.81673306772908372</v>
      </c>
      <c r="H229" s="604">
        <f t="shared" si="43"/>
        <v>2.5265226707918953</v>
      </c>
      <c r="I229" s="604">
        <f t="shared" si="44"/>
        <v>1180398.7290408758</v>
      </c>
      <c r="J229" s="604">
        <f t="shared" si="45"/>
        <v>2108693188.7532716</v>
      </c>
      <c r="K229" s="605">
        <f t="shared" si="46"/>
        <v>2108.6931887532714</v>
      </c>
      <c r="L229" s="606">
        <f t="shared" si="47"/>
        <v>2101.6931887532714</v>
      </c>
    </row>
    <row r="230" spans="1:12">
      <c r="A230" s="607">
        <f t="shared" si="48"/>
        <v>100</v>
      </c>
      <c r="B230" s="607">
        <f t="shared" si="49"/>
        <v>1255</v>
      </c>
      <c r="C230" s="603">
        <f t="shared" si="42"/>
        <v>1145</v>
      </c>
      <c r="D230" s="607">
        <f t="shared" si="50"/>
        <v>1650</v>
      </c>
      <c r="E230" s="603">
        <v>112.5</v>
      </c>
      <c r="F230" s="604">
        <f t="shared" si="40"/>
        <v>627.5</v>
      </c>
      <c r="G230" s="604">
        <f t="shared" si="41"/>
        <v>-0.82470119521912355</v>
      </c>
      <c r="H230" s="604">
        <f t="shared" si="43"/>
        <v>2.5404699967859949</v>
      </c>
      <c r="I230" s="604">
        <f t="shared" si="44"/>
        <v>1183983.7655434546</v>
      </c>
      <c r="J230" s="604">
        <f t="shared" si="45"/>
        <v>2114930241.0429025</v>
      </c>
      <c r="K230" s="605">
        <f t="shared" si="46"/>
        <v>2114.9302410429023</v>
      </c>
      <c r="L230" s="606">
        <f t="shared" si="47"/>
        <v>2107.9302410429023</v>
      </c>
    </row>
    <row r="231" spans="1:12">
      <c r="A231" s="607">
        <f t="shared" si="48"/>
        <v>100</v>
      </c>
      <c r="B231" s="607">
        <f t="shared" si="49"/>
        <v>1255</v>
      </c>
      <c r="C231" s="603">
        <f t="shared" si="42"/>
        <v>1150</v>
      </c>
      <c r="D231" s="607">
        <f t="shared" si="50"/>
        <v>1650</v>
      </c>
      <c r="E231" s="603">
        <v>113</v>
      </c>
      <c r="F231" s="604">
        <f t="shared" si="40"/>
        <v>627.5</v>
      </c>
      <c r="G231" s="604">
        <f t="shared" si="41"/>
        <v>-0.83266932270916338</v>
      </c>
      <c r="H231" s="604">
        <f t="shared" si="43"/>
        <v>2.5547069551489905</v>
      </c>
      <c r="I231" s="604">
        <f t="shared" si="44"/>
        <v>1187495.8817065777</v>
      </c>
      <c r="J231" s="604">
        <f t="shared" si="45"/>
        <v>2121034020.3963504</v>
      </c>
      <c r="K231" s="605">
        <f t="shared" si="46"/>
        <v>2121.0340203963506</v>
      </c>
      <c r="L231" s="606">
        <f t="shared" si="47"/>
        <v>2114.0340203963506</v>
      </c>
    </row>
    <row r="232" spans="1:12">
      <c r="A232" s="607">
        <f t="shared" si="48"/>
        <v>100</v>
      </c>
      <c r="B232" s="607">
        <f t="shared" si="49"/>
        <v>1255</v>
      </c>
      <c r="C232" s="603">
        <f t="shared" si="42"/>
        <v>1155</v>
      </c>
      <c r="D232" s="607">
        <f t="shared" si="50"/>
        <v>1650</v>
      </c>
      <c r="E232" s="603">
        <v>113.5</v>
      </c>
      <c r="F232" s="604">
        <f t="shared" si="40"/>
        <v>627.5</v>
      </c>
      <c r="G232" s="604">
        <f t="shared" si="41"/>
        <v>-0.84063745019920322</v>
      </c>
      <c r="H232" s="604">
        <f t="shared" si="43"/>
        <v>2.5692554560927556</v>
      </c>
      <c r="I232" s="604">
        <f t="shared" si="44"/>
        <v>1190932.8033701689</v>
      </c>
      <c r="J232" s="604">
        <f t="shared" si="45"/>
        <v>2127000649.2864349</v>
      </c>
      <c r="K232" s="605">
        <f t="shared" si="46"/>
        <v>2127.000649286435</v>
      </c>
      <c r="L232" s="606">
        <f t="shared" si="47"/>
        <v>2120.000649286435</v>
      </c>
    </row>
    <row r="233" spans="1:12">
      <c r="A233" s="607">
        <f t="shared" si="48"/>
        <v>100</v>
      </c>
      <c r="B233" s="607">
        <f t="shared" si="49"/>
        <v>1255</v>
      </c>
      <c r="C233" s="603">
        <f t="shared" si="42"/>
        <v>1160</v>
      </c>
      <c r="D233" s="607">
        <f t="shared" si="50"/>
        <v>1650</v>
      </c>
      <c r="E233" s="603">
        <v>114</v>
      </c>
      <c r="F233" s="604">
        <f t="shared" si="40"/>
        <v>627.5</v>
      </c>
      <c r="G233" s="604">
        <f t="shared" si="41"/>
        <v>-0.84860557768924305</v>
      </c>
      <c r="H233" s="604">
        <f t="shared" si="43"/>
        <v>2.5841401924127663</v>
      </c>
      <c r="I233" s="604">
        <f t="shared" si="44"/>
        <v>1194292.1036029612</v>
      </c>
      <c r="J233" s="604">
        <f t="shared" si="45"/>
        <v>2132825998.1135118</v>
      </c>
      <c r="K233" s="605">
        <f t="shared" si="46"/>
        <v>2132.825998113512</v>
      </c>
      <c r="L233" s="606">
        <f t="shared" si="47"/>
        <v>2125.825998113512</v>
      </c>
    </row>
    <row r="234" spans="1:12">
      <c r="A234" s="607">
        <f t="shared" si="48"/>
        <v>100</v>
      </c>
      <c r="B234" s="607">
        <f t="shared" si="49"/>
        <v>1255</v>
      </c>
      <c r="C234" s="603">
        <f t="shared" si="42"/>
        <v>1165</v>
      </c>
      <c r="D234" s="607">
        <f t="shared" si="50"/>
        <v>1650</v>
      </c>
      <c r="E234" s="603">
        <v>114.5</v>
      </c>
      <c r="F234" s="604">
        <f t="shared" si="40"/>
        <v>627.5</v>
      </c>
      <c r="G234" s="604">
        <f t="shared" si="41"/>
        <v>-0.85657370517928288</v>
      </c>
      <c r="H234" s="604">
        <f t="shared" si="43"/>
        <v>2.5993891609926587</v>
      </c>
      <c r="I234" s="604">
        <f t="shared" si="44"/>
        <v>1197571.1830540565</v>
      </c>
      <c r="J234" s="604">
        <f t="shared" si="45"/>
        <v>2138505652.7855453</v>
      </c>
      <c r="K234" s="605">
        <f t="shared" si="46"/>
        <v>2138.5056527855454</v>
      </c>
      <c r="L234" s="606">
        <f t="shared" si="47"/>
        <v>2131.5056527855454</v>
      </c>
    </row>
    <row r="235" spans="1:12">
      <c r="A235" s="607">
        <f t="shared" si="48"/>
        <v>100</v>
      </c>
      <c r="B235" s="607">
        <f t="shared" si="49"/>
        <v>1255</v>
      </c>
      <c r="C235" s="603">
        <f t="shared" si="42"/>
        <v>1170</v>
      </c>
      <c r="D235" s="607">
        <f t="shared" si="50"/>
        <v>1650</v>
      </c>
      <c r="E235" s="603">
        <v>115</v>
      </c>
      <c r="F235" s="604">
        <f t="shared" si="40"/>
        <v>627.5</v>
      </c>
      <c r="G235" s="604">
        <f t="shared" si="41"/>
        <v>-0.86454183266932272</v>
      </c>
      <c r="H235" s="604">
        <f t="shared" si="43"/>
        <v>2.6150343169531061</v>
      </c>
      <c r="I235" s="604">
        <f t="shared" si="44"/>
        <v>1200767.2465535195</v>
      </c>
      <c r="J235" s="604">
        <f t="shared" si="45"/>
        <v>2144034876.1090887</v>
      </c>
      <c r="K235" s="605">
        <f t="shared" si="46"/>
        <v>2144.0348761090886</v>
      </c>
      <c r="L235" s="606">
        <f t="shared" si="47"/>
        <v>2137.0348761090886</v>
      </c>
    </row>
    <row r="236" spans="1:12">
      <c r="A236" s="607">
        <f t="shared" si="48"/>
        <v>100</v>
      </c>
      <c r="B236" s="607">
        <f t="shared" si="49"/>
        <v>1255</v>
      </c>
      <c r="C236" s="603">
        <f t="shared" si="42"/>
        <v>1175</v>
      </c>
      <c r="D236" s="607">
        <f t="shared" si="50"/>
        <v>1650</v>
      </c>
      <c r="E236" s="603">
        <v>115.5</v>
      </c>
      <c r="F236" s="604">
        <f t="shared" si="40"/>
        <v>627.5</v>
      </c>
      <c r="G236" s="604">
        <f t="shared" si="41"/>
        <v>-0.87250996015936255</v>
      </c>
      <c r="H236" s="604">
        <f t="shared" si="43"/>
        <v>2.6311124041471787</v>
      </c>
      <c r="I236" s="604">
        <f t="shared" si="44"/>
        <v>1203877.2749839546</v>
      </c>
      <c r="J236" s="604">
        <f t="shared" si="45"/>
        <v>2149408561.3773847</v>
      </c>
      <c r="K236" s="605">
        <f t="shared" si="46"/>
        <v>2149.4085613773846</v>
      </c>
      <c r="L236" s="606">
        <f t="shared" si="47"/>
        <v>2142.4085613773846</v>
      </c>
    </row>
    <row r="237" spans="1:12">
      <c r="A237" s="607">
        <f t="shared" si="48"/>
        <v>100</v>
      </c>
      <c r="B237" s="607">
        <f t="shared" si="49"/>
        <v>1255</v>
      </c>
      <c r="C237" s="603">
        <f t="shared" si="42"/>
        <v>1180</v>
      </c>
      <c r="D237" s="607">
        <f t="shared" si="50"/>
        <v>1650</v>
      </c>
      <c r="E237" s="603">
        <v>116</v>
      </c>
      <c r="F237" s="604">
        <f t="shared" si="40"/>
        <v>627.5</v>
      </c>
      <c r="G237" s="604">
        <f t="shared" si="41"/>
        <v>-0.88047808764940239</v>
      </c>
      <c r="H237" s="604">
        <f t="shared" si="43"/>
        <v>2.6476660238085232</v>
      </c>
      <c r="I237" s="604">
        <f t="shared" si="44"/>
        <v>1206897.9911133656</v>
      </c>
      <c r="J237" s="604">
        <f t="shared" si="45"/>
        <v>2154621175.9945855</v>
      </c>
      <c r="K237" s="605">
        <f t="shared" si="46"/>
        <v>2154.6211759945854</v>
      </c>
      <c r="L237" s="606">
        <f t="shared" si="47"/>
        <v>2147.6211759945854</v>
      </c>
    </row>
    <row r="238" spans="1:12">
      <c r="A238" s="607">
        <f t="shared" si="48"/>
        <v>100</v>
      </c>
      <c r="B238" s="607">
        <f t="shared" si="49"/>
        <v>1255</v>
      </c>
      <c r="C238" s="603">
        <f t="shared" si="42"/>
        <v>1185</v>
      </c>
      <c r="D238" s="607">
        <f t="shared" si="50"/>
        <v>1650</v>
      </c>
      <c r="E238" s="603">
        <v>116.5</v>
      </c>
      <c r="F238" s="604">
        <f t="shared" si="40"/>
        <v>627.5</v>
      </c>
      <c r="G238" s="604">
        <f t="shared" si="41"/>
        <v>-0.88844621513944222</v>
      </c>
      <c r="H238" s="604">
        <f t="shared" si="43"/>
        <v>2.6647450305090454</v>
      </c>
      <c r="I238" s="604">
        <f t="shared" si="44"/>
        <v>1209825.8176060258</v>
      </c>
      <c r="J238" s="604">
        <f t="shared" si="45"/>
        <v>2159666692.1936889</v>
      </c>
      <c r="K238" s="605">
        <f t="shared" si="46"/>
        <v>2159.666692193689</v>
      </c>
      <c r="L238" s="606">
        <f t="shared" si="47"/>
        <v>2152.666692193689</v>
      </c>
    </row>
    <row r="239" spans="1:12">
      <c r="A239" s="607">
        <f t="shared" si="48"/>
        <v>100</v>
      </c>
      <c r="B239" s="607">
        <f t="shared" si="49"/>
        <v>1255</v>
      </c>
      <c r="C239" s="603">
        <f t="shared" si="42"/>
        <v>1190</v>
      </c>
      <c r="D239" s="607">
        <f t="shared" si="50"/>
        <v>1650</v>
      </c>
      <c r="E239" s="603">
        <v>117</v>
      </c>
      <c r="F239" s="604">
        <f t="shared" si="40"/>
        <v>627.5</v>
      </c>
      <c r="G239" s="604">
        <f t="shared" si="41"/>
        <v>-0.89641434262948205</v>
      </c>
      <c r="H239" s="604">
        <f t="shared" si="43"/>
        <v>2.6824083869253781</v>
      </c>
      <c r="I239" s="604">
        <f t="shared" si="44"/>
        <v>1212656.8247374864</v>
      </c>
      <c r="J239" s="604">
        <f t="shared" si="45"/>
        <v>2164538500.7662997</v>
      </c>
      <c r="K239" s="605">
        <f t="shared" si="46"/>
        <v>2164.5385007662999</v>
      </c>
      <c r="L239" s="606">
        <f t="shared" si="47"/>
        <v>2157.5385007662999</v>
      </c>
    </row>
    <row r="240" spans="1:12">
      <c r="A240" s="607">
        <f t="shared" si="48"/>
        <v>100</v>
      </c>
      <c r="B240" s="607">
        <f t="shared" si="49"/>
        <v>1255</v>
      </c>
      <c r="C240" s="603">
        <f t="shared" si="42"/>
        <v>1195</v>
      </c>
      <c r="D240" s="607">
        <f t="shared" si="50"/>
        <v>1650</v>
      </c>
      <c r="E240" s="603">
        <v>117.5</v>
      </c>
      <c r="F240" s="604">
        <f t="shared" si="40"/>
        <v>627.5</v>
      </c>
      <c r="G240" s="604">
        <f t="shared" si="41"/>
        <v>-0.90438247011952189</v>
      </c>
      <c r="H240" s="604">
        <f t="shared" si="43"/>
        <v>2.7007266763027773</v>
      </c>
      <c r="I240" s="604">
        <f t="shared" si="44"/>
        <v>1215386.6643085487</v>
      </c>
      <c r="J240" s="604">
        <f t="shared" si="45"/>
        <v>2169229302.0206861</v>
      </c>
      <c r="K240" s="605">
        <f t="shared" si="46"/>
        <v>2169.2293020206862</v>
      </c>
      <c r="L240" s="606">
        <f t="shared" si="47"/>
        <v>2162.2293020206862</v>
      </c>
    </row>
    <row r="241" spans="1:12">
      <c r="A241" s="607">
        <f t="shared" si="48"/>
        <v>100</v>
      </c>
      <c r="B241" s="607">
        <f t="shared" si="49"/>
        <v>1255</v>
      </c>
      <c r="C241" s="603">
        <f t="shared" si="42"/>
        <v>1200</v>
      </c>
      <c r="D241" s="607">
        <f t="shared" si="50"/>
        <v>1650</v>
      </c>
      <c r="E241" s="603">
        <v>118</v>
      </c>
      <c r="F241" s="604">
        <f t="shared" si="40"/>
        <v>627.5</v>
      </c>
      <c r="G241" s="604">
        <f t="shared" si="41"/>
        <v>-0.91235059760956172</v>
      </c>
      <c r="H241" s="604">
        <f t="shared" si="43"/>
        <v>2.7197855821843548</v>
      </c>
      <c r="I241" s="604">
        <f t="shared" si="44"/>
        <v>1218010.484670694</v>
      </c>
      <c r="J241" s="604">
        <f t="shared" si="45"/>
        <v>2173730965.5737391</v>
      </c>
      <c r="K241" s="605">
        <f t="shared" si="46"/>
        <v>2173.730965573739</v>
      </c>
      <c r="L241" s="606">
        <f t="shared" si="47"/>
        <v>2166.730965573739</v>
      </c>
    </row>
    <row r="242" spans="1:12">
      <c r="A242" s="607">
        <f t="shared" si="48"/>
        <v>100</v>
      </c>
      <c r="B242" s="607">
        <f t="shared" si="49"/>
        <v>1255</v>
      </c>
      <c r="C242" s="603">
        <f t="shared" si="42"/>
        <v>1205</v>
      </c>
      <c r="D242" s="607">
        <f t="shared" si="50"/>
        <v>1650</v>
      </c>
      <c r="E242" s="603">
        <v>118.5</v>
      </c>
      <c r="F242" s="604">
        <f t="shared" si="40"/>
        <v>627.5</v>
      </c>
      <c r="G242" s="604">
        <f t="shared" si="41"/>
        <v>-0.92031872509960155</v>
      </c>
      <c r="H242" s="604">
        <f t="shared" si="43"/>
        <v>2.7396908334445413</v>
      </c>
      <c r="I242" s="604">
        <f t="shared" si="44"/>
        <v>1220522.819271215</v>
      </c>
      <c r="J242" s="604">
        <f t="shared" si="45"/>
        <v>2178034346.4504375</v>
      </c>
      <c r="K242" s="605">
        <f t="shared" si="46"/>
        <v>2178.0343464504376</v>
      </c>
      <c r="L242" s="606">
        <f t="shared" si="47"/>
        <v>2171.0343464504376</v>
      </c>
    </row>
    <row r="243" spans="1:12">
      <c r="A243" s="607">
        <f t="shared" si="48"/>
        <v>100</v>
      </c>
      <c r="B243" s="607">
        <f t="shared" si="49"/>
        <v>1255</v>
      </c>
      <c r="C243" s="603">
        <f t="shared" si="42"/>
        <v>1210</v>
      </c>
      <c r="D243" s="607">
        <f t="shared" si="50"/>
        <v>1650</v>
      </c>
      <c r="E243" s="603">
        <v>119</v>
      </c>
      <c r="F243" s="604">
        <f t="shared" si="40"/>
        <v>627.5</v>
      </c>
      <c r="G243" s="604">
        <f t="shared" si="41"/>
        <v>-0.92828685258964139</v>
      </c>
      <c r="H243" s="604">
        <f t="shared" si="43"/>
        <v>2.7605754473838542</v>
      </c>
      <c r="I243" s="604">
        <f t="shared" si="44"/>
        <v>1222917.4370175228</v>
      </c>
      <c r="J243" s="604">
        <f t="shared" si="45"/>
        <v>2182129038.1849551</v>
      </c>
      <c r="K243" s="605">
        <f t="shared" si="46"/>
        <v>2182.1290381849553</v>
      </c>
      <c r="L243" s="606">
        <f t="shared" si="47"/>
        <v>2175.1290381849553</v>
      </c>
    </row>
    <row r="244" spans="1:12">
      <c r="A244" s="607">
        <f t="shared" si="48"/>
        <v>100</v>
      </c>
      <c r="B244" s="607">
        <f t="shared" si="49"/>
        <v>1255</v>
      </c>
      <c r="C244" s="603">
        <f t="shared" si="42"/>
        <v>1215</v>
      </c>
      <c r="D244" s="607">
        <f t="shared" si="50"/>
        <v>1650</v>
      </c>
      <c r="E244" s="603">
        <v>119.5</v>
      </c>
      <c r="F244" s="604">
        <f t="shared" si="40"/>
        <v>627.5</v>
      </c>
      <c r="G244" s="604">
        <f t="shared" si="41"/>
        <v>-0.93625498007968122</v>
      </c>
      <c r="H244" s="604">
        <f t="shared" si="43"/>
        <v>2.7826107282802335</v>
      </c>
      <c r="I244" s="604">
        <f t="shared" si="44"/>
        <v>1225187.1357270542</v>
      </c>
      <c r="J244" s="604">
        <f t="shared" si="45"/>
        <v>2186003032.0130091</v>
      </c>
      <c r="K244" s="605">
        <f t="shared" si="46"/>
        <v>2186.003032013009</v>
      </c>
      <c r="L244" s="606">
        <f t="shared" si="47"/>
        <v>2179.003032013009</v>
      </c>
    </row>
    <row r="245" spans="1:12">
      <c r="A245" s="607">
        <f t="shared" si="48"/>
        <v>100</v>
      </c>
      <c r="B245" s="607">
        <f t="shared" si="49"/>
        <v>1255</v>
      </c>
      <c r="C245" s="603">
        <f t="shared" si="42"/>
        <v>1220</v>
      </c>
      <c r="D245" s="607">
        <f t="shared" si="50"/>
        <v>1650</v>
      </c>
      <c r="E245" s="603">
        <v>120</v>
      </c>
      <c r="F245" s="604">
        <f t="shared" si="40"/>
        <v>627.5</v>
      </c>
      <c r="G245" s="604">
        <f t="shared" si="41"/>
        <v>-0.94422310756972117</v>
      </c>
      <c r="H245" s="604">
        <f t="shared" si="43"/>
        <v>2.8060237157393519</v>
      </c>
      <c r="I245" s="604">
        <f t="shared" si="44"/>
        <v>1227323.4472652413</v>
      </c>
      <c r="J245" s="604">
        <f t="shared" si="45"/>
        <v>2189642230.3495083</v>
      </c>
      <c r="K245" s="605">
        <f t="shared" si="46"/>
        <v>2189.6422303495083</v>
      </c>
      <c r="L245" s="606">
        <f t="shared" si="47"/>
        <v>2182.6422303495083</v>
      </c>
    </row>
    <row r="246" spans="1:12">
      <c r="A246" s="607">
        <f t="shared" si="48"/>
        <v>100</v>
      </c>
      <c r="B246" s="607">
        <f t="shared" si="49"/>
        <v>1255</v>
      </c>
      <c r="C246" s="603">
        <f t="shared" si="42"/>
        <v>1225</v>
      </c>
      <c r="D246" s="607">
        <f t="shared" si="50"/>
        <v>1650</v>
      </c>
      <c r="E246" s="603">
        <v>120.5</v>
      </c>
      <c r="F246" s="604">
        <f t="shared" si="40"/>
        <v>627.5</v>
      </c>
      <c r="G246" s="604">
        <f t="shared" si="41"/>
        <v>-0.952191235059761</v>
      </c>
      <c r="H246" s="604">
        <f t="shared" si="43"/>
        <v>2.8311264110253598</v>
      </c>
      <c r="I246" s="604">
        <f t="shared" si="44"/>
        <v>1229316.1987195723</v>
      </c>
      <c r="J246" s="604">
        <f t="shared" si="45"/>
        <v>2193029722.7257547</v>
      </c>
      <c r="K246" s="605">
        <f t="shared" si="46"/>
        <v>2193.0297227257547</v>
      </c>
      <c r="L246" s="606">
        <f t="shared" si="47"/>
        <v>2186.0297227257547</v>
      </c>
    </row>
    <row r="247" spans="1:12">
      <c r="A247" s="607">
        <f t="shared" si="48"/>
        <v>100</v>
      </c>
      <c r="B247" s="607">
        <f t="shared" si="49"/>
        <v>1255</v>
      </c>
      <c r="C247" s="603">
        <f t="shared" si="42"/>
        <v>1230</v>
      </c>
      <c r="D247" s="607">
        <f t="shared" si="50"/>
        <v>1650</v>
      </c>
      <c r="E247" s="603">
        <v>121</v>
      </c>
      <c r="F247" s="604">
        <f t="shared" si="40"/>
        <v>627.5</v>
      </c>
      <c r="G247" s="604">
        <f t="shared" si="41"/>
        <v>-0.96015936254980083</v>
      </c>
      <c r="H247" s="604">
        <f t="shared" si="43"/>
        <v>2.8583682527775398</v>
      </c>
      <c r="I247" s="604">
        <f t="shared" si="44"/>
        <v>1231152.823781156</v>
      </c>
      <c r="J247" s="604">
        <f t="shared" si="45"/>
        <v>2196144649.5690236</v>
      </c>
      <c r="K247" s="605">
        <f t="shared" si="46"/>
        <v>2196.1446495690234</v>
      </c>
      <c r="L247" s="606">
        <f t="shared" si="47"/>
        <v>2189.1446495690234</v>
      </c>
    </row>
    <row r="248" spans="1:12">
      <c r="A248" s="607">
        <f t="shared" si="48"/>
        <v>100</v>
      </c>
      <c r="B248" s="607">
        <f t="shared" si="49"/>
        <v>1255</v>
      </c>
      <c r="C248" s="603">
        <f t="shared" si="42"/>
        <v>1235</v>
      </c>
      <c r="D248" s="607">
        <f t="shared" si="50"/>
        <v>1650</v>
      </c>
      <c r="E248" s="603">
        <v>121.5</v>
      </c>
      <c r="F248" s="604">
        <f t="shared" si="40"/>
        <v>627.5</v>
      </c>
      <c r="G248" s="604">
        <f t="shared" si="41"/>
        <v>-0.96812749003984067</v>
      </c>
      <c r="H248" s="604">
        <f t="shared" si="43"/>
        <v>2.8884394455450915</v>
      </c>
      <c r="I248" s="604">
        <f t="shared" si="44"/>
        <v>1232817.2038263374</v>
      </c>
      <c r="J248" s="604">
        <f t="shared" si="45"/>
        <v>2198960289.9872303</v>
      </c>
      <c r="K248" s="605">
        <f t="shared" si="46"/>
        <v>2198.9602899872302</v>
      </c>
      <c r="L248" s="606">
        <f t="shared" si="47"/>
        <v>2191.9602899872302</v>
      </c>
    </row>
    <row r="249" spans="1:12">
      <c r="A249" s="607">
        <f t="shared" si="48"/>
        <v>100</v>
      </c>
      <c r="B249" s="607">
        <f t="shared" si="49"/>
        <v>1255</v>
      </c>
      <c r="C249" s="603">
        <f t="shared" si="42"/>
        <v>1240</v>
      </c>
      <c r="D249" s="607">
        <f t="shared" si="50"/>
        <v>1650</v>
      </c>
      <c r="E249" s="603">
        <v>122</v>
      </c>
      <c r="F249" s="604">
        <f t="shared" si="40"/>
        <v>627.5</v>
      </c>
      <c r="G249" s="604">
        <f t="shared" si="41"/>
        <v>-0.9760956175298805</v>
      </c>
      <c r="H249" s="604">
        <f t="shared" si="43"/>
        <v>2.9225025769361919</v>
      </c>
      <c r="I249" s="604">
        <f t="shared" si="44"/>
        <v>1234287.5182037698</v>
      </c>
      <c r="J249" s="604">
        <f t="shared" si="45"/>
        <v>2201440514.742599</v>
      </c>
      <c r="K249" s="605">
        <f t="shared" si="46"/>
        <v>2201.4405147425991</v>
      </c>
      <c r="L249" s="606">
        <f t="shared" si="47"/>
        <v>2194.4405147425991</v>
      </c>
    </row>
    <row r="250" spans="1:12">
      <c r="A250" s="607">
        <f t="shared" si="48"/>
        <v>100</v>
      </c>
      <c r="B250" s="607">
        <f t="shared" si="49"/>
        <v>1255</v>
      </c>
      <c r="C250" s="603">
        <f t="shared" si="42"/>
        <v>1245</v>
      </c>
      <c r="D250" s="607">
        <f t="shared" si="50"/>
        <v>1650</v>
      </c>
      <c r="E250" s="603">
        <v>122.5</v>
      </c>
      <c r="F250" s="604">
        <f t="shared" si="40"/>
        <v>627.5</v>
      </c>
      <c r="G250" s="604">
        <f t="shared" si="41"/>
        <v>-0.98406374501992033</v>
      </c>
      <c r="H250" s="604">
        <f t="shared" si="43"/>
        <v>2.9628259723851214</v>
      </c>
      <c r="I250" s="604">
        <f t="shared" si="44"/>
        <v>1235531.6275426198</v>
      </c>
      <c r="J250" s="604">
        <f t="shared" si="45"/>
        <v>2203532168.7102008</v>
      </c>
      <c r="K250" s="605">
        <f t="shared" si="46"/>
        <v>2203.5321687102009</v>
      </c>
      <c r="L250" s="606">
        <f t="shared" si="47"/>
        <v>2196.5321687102009</v>
      </c>
    </row>
    <row r="251" spans="1:12">
      <c r="A251" s="607">
        <f t="shared" si="48"/>
        <v>100</v>
      </c>
      <c r="B251" s="607">
        <f t="shared" si="49"/>
        <v>1255</v>
      </c>
      <c r="C251" s="603">
        <f t="shared" si="42"/>
        <v>1250</v>
      </c>
      <c r="D251" s="607">
        <f t="shared" si="50"/>
        <v>1650</v>
      </c>
      <c r="E251" s="603">
        <v>123</v>
      </c>
      <c r="F251" s="604">
        <f t="shared" si="40"/>
        <v>627.5</v>
      </c>
      <c r="G251" s="604">
        <f t="shared" si="41"/>
        <v>-0.99203187250996017</v>
      </c>
      <c r="H251" s="604">
        <f t="shared" si="43"/>
        <v>3.0152697983729633</v>
      </c>
      <c r="I251" s="604">
        <f t="shared" si="44"/>
        <v>1236494.2746319645</v>
      </c>
      <c r="J251" s="604">
        <f t="shared" si="45"/>
        <v>2205143952.3289585</v>
      </c>
      <c r="K251" s="605">
        <f t="shared" si="46"/>
        <v>2205.1439523289587</v>
      </c>
      <c r="L251" s="606">
        <f t="shared" si="47"/>
        <v>2198.1439523289587</v>
      </c>
    </row>
    <row r="252" spans="1:12">
      <c r="A252" s="607">
        <f t="shared" si="48"/>
        <v>100</v>
      </c>
      <c r="B252" s="607">
        <f t="shared" si="49"/>
        <v>1255</v>
      </c>
      <c r="C252" s="603">
        <f t="shared" si="42"/>
        <v>1255</v>
      </c>
      <c r="D252" s="607">
        <f t="shared" si="50"/>
        <v>1650</v>
      </c>
      <c r="E252" s="603">
        <v>123.5</v>
      </c>
      <c r="F252" s="604">
        <f t="shared" si="40"/>
        <v>627.5</v>
      </c>
      <c r="G252" s="604">
        <f t="shared" si="41"/>
        <v>0</v>
      </c>
      <c r="H252" s="604">
        <f t="shared" si="43"/>
        <v>3.1415926535897931</v>
      </c>
      <c r="I252" s="604">
        <f t="shared" si="44"/>
        <v>1237021.742305066</v>
      </c>
      <c r="J252" s="604">
        <f t="shared" si="45"/>
        <v>2206022107.1107011</v>
      </c>
      <c r="K252" s="605">
        <f t="shared" si="46"/>
        <v>2206.0221071107012</v>
      </c>
      <c r="L252" s="606">
        <f t="shared" si="47"/>
        <v>2199.0221071107012</v>
      </c>
    </row>
  </sheetData>
  <sheetProtection password="E4A3" sheet="1" objects="1" scenarios="1"/>
  <mergeCells count="2">
    <mergeCell ref="A1:L1"/>
    <mergeCell ref="N1:U1"/>
  </mergeCells>
  <conditionalFormatting sqref="B6:B252 D6:D252 A4:A252">
    <cfRule type="expression" dxfId="0" priority="1" stopIfTrue="1">
      <formula>#REF!=0</formula>
    </cfRule>
  </conditionalFormatting>
  <pageMargins left="0.74803149606299213" right="0.74803149606299213" top="0.98425196850393704" bottom="0.98425196850393704" header="0.51181102362204722" footer="0.51181102362204722"/>
  <pageSetup paperSize="9" orientation="landscape" r:id="rId1"/>
  <headerFooter alignWithMargins="0"/>
  <drawing r:id="rId2"/>
  <legacyDrawing r:id="rId3"/>
</worksheet>
</file>

<file path=xl/worksheets/sheet26.xml><?xml version="1.0" encoding="utf-8"?>
<worksheet xmlns="http://schemas.openxmlformats.org/spreadsheetml/2006/main" xmlns:r="http://schemas.openxmlformats.org/officeDocument/2006/relationships">
  <sheetPr>
    <tabColor rgb="FFFF0000"/>
  </sheetPr>
  <dimension ref="A1:E42"/>
  <sheetViews>
    <sheetView zoomScaleNormal="100" workbookViewId="0">
      <selection sqref="A1:E1"/>
    </sheetView>
  </sheetViews>
  <sheetFormatPr defaultColWidth="9.140625" defaultRowHeight="9"/>
  <cols>
    <col min="1" max="1" width="15.7109375" style="579" customWidth="1"/>
    <col min="2" max="2" width="15.7109375" style="580" customWidth="1"/>
    <col min="3" max="3" width="15.7109375" style="579" customWidth="1"/>
    <col min="4" max="4" width="15.7109375" style="580" customWidth="1"/>
    <col min="5" max="5" width="15.7109375" style="579" customWidth="1"/>
    <col min="6" max="6" width="3.5703125" style="1" customWidth="1"/>
    <col min="7" max="16384" width="9.140625" style="1"/>
  </cols>
  <sheetData>
    <row r="1" spans="1:5" ht="22.5" customHeight="1">
      <c r="A1" s="770" t="s">
        <v>587</v>
      </c>
      <c r="B1" s="770"/>
      <c r="C1" s="770"/>
      <c r="D1" s="770"/>
      <c r="E1" s="770"/>
    </row>
    <row r="2" spans="1:5" ht="18.75">
      <c r="A2" s="872" t="s">
        <v>553</v>
      </c>
      <c r="B2" s="872"/>
      <c r="C2" s="872"/>
      <c r="D2" s="872"/>
      <c r="E2" s="872"/>
    </row>
    <row r="3" spans="1:5" ht="15.75" customHeight="1">
      <c r="A3" s="562" t="s">
        <v>554</v>
      </c>
      <c r="B3" s="573" t="s">
        <v>555</v>
      </c>
      <c r="C3" s="562" t="s">
        <v>21</v>
      </c>
      <c r="D3" s="573" t="s">
        <v>556</v>
      </c>
      <c r="E3" s="562" t="s">
        <v>557</v>
      </c>
    </row>
    <row r="4" spans="1:5" s="615" customFormat="1" ht="15.75">
      <c r="A4" s="611">
        <v>9.5</v>
      </c>
      <c r="B4" s="612">
        <f>A4-0</f>
        <v>9.5</v>
      </c>
      <c r="C4" s="613">
        <v>50</v>
      </c>
      <c r="D4" s="614">
        <f>C4-0</f>
        <v>50</v>
      </c>
      <c r="E4" s="611">
        <v>2.5</v>
      </c>
    </row>
    <row r="5" spans="1:5" s="615" customFormat="1" ht="15.75">
      <c r="A5" s="616">
        <v>17</v>
      </c>
      <c r="B5" s="617">
        <f>A5-A4</f>
        <v>7.5</v>
      </c>
      <c r="C5" s="618">
        <f>C4+D5</f>
        <v>96.875</v>
      </c>
      <c r="D5" s="619">
        <f>D6*B5/B6</f>
        <v>46.875</v>
      </c>
      <c r="E5" s="620">
        <f>E6*C5/C6</f>
        <v>4.84375</v>
      </c>
    </row>
    <row r="6" spans="1:5" s="615" customFormat="1" ht="15.75">
      <c r="A6" s="611">
        <v>17.5</v>
      </c>
      <c r="B6" s="612">
        <f>A6-A4</f>
        <v>8</v>
      </c>
      <c r="C6" s="613">
        <v>100</v>
      </c>
      <c r="D6" s="614">
        <f>C6-C4</f>
        <v>50</v>
      </c>
      <c r="E6" s="611">
        <v>5</v>
      </c>
    </row>
    <row r="7" spans="1:5" s="615" customFormat="1" ht="15.75">
      <c r="A7" s="616">
        <v>24</v>
      </c>
      <c r="B7" s="617">
        <f>A7-A6</f>
        <v>6.5</v>
      </c>
      <c r="C7" s="618">
        <f>C6+D7</f>
        <v>146.42857142857144</v>
      </c>
      <c r="D7" s="619">
        <f>D8*B7/B8</f>
        <v>46.428571428571431</v>
      </c>
      <c r="E7" s="620">
        <f>E8*C7/C8</f>
        <v>7.3214285714285721</v>
      </c>
    </row>
    <row r="8" spans="1:5" s="615" customFormat="1" ht="15.75">
      <c r="A8" s="611">
        <v>24.5</v>
      </c>
      <c r="B8" s="612">
        <f>A8-A6</f>
        <v>7</v>
      </c>
      <c r="C8" s="613">
        <v>150</v>
      </c>
      <c r="D8" s="614">
        <f>C8-C6</f>
        <v>50</v>
      </c>
      <c r="E8" s="611">
        <v>7.5</v>
      </c>
    </row>
    <row r="9" spans="1:5" s="615" customFormat="1" ht="15.75">
      <c r="A9" s="616">
        <v>30</v>
      </c>
      <c r="B9" s="617">
        <f>A9-A8</f>
        <v>5.5</v>
      </c>
      <c r="C9" s="618">
        <f>C8+D9</f>
        <v>192.30769230769232</v>
      </c>
      <c r="D9" s="619">
        <f>D10*B9/B10</f>
        <v>42.307692307692307</v>
      </c>
      <c r="E9" s="620">
        <f>E10*C9/C10</f>
        <v>9.6153846153846168</v>
      </c>
    </row>
    <row r="10" spans="1:5" s="615" customFormat="1" ht="15.75">
      <c r="A10" s="611">
        <v>31</v>
      </c>
      <c r="B10" s="612">
        <f>A10-A8</f>
        <v>6.5</v>
      </c>
      <c r="C10" s="613">
        <v>200</v>
      </c>
      <c r="D10" s="614">
        <f>C10-C8</f>
        <v>50</v>
      </c>
      <c r="E10" s="611">
        <v>10</v>
      </c>
    </row>
    <row r="11" spans="1:5" s="615" customFormat="1" ht="15.75">
      <c r="A11" s="616">
        <v>36</v>
      </c>
      <c r="B11" s="617">
        <f>A11-A10</f>
        <v>5</v>
      </c>
      <c r="C11" s="618">
        <f>C10+D11</f>
        <v>241.66666666666666</v>
      </c>
      <c r="D11" s="619">
        <f>D12*B11/B12</f>
        <v>41.666666666666664</v>
      </c>
      <c r="E11" s="620">
        <f>E12*C11/C12</f>
        <v>12.083333333333332</v>
      </c>
    </row>
    <row r="12" spans="1:5" s="615" customFormat="1" ht="15.75">
      <c r="A12" s="611">
        <v>37</v>
      </c>
      <c r="B12" s="612">
        <f>A12-A10</f>
        <v>6</v>
      </c>
      <c r="C12" s="613">
        <v>250</v>
      </c>
      <c r="D12" s="614">
        <f>C12-C10</f>
        <v>50</v>
      </c>
      <c r="E12" s="611">
        <v>12.5</v>
      </c>
    </row>
    <row r="13" spans="1:5" s="615" customFormat="1" ht="15.75">
      <c r="A13" s="616">
        <v>42</v>
      </c>
      <c r="B13" s="617">
        <f>A13-A12</f>
        <v>5</v>
      </c>
      <c r="C13" s="618">
        <f>C12+D13</f>
        <v>295.45454545454544</v>
      </c>
      <c r="D13" s="619">
        <f>D14*B13/B14</f>
        <v>45.454545454545453</v>
      </c>
      <c r="E13" s="620">
        <f>E14*C13/C14</f>
        <v>14.772727272727273</v>
      </c>
    </row>
    <row r="14" spans="1:5" s="615" customFormat="1" ht="15.75">
      <c r="A14" s="611">
        <v>42.5</v>
      </c>
      <c r="B14" s="612">
        <f>A14-A12</f>
        <v>5.5</v>
      </c>
      <c r="C14" s="613">
        <v>300</v>
      </c>
      <c r="D14" s="614">
        <f>C14-C12</f>
        <v>50</v>
      </c>
      <c r="E14" s="611">
        <v>15</v>
      </c>
    </row>
    <row r="15" spans="1:5" s="615" customFormat="1" ht="15.75">
      <c r="A15" s="616">
        <v>48</v>
      </c>
      <c r="B15" s="617">
        <f>A15-A14</f>
        <v>5.5</v>
      </c>
      <c r="C15" s="618">
        <f>C14+D15</f>
        <v>342.30769230769232</v>
      </c>
      <c r="D15" s="619">
        <f>D16*B15/B16</f>
        <v>42.307692307692307</v>
      </c>
      <c r="E15" s="620">
        <f>E16*C15/C16</f>
        <v>17.115384615384617</v>
      </c>
    </row>
    <row r="16" spans="1:5" s="615" customFormat="1" ht="15.75">
      <c r="A16" s="611">
        <v>49</v>
      </c>
      <c r="B16" s="612">
        <f>A16-A14</f>
        <v>6.5</v>
      </c>
      <c r="C16" s="613">
        <v>350</v>
      </c>
      <c r="D16" s="614">
        <f>C16-C14</f>
        <v>50</v>
      </c>
      <c r="E16" s="611">
        <v>17.5</v>
      </c>
    </row>
    <row r="17" spans="1:5" s="615" customFormat="1" ht="15.75">
      <c r="A17" s="616">
        <v>54</v>
      </c>
      <c r="B17" s="617">
        <f>A17-A16</f>
        <v>5</v>
      </c>
      <c r="C17" s="618">
        <f>C16+D17</f>
        <v>391.66666666666669</v>
      </c>
      <c r="D17" s="619">
        <f>D18*B17/B18</f>
        <v>41.666666666666664</v>
      </c>
      <c r="E17" s="620">
        <f>E18*C17/C18</f>
        <v>19.583333333333336</v>
      </c>
    </row>
    <row r="18" spans="1:5" s="615" customFormat="1" ht="15.75">
      <c r="A18" s="611">
        <v>55</v>
      </c>
      <c r="B18" s="612">
        <f>A18-A16</f>
        <v>6</v>
      </c>
      <c r="C18" s="613">
        <v>400</v>
      </c>
      <c r="D18" s="614">
        <f>C18-C16</f>
        <v>50</v>
      </c>
      <c r="E18" s="611">
        <v>20</v>
      </c>
    </row>
    <row r="19" spans="1:5" s="615" customFormat="1" ht="15.75">
      <c r="A19" s="616">
        <v>60</v>
      </c>
      <c r="B19" s="617">
        <f>A19-A18</f>
        <v>5</v>
      </c>
      <c r="C19" s="618">
        <f>C18+D19</f>
        <v>445.45454545454544</v>
      </c>
      <c r="D19" s="619">
        <f>D20*B19/B20</f>
        <v>45.454545454545453</v>
      </c>
      <c r="E19" s="620">
        <f>E20*C19/C20</f>
        <v>22.27272727272727</v>
      </c>
    </row>
    <row r="20" spans="1:5" s="615" customFormat="1" ht="15.75">
      <c r="A20" s="611">
        <v>60.5</v>
      </c>
      <c r="B20" s="612">
        <f>A20-A18</f>
        <v>5.5</v>
      </c>
      <c r="C20" s="613">
        <v>450</v>
      </c>
      <c r="D20" s="614">
        <f>C20-C18</f>
        <v>50</v>
      </c>
      <c r="E20" s="611">
        <v>22.5</v>
      </c>
    </row>
    <row r="21" spans="1:5" s="615" customFormat="1" ht="15.75">
      <c r="A21" s="616">
        <v>66</v>
      </c>
      <c r="B21" s="617">
        <f>A21-A20</f>
        <v>5.5</v>
      </c>
      <c r="C21" s="618">
        <f>C20+D21</f>
        <v>492.30769230769232</v>
      </c>
      <c r="D21" s="619">
        <f>D22*B21/B22</f>
        <v>42.307692307692307</v>
      </c>
      <c r="E21" s="620">
        <f>E22*C21/C22</f>
        <v>24.615384615384617</v>
      </c>
    </row>
    <row r="22" spans="1:5" s="615" customFormat="1" ht="15.75">
      <c r="A22" s="611">
        <v>67</v>
      </c>
      <c r="B22" s="612">
        <f>A22-A20</f>
        <v>6.5</v>
      </c>
      <c r="C22" s="613">
        <v>500</v>
      </c>
      <c r="D22" s="614">
        <f>C22-C20</f>
        <v>50</v>
      </c>
      <c r="E22" s="611">
        <v>25</v>
      </c>
    </row>
    <row r="23" spans="1:5" s="615" customFormat="1" ht="15.75">
      <c r="A23" s="616">
        <v>72</v>
      </c>
      <c r="B23" s="617">
        <f>A23-A22</f>
        <v>5</v>
      </c>
      <c r="C23" s="618">
        <f>C22+D23</f>
        <v>545.4545454545455</v>
      </c>
      <c r="D23" s="619">
        <f>D24*B23/B24</f>
        <v>45.454545454545453</v>
      </c>
      <c r="E23" s="620">
        <f>E24*C23/C24</f>
        <v>27.272727272727277</v>
      </c>
    </row>
    <row r="24" spans="1:5" s="615" customFormat="1" ht="15.75">
      <c r="A24" s="611">
        <v>72.5</v>
      </c>
      <c r="B24" s="612">
        <f>A24-A22</f>
        <v>5.5</v>
      </c>
      <c r="C24" s="613">
        <v>550</v>
      </c>
      <c r="D24" s="614">
        <f>C24-C22</f>
        <v>50</v>
      </c>
      <c r="E24" s="611">
        <v>27.5</v>
      </c>
    </row>
    <row r="25" spans="1:5" s="615" customFormat="1" ht="15.75">
      <c r="A25" s="616">
        <v>78</v>
      </c>
      <c r="B25" s="617">
        <f>A25-A24</f>
        <v>5.5</v>
      </c>
      <c r="C25" s="618">
        <f>C24+D25</f>
        <v>595.83333333333337</v>
      </c>
      <c r="D25" s="619">
        <f>D26*B25/B26</f>
        <v>45.833333333333336</v>
      </c>
      <c r="E25" s="620">
        <f>E26*C25/C26</f>
        <v>29.791666666666668</v>
      </c>
    </row>
    <row r="26" spans="1:5" s="615" customFormat="1" ht="15.75">
      <c r="A26" s="611">
        <v>78.5</v>
      </c>
      <c r="B26" s="612">
        <f>A26-A24</f>
        <v>6</v>
      </c>
      <c r="C26" s="613">
        <v>600</v>
      </c>
      <c r="D26" s="614">
        <f>C26-C24</f>
        <v>50</v>
      </c>
      <c r="E26" s="611">
        <v>30</v>
      </c>
    </row>
    <row r="27" spans="1:5" s="615" customFormat="1" ht="15.75">
      <c r="A27" s="616">
        <v>84</v>
      </c>
      <c r="B27" s="617">
        <f>A27-A26</f>
        <v>5.5</v>
      </c>
      <c r="C27" s="618">
        <f>C26+D27</f>
        <v>645.83333333333337</v>
      </c>
      <c r="D27" s="619">
        <f>D28*B27/B28</f>
        <v>45.833333333333336</v>
      </c>
      <c r="E27" s="620">
        <f>E28*C27/C28</f>
        <v>32.291666666666671</v>
      </c>
    </row>
    <row r="28" spans="1:5" s="615" customFormat="1" ht="15.75">
      <c r="A28" s="611">
        <v>84.5</v>
      </c>
      <c r="B28" s="612">
        <f>A28-A26</f>
        <v>6</v>
      </c>
      <c r="C28" s="613">
        <v>650</v>
      </c>
      <c r="D28" s="614">
        <f>C28-C26</f>
        <v>50</v>
      </c>
      <c r="E28" s="611">
        <v>32.5</v>
      </c>
    </row>
    <row r="29" spans="1:5" s="615" customFormat="1" ht="15.75">
      <c r="A29" s="616">
        <v>90</v>
      </c>
      <c r="B29" s="617">
        <f>A29-A28</f>
        <v>5.5</v>
      </c>
      <c r="C29" s="618">
        <f>C28+D29</f>
        <v>695.83333333333337</v>
      </c>
      <c r="D29" s="619">
        <f>D30*B29/B30</f>
        <v>45.833333333333336</v>
      </c>
      <c r="E29" s="620">
        <f>E30*C29/C30</f>
        <v>34.791666666666671</v>
      </c>
    </row>
    <row r="30" spans="1:5" s="615" customFormat="1" ht="15.75">
      <c r="A30" s="611">
        <v>90.5</v>
      </c>
      <c r="B30" s="612">
        <f>A30-A28</f>
        <v>6</v>
      </c>
      <c r="C30" s="613">
        <v>700</v>
      </c>
      <c r="D30" s="614">
        <f>C30-C28</f>
        <v>50</v>
      </c>
      <c r="E30" s="611">
        <v>35</v>
      </c>
    </row>
    <row r="31" spans="1:5" s="615" customFormat="1" ht="15.75">
      <c r="A31" s="616">
        <v>95</v>
      </c>
      <c r="B31" s="617">
        <f>A31-A30</f>
        <v>4.5</v>
      </c>
      <c r="C31" s="618">
        <f>C30+D31</f>
        <v>740.90909090909088</v>
      </c>
      <c r="D31" s="619">
        <f>D32*B31/B32</f>
        <v>40.909090909090907</v>
      </c>
      <c r="E31" s="620">
        <f>E32*C31/C32</f>
        <v>37.045454545454547</v>
      </c>
    </row>
    <row r="32" spans="1:5" s="615" customFormat="1" ht="15.75">
      <c r="A32" s="611">
        <v>96</v>
      </c>
      <c r="B32" s="612">
        <f>A32-A30</f>
        <v>5.5</v>
      </c>
      <c r="C32" s="613">
        <v>750</v>
      </c>
      <c r="D32" s="614">
        <f>C32-C30</f>
        <v>50</v>
      </c>
      <c r="E32" s="611">
        <v>37.5</v>
      </c>
    </row>
    <row r="33" spans="1:5" s="615" customFormat="1" ht="15.75">
      <c r="A33" s="616">
        <v>100</v>
      </c>
      <c r="B33" s="617">
        <f>A33-A32</f>
        <v>4</v>
      </c>
      <c r="C33" s="618">
        <f>C32+D33</f>
        <v>790</v>
      </c>
      <c r="D33" s="619">
        <f>D34*B33/B34</f>
        <v>40</v>
      </c>
      <c r="E33" s="620">
        <f>E34*C33/C34</f>
        <v>39.5</v>
      </c>
    </row>
    <row r="34" spans="1:5" s="615" customFormat="1" ht="15.75">
      <c r="A34" s="611">
        <v>101</v>
      </c>
      <c r="B34" s="612">
        <f>A34-A32</f>
        <v>5</v>
      </c>
      <c r="C34" s="613">
        <v>800</v>
      </c>
      <c r="D34" s="614">
        <f>C34-C32</f>
        <v>50</v>
      </c>
      <c r="E34" s="611">
        <v>40</v>
      </c>
    </row>
    <row r="35" spans="1:5" s="29" customFormat="1" ht="15.75">
      <c r="A35" s="616">
        <v>108</v>
      </c>
      <c r="B35" s="617">
        <f>A35-A34</f>
        <v>7</v>
      </c>
      <c r="C35" s="618">
        <f>C34+D35</f>
        <v>846.66666666666663</v>
      </c>
      <c r="D35" s="619">
        <f>D36*B35/B36</f>
        <v>46.666666666666664</v>
      </c>
      <c r="E35" s="620">
        <f>E36*C35/C36</f>
        <v>42.333333333333329</v>
      </c>
    </row>
    <row r="36" spans="1:5" s="615" customFormat="1" ht="15.75">
      <c r="A36" s="611">
        <v>108.5</v>
      </c>
      <c r="B36" s="612">
        <f>A36-A34</f>
        <v>7.5</v>
      </c>
      <c r="C36" s="613">
        <v>850</v>
      </c>
      <c r="D36" s="614">
        <f>C36-C34</f>
        <v>50</v>
      </c>
      <c r="E36" s="611">
        <v>42.5</v>
      </c>
    </row>
    <row r="37" spans="1:5" s="615" customFormat="1" ht="15.75">
      <c r="A37" s="616">
        <v>115</v>
      </c>
      <c r="B37" s="617">
        <f>A37-A36</f>
        <v>6.5</v>
      </c>
      <c r="C37" s="618">
        <f>C36+D37</f>
        <v>893.33333333333337</v>
      </c>
      <c r="D37" s="619">
        <f>D38*B37/B38</f>
        <v>43.333333333333336</v>
      </c>
      <c r="E37" s="620">
        <f>E38*C37/C38</f>
        <v>44.666666666666664</v>
      </c>
    </row>
    <row r="38" spans="1:5" s="615" customFormat="1" ht="15.75">
      <c r="A38" s="611">
        <v>116</v>
      </c>
      <c r="B38" s="612">
        <f>A38-A36</f>
        <v>7.5</v>
      </c>
      <c r="C38" s="613">
        <v>900</v>
      </c>
      <c r="D38" s="614">
        <f>C38-C36</f>
        <v>50</v>
      </c>
      <c r="E38" s="611">
        <v>45</v>
      </c>
    </row>
    <row r="39" spans="1:5" s="615" customFormat="1" ht="15.75">
      <c r="A39" s="616">
        <v>126</v>
      </c>
      <c r="B39" s="617">
        <f>A39-A38</f>
        <v>10</v>
      </c>
      <c r="C39" s="618">
        <f>C38+D39</f>
        <v>947.61904761904759</v>
      </c>
      <c r="D39" s="619">
        <f>D40*B39/B40</f>
        <v>47.61904761904762</v>
      </c>
      <c r="E39" s="620">
        <f>E40*C39/C40</f>
        <v>47.38095238095238</v>
      </c>
    </row>
    <row r="40" spans="1:5" s="615" customFormat="1" ht="15.75">
      <c r="A40" s="611">
        <v>126.5</v>
      </c>
      <c r="B40" s="612">
        <f>A40-A38</f>
        <v>10.5</v>
      </c>
      <c r="C40" s="613">
        <v>950</v>
      </c>
      <c r="D40" s="614">
        <f>C40-C38</f>
        <v>50</v>
      </c>
      <c r="E40" s="611">
        <v>47.5</v>
      </c>
    </row>
    <row r="41" spans="1:5" s="615" customFormat="1" ht="15.75">
      <c r="A41" s="616">
        <v>135</v>
      </c>
      <c r="B41" s="617">
        <f>A41-A40</f>
        <v>8.5</v>
      </c>
      <c r="C41" s="618">
        <f>C40+D41</f>
        <v>994.73684210526312</v>
      </c>
      <c r="D41" s="619">
        <f>D42*B41/B42</f>
        <v>44.736842105263158</v>
      </c>
      <c r="E41" s="620">
        <f>E42*C41/C42</f>
        <v>49.73684210526315</v>
      </c>
    </row>
    <row r="42" spans="1:5" s="615" customFormat="1" ht="15.75">
      <c r="A42" s="611">
        <v>136</v>
      </c>
      <c r="B42" s="612">
        <f>A42-A40</f>
        <v>9.5</v>
      </c>
      <c r="C42" s="613">
        <v>1000</v>
      </c>
      <c r="D42" s="614">
        <f>C42-C40</f>
        <v>50</v>
      </c>
      <c r="E42" s="611">
        <v>50</v>
      </c>
    </row>
  </sheetData>
  <sheetProtection password="E4A3" sheet="1" objects="1" scenarios="1"/>
  <mergeCells count="2">
    <mergeCell ref="A1:E1"/>
    <mergeCell ref="A2:E2"/>
  </mergeCells>
  <pageMargins left="0.19685039370078741" right="0.39370078740157483" top="0.39370078740157483" bottom="0.39370078740157483" header="0.31496062992125984" footer="0.31496062992125984"/>
  <pageSetup paperSize="9" orientation="portrait" r:id="rId1"/>
  <legacyDrawing r:id="rId2"/>
</worksheet>
</file>

<file path=xl/worksheets/sheet27.xml><?xml version="1.0" encoding="utf-8"?>
<worksheet xmlns="http://schemas.openxmlformats.org/spreadsheetml/2006/main" xmlns:r="http://schemas.openxmlformats.org/officeDocument/2006/relationships">
  <sheetPr codeName="Φύλλο22">
    <tabColor theme="0" tint="-0.499984740745262"/>
  </sheetPr>
  <dimension ref="A1:AA34"/>
  <sheetViews>
    <sheetView zoomScale="110" zoomScaleNormal="110" workbookViewId="0">
      <selection activeCell="AB3" sqref="AB3"/>
    </sheetView>
  </sheetViews>
  <sheetFormatPr defaultColWidth="9.140625" defaultRowHeight="12"/>
  <cols>
    <col min="1" max="1" width="3.85546875" style="16" bestFit="1" customWidth="1"/>
    <col min="2" max="2" width="8.5703125" style="16" bestFit="1" customWidth="1"/>
    <col min="3" max="3" width="6.85546875" style="16" bestFit="1" customWidth="1"/>
    <col min="4" max="4" width="6.7109375" style="16" bestFit="1" customWidth="1"/>
    <col min="5" max="5" width="5.7109375" style="16" bestFit="1" customWidth="1"/>
    <col min="6" max="6" width="5.85546875" style="16" bestFit="1" customWidth="1"/>
    <col min="7" max="7" width="6" style="16" bestFit="1" customWidth="1"/>
    <col min="8" max="8" width="5.5703125" style="16" bestFit="1" customWidth="1"/>
    <col min="9" max="9" width="6.7109375" style="16" bestFit="1" customWidth="1"/>
    <col min="10" max="10" width="5.85546875" style="16" bestFit="1" customWidth="1"/>
    <col min="11" max="12" width="5" style="16" bestFit="1" customWidth="1"/>
    <col min="13" max="13" width="5.28515625" style="16" bestFit="1" customWidth="1"/>
    <col min="14" max="15" width="4.140625" style="16" bestFit="1" customWidth="1"/>
    <col min="16" max="16" width="5" style="16" bestFit="1" customWidth="1"/>
    <col min="17" max="18" width="4.140625" style="16" bestFit="1" customWidth="1"/>
    <col min="19" max="19" width="6" style="16" bestFit="1" customWidth="1"/>
    <col min="20" max="20" width="5.140625" style="16" bestFit="1" customWidth="1"/>
    <col min="21" max="21" width="3.28515625" style="16" bestFit="1" customWidth="1"/>
    <col min="22" max="23" width="2.85546875" style="16" bestFit="1" customWidth="1"/>
    <col min="24" max="24" width="5.85546875" style="16" bestFit="1" customWidth="1"/>
    <col min="25" max="25" width="3.5703125" style="16" bestFit="1" customWidth="1"/>
    <col min="26" max="26" width="5.42578125" style="16" bestFit="1" customWidth="1"/>
    <col min="27" max="27" width="5.140625" style="16" bestFit="1" customWidth="1"/>
    <col min="28" max="16384" width="9.140625" style="16"/>
  </cols>
  <sheetData>
    <row r="1" spans="1:27" s="14" customFormat="1" ht="105.75" customHeight="1">
      <c r="B1" s="15"/>
      <c r="C1" s="15"/>
      <c r="D1" s="883" t="str">
        <f>ΣΤΟΙΧΕΙΑ!C16</f>
        <v>Μηχανολογική Μελέτη :</v>
      </c>
      <c r="E1" s="883"/>
      <c r="F1" s="883"/>
      <c r="G1" s="883"/>
      <c r="H1" s="883"/>
      <c r="I1" s="883"/>
      <c r="J1" s="883"/>
      <c r="K1" s="883"/>
      <c r="L1" s="883"/>
      <c r="M1" s="883"/>
      <c r="N1" s="880" t="s">
        <v>616</v>
      </c>
      <c r="O1" s="880"/>
      <c r="P1" s="880"/>
      <c r="Q1" s="880"/>
      <c r="R1" s="880"/>
      <c r="S1" s="880"/>
      <c r="T1" s="880"/>
      <c r="U1" s="880"/>
      <c r="V1" s="880"/>
      <c r="W1" s="880"/>
      <c r="X1" s="880"/>
      <c r="Y1" s="880"/>
      <c r="Z1" s="880"/>
      <c r="AA1" s="880"/>
    </row>
    <row r="2" spans="1:27" ht="15.75">
      <c r="A2" s="728" t="s">
        <v>24</v>
      </c>
      <c r="B2" s="768" t="str">
        <f>ΣΤΟΙΧΕΙΑ!C2</f>
        <v>Πολυκατοικία :</v>
      </c>
      <c r="C2" s="769"/>
      <c r="D2" s="769"/>
      <c r="E2" s="769"/>
      <c r="F2" s="785" t="str">
        <f>ΣΤΟΙΧΕΙΑ!C12</f>
        <v>Διευθύνση 123</v>
      </c>
      <c r="G2" s="785"/>
      <c r="H2" s="785"/>
      <c r="I2" s="785"/>
      <c r="J2" s="785"/>
      <c r="K2" s="785"/>
      <c r="L2" s="769" t="str">
        <f>ΣΤΟΙΧΕΙΑ!C13</f>
        <v>Νεάπολη - ΑΤΤΙΚΗΣ.</v>
      </c>
      <c r="M2" s="769"/>
      <c r="N2" s="769"/>
      <c r="O2" s="769"/>
      <c r="P2" s="769"/>
      <c r="Q2" s="769"/>
      <c r="R2" s="878" t="s">
        <v>150</v>
      </c>
      <c r="S2" s="879"/>
      <c r="T2" s="33">
        <v>2.7</v>
      </c>
      <c r="U2" s="379" t="s">
        <v>145</v>
      </c>
      <c r="V2" s="874">
        <f>Y2/H28</f>
        <v>16.088154269972453</v>
      </c>
      <c r="W2" s="875"/>
      <c r="X2" s="379" t="s">
        <v>146</v>
      </c>
      <c r="Y2" s="876">
        <f>D28-E28-F28</f>
        <v>52560</v>
      </c>
      <c r="Z2" s="877"/>
      <c r="AA2" s="380" t="s">
        <v>135</v>
      </c>
    </row>
    <row r="3" spans="1:27" s="2" customFormat="1" ht="12.75">
      <c r="A3" s="714"/>
      <c r="B3" s="881" t="s">
        <v>11</v>
      </c>
      <c r="C3" s="64" t="s">
        <v>31</v>
      </c>
      <c r="D3" s="381" t="s">
        <v>124</v>
      </c>
      <c r="E3" s="382" t="s">
        <v>126</v>
      </c>
      <c r="F3" s="383" t="s">
        <v>127</v>
      </c>
      <c r="G3" s="384" t="s">
        <v>148</v>
      </c>
      <c r="H3" s="384" t="s">
        <v>128</v>
      </c>
      <c r="I3" s="384" t="s">
        <v>130</v>
      </c>
      <c r="J3" s="385" t="s">
        <v>1</v>
      </c>
      <c r="K3" s="381" t="s">
        <v>131</v>
      </c>
      <c r="L3" s="383" t="s">
        <v>132</v>
      </c>
      <c r="M3" s="384" t="s">
        <v>134</v>
      </c>
      <c r="N3" s="384" t="s">
        <v>135</v>
      </c>
      <c r="O3" s="384" t="s">
        <v>136</v>
      </c>
      <c r="P3" s="384" t="s">
        <v>137</v>
      </c>
      <c r="Q3" s="64" t="s">
        <v>138</v>
      </c>
      <c r="R3" s="384" t="s">
        <v>139</v>
      </c>
      <c r="S3" s="384" t="s">
        <v>144</v>
      </c>
      <c r="T3" s="385" t="s">
        <v>0</v>
      </c>
      <c r="U3" s="384" t="s">
        <v>141</v>
      </c>
      <c r="V3" s="384" t="s">
        <v>2</v>
      </c>
      <c r="W3" s="384" t="s">
        <v>1</v>
      </c>
      <c r="X3" s="384" t="s">
        <v>3</v>
      </c>
      <c r="Y3" s="384" t="s">
        <v>158</v>
      </c>
      <c r="Z3" s="386" t="s">
        <v>142</v>
      </c>
      <c r="AA3" s="387" t="s">
        <v>160</v>
      </c>
    </row>
    <row r="4" spans="1:27" s="2" customFormat="1" ht="11.25">
      <c r="A4" s="714"/>
      <c r="B4" s="882"/>
      <c r="C4" s="384" t="s">
        <v>133</v>
      </c>
      <c r="D4" s="384" t="s">
        <v>125</v>
      </c>
      <c r="E4" s="384" t="s">
        <v>125</v>
      </c>
      <c r="F4" s="384" t="s">
        <v>125</v>
      </c>
      <c r="G4" s="388" t="s">
        <v>149</v>
      </c>
      <c r="H4" s="384" t="s">
        <v>129</v>
      </c>
      <c r="I4" s="389" t="s">
        <v>157</v>
      </c>
      <c r="J4" s="388" t="s">
        <v>151</v>
      </c>
      <c r="K4" s="384" t="s">
        <v>133</v>
      </c>
      <c r="L4" s="384" t="s">
        <v>133</v>
      </c>
      <c r="M4" s="389" t="s">
        <v>152</v>
      </c>
      <c r="N4" s="384"/>
      <c r="O4" s="378">
        <v>0.06</v>
      </c>
      <c r="P4" s="384" t="s">
        <v>133</v>
      </c>
      <c r="Q4" s="384"/>
      <c r="R4" s="384"/>
      <c r="S4" s="390" t="s">
        <v>153</v>
      </c>
      <c r="T4" s="389" t="s">
        <v>154</v>
      </c>
      <c r="U4" s="384" t="s">
        <v>133</v>
      </c>
      <c r="V4" s="384"/>
      <c r="W4" s="384"/>
      <c r="X4" s="391" t="s">
        <v>155</v>
      </c>
      <c r="Y4" s="64" t="s">
        <v>159</v>
      </c>
      <c r="Z4" s="392" t="s">
        <v>156</v>
      </c>
      <c r="AA4" s="393" t="s">
        <v>162</v>
      </c>
    </row>
    <row r="5" spans="1:27" s="2" customFormat="1" ht="11.25">
      <c r="A5" s="714"/>
      <c r="B5" s="350" t="s">
        <v>140</v>
      </c>
      <c r="C5" s="350">
        <v>2</v>
      </c>
      <c r="D5" s="350">
        <v>3</v>
      </c>
      <c r="E5" s="350">
        <v>4</v>
      </c>
      <c r="F5" s="350">
        <v>5</v>
      </c>
      <c r="G5" s="350">
        <v>6</v>
      </c>
      <c r="H5" s="350">
        <v>7</v>
      </c>
      <c r="I5" s="350">
        <v>8</v>
      </c>
      <c r="J5" s="350">
        <v>9</v>
      </c>
      <c r="K5" s="350">
        <v>10</v>
      </c>
      <c r="L5" s="350">
        <v>11</v>
      </c>
      <c r="M5" s="350">
        <v>12</v>
      </c>
      <c r="N5" s="350">
        <v>13</v>
      </c>
      <c r="O5" s="350">
        <v>14</v>
      </c>
      <c r="P5" s="350">
        <v>15</v>
      </c>
      <c r="Q5" s="350">
        <v>16</v>
      </c>
      <c r="R5" s="350">
        <v>17</v>
      </c>
      <c r="S5" s="350">
        <v>18</v>
      </c>
      <c r="T5" s="350">
        <v>19</v>
      </c>
      <c r="U5" s="350">
        <v>20</v>
      </c>
      <c r="V5" s="350">
        <v>21</v>
      </c>
      <c r="W5" s="350">
        <v>22</v>
      </c>
      <c r="X5" s="350">
        <v>23</v>
      </c>
      <c r="Y5" s="350">
        <v>24</v>
      </c>
      <c r="Z5" s="350">
        <v>25</v>
      </c>
      <c r="AA5" s="350">
        <v>26</v>
      </c>
    </row>
    <row r="6" spans="1:27" s="37" customFormat="1" ht="9.9499999999999993" customHeight="1">
      <c r="A6" s="64">
        <f>IF(B6="","",1)</f>
        <v>1</v>
      </c>
      <c r="B6" s="53" t="str">
        <f>IF(Διαμερίσματα!B6="","",Διαμερίσματα!B6)</f>
        <v>Κ1</v>
      </c>
      <c r="C6" s="53">
        <f>IF(Διαμερίσματα!B6="","",Διαμερίσματα!E6)</f>
        <v>50</v>
      </c>
      <c r="D6" s="35">
        <v>2310</v>
      </c>
      <c r="E6" s="35">
        <v>231</v>
      </c>
      <c r="F6" s="36">
        <v>495</v>
      </c>
      <c r="G6" s="54">
        <f>IF(B6="","",E6+F6)</f>
        <v>726</v>
      </c>
      <c r="H6" s="55">
        <f>IF(B6="","",C6*$T$2)</f>
        <v>135</v>
      </c>
      <c r="I6" s="56">
        <f>IF(B6="","",H6*$V$2+G6)</f>
        <v>2897.9008264462809</v>
      </c>
      <c r="J6" s="165">
        <f t="shared" ref="J6:J14" si="0">IF(B6="","",I6/$I$28)</f>
        <v>3.7806925328718606E-2</v>
      </c>
      <c r="K6" s="377">
        <v>40</v>
      </c>
      <c r="L6" s="377">
        <v>60</v>
      </c>
      <c r="M6" s="57">
        <f>IF(B6="","",K6/L6)</f>
        <v>0.66666666666666663</v>
      </c>
      <c r="N6" s="274">
        <f>IF(B6="","",IF(OR(AA6="π",AA6="δ"),0.55,0.65))</f>
        <v>0.55000000000000004</v>
      </c>
      <c r="O6" s="274">
        <f>$O$4</f>
        <v>0.06</v>
      </c>
      <c r="P6" s="55">
        <f>IF(B6="","",C6)</f>
        <v>50</v>
      </c>
      <c r="Q6" s="57">
        <f t="shared" ref="Q6:Q15" si="1">IF(B6="","",IF(C6&lt;40,0.12,IF(C6&lt;75,0.08,IF(C6&lt;110,0.04,0))))</f>
        <v>0.08</v>
      </c>
      <c r="R6" s="274">
        <f>IF(B6="","",IF(M6&lt;=0.2,0,IF(M6&lt;=0.35,0.05,IF(M6&lt;=0.5,0.1,IF(M6&lt;=0.65,0.15,0.2)))))</f>
        <v>0.2</v>
      </c>
      <c r="S6" s="57">
        <f t="shared" ref="S6:S15" si="2">IF(B6="","",O6+Q6+R6)</f>
        <v>0.34</v>
      </c>
      <c r="T6" s="166">
        <f t="shared" ref="T6:T14" si="3">IF(B6="","",N6-S6)</f>
        <v>0.21000000000000002</v>
      </c>
      <c r="U6" s="55">
        <v>0</v>
      </c>
      <c r="V6" s="394"/>
      <c r="W6" s="395"/>
      <c r="X6" s="58">
        <f t="shared" ref="X6:X15" si="4">IF(B6="","",T6*J6)</f>
        <v>7.9394543190309079E-3</v>
      </c>
      <c r="Y6" s="396"/>
      <c r="Z6" s="57">
        <f t="shared" ref="Z6:Z15" si="5">IF(B6="","",J6*100)</f>
        <v>3.7806925328718606</v>
      </c>
      <c r="AA6" s="5" t="s">
        <v>161</v>
      </c>
    </row>
    <row r="7" spans="1:27" s="37" customFormat="1" ht="9.9499999999999993" customHeight="1">
      <c r="A7" s="64">
        <f>IF(B7="","",A6+1)</f>
        <v>2</v>
      </c>
      <c r="B7" s="53" t="str">
        <f>IF(Διαμερίσματα!B7="","",Διαμερίσματα!B7)</f>
        <v>Κ2</v>
      </c>
      <c r="C7" s="53">
        <f>IF(Διαμερίσματα!B7="","",Διαμερίσματα!E7)</f>
        <v>60</v>
      </c>
      <c r="D7" s="35">
        <v>3850</v>
      </c>
      <c r="E7" s="35">
        <v>385</v>
      </c>
      <c r="F7" s="36">
        <v>825</v>
      </c>
      <c r="G7" s="54">
        <f t="shared" ref="G7:G15" si="6">IF(B7="","",E7+F7)</f>
        <v>1210</v>
      </c>
      <c r="H7" s="55">
        <f t="shared" ref="H7:H15" si="7">IF(B7="","",C7*$T$2)</f>
        <v>162</v>
      </c>
      <c r="I7" s="56">
        <f t="shared" ref="I7:I15" si="8">IF(B7="","",H7*$V$2+G7)</f>
        <v>3816.2809917355376</v>
      </c>
      <c r="J7" s="165">
        <f t="shared" si="0"/>
        <v>4.9788401718663243E-2</v>
      </c>
      <c r="K7" s="377">
        <v>50</v>
      </c>
      <c r="L7" s="377">
        <v>80</v>
      </c>
      <c r="M7" s="57">
        <f t="shared" ref="M7:M15" si="9">IF(B7="","",K7/L7)</f>
        <v>0.625</v>
      </c>
      <c r="N7" s="274">
        <f t="shared" ref="N7:N15" si="10">IF(B7="","",IF(OR(AA7="π",AA7="δ"),0.55,0.65))</f>
        <v>0.55000000000000004</v>
      </c>
      <c r="O7" s="274">
        <f t="shared" ref="O7:O27" si="11">$O$4</f>
        <v>0.06</v>
      </c>
      <c r="P7" s="55">
        <f t="shared" ref="P7:P15" si="12">IF(B7="","",C7)</f>
        <v>60</v>
      </c>
      <c r="Q7" s="57">
        <f t="shared" si="1"/>
        <v>0.08</v>
      </c>
      <c r="R7" s="274">
        <f t="shared" ref="R7:R15" si="13">IF(B7="","",IF(M7&lt;=0.2,0,IF(M7&lt;=0.35,0.05,IF(M7&lt;=0.5,0.1,IF(M7&lt;=0.65,0.15,0.2)))))</f>
        <v>0.15</v>
      </c>
      <c r="S7" s="57">
        <f t="shared" si="2"/>
        <v>0.29000000000000004</v>
      </c>
      <c r="T7" s="166">
        <f t="shared" si="3"/>
        <v>0.26</v>
      </c>
      <c r="U7" s="55">
        <v>0</v>
      </c>
      <c r="V7" s="394"/>
      <c r="W7" s="395"/>
      <c r="X7" s="58">
        <f t="shared" si="4"/>
        <v>1.2944984446852444E-2</v>
      </c>
      <c r="Y7" s="396"/>
      <c r="Z7" s="57">
        <f t="shared" si="5"/>
        <v>4.9788401718663247</v>
      </c>
      <c r="AA7" s="5" t="s">
        <v>161</v>
      </c>
    </row>
    <row r="8" spans="1:27" s="37" customFormat="1" ht="9.9499999999999993" customHeight="1">
      <c r="A8" s="64">
        <f t="shared" ref="A8:A15" si="14">IF(B8="","",A7+1)</f>
        <v>3</v>
      </c>
      <c r="B8" s="53" t="str">
        <f>IF(Διαμερίσματα!B8="","",Διαμερίσματα!B8)</f>
        <v>Κ3</v>
      </c>
      <c r="C8" s="53">
        <f>IF(Διαμερίσματα!B8="","",Διαμερίσματα!E8)</f>
        <v>50</v>
      </c>
      <c r="D8" s="35">
        <v>5390</v>
      </c>
      <c r="E8" s="35">
        <v>539</v>
      </c>
      <c r="F8" s="36">
        <v>1155</v>
      </c>
      <c r="G8" s="54">
        <f t="shared" si="6"/>
        <v>1694</v>
      </c>
      <c r="H8" s="55">
        <f t="shared" si="7"/>
        <v>135</v>
      </c>
      <c r="I8" s="56">
        <f t="shared" si="8"/>
        <v>3865.9008264462809</v>
      </c>
      <c r="J8" s="165">
        <f t="shared" si="0"/>
        <v>5.0435757683578358E-2</v>
      </c>
      <c r="K8" s="377">
        <v>60</v>
      </c>
      <c r="L8" s="377">
        <v>90</v>
      </c>
      <c r="M8" s="57">
        <f t="shared" si="9"/>
        <v>0.66666666666666663</v>
      </c>
      <c r="N8" s="274">
        <f t="shared" si="10"/>
        <v>0.55000000000000004</v>
      </c>
      <c r="O8" s="274">
        <f t="shared" si="11"/>
        <v>0.06</v>
      </c>
      <c r="P8" s="55">
        <f t="shared" si="12"/>
        <v>50</v>
      </c>
      <c r="Q8" s="57">
        <f t="shared" si="1"/>
        <v>0.08</v>
      </c>
      <c r="R8" s="274">
        <f t="shared" si="13"/>
        <v>0.2</v>
      </c>
      <c r="S8" s="57">
        <f t="shared" si="2"/>
        <v>0.34</v>
      </c>
      <c r="T8" s="166">
        <f t="shared" si="3"/>
        <v>0.21000000000000002</v>
      </c>
      <c r="U8" s="55">
        <v>0</v>
      </c>
      <c r="V8" s="394"/>
      <c r="W8" s="395"/>
      <c r="X8" s="58">
        <f t="shared" si="4"/>
        <v>1.0591509113551457E-2</v>
      </c>
      <c r="Y8" s="396"/>
      <c r="Z8" s="57">
        <f t="shared" si="5"/>
        <v>5.0435757683578357</v>
      </c>
      <c r="AA8" s="5" t="s">
        <v>161</v>
      </c>
    </row>
    <row r="9" spans="1:27" s="37" customFormat="1" ht="9.9499999999999993" customHeight="1">
      <c r="A9" s="64">
        <f t="shared" si="14"/>
        <v>4</v>
      </c>
      <c r="B9" s="53" t="str">
        <f>IF(Διαμερίσματα!B9="","",Διαμερίσματα!B9)</f>
        <v>Α1</v>
      </c>
      <c r="C9" s="53">
        <f>IF(Διαμερίσματα!B9="","",Διαμερίσματα!E9)</f>
        <v>60</v>
      </c>
      <c r="D9" s="35">
        <v>2100</v>
      </c>
      <c r="E9" s="35">
        <v>210</v>
      </c>
      <c r="F9" s="36">
        <v>450</v>
      </c>
      <c r="G9" s="54">
        <f t="shared" si="6"/>
        <v>660</v>
      </c>
      <c r="H9" s="55">
        <f t="shared" si="7"/>
        <v>162</v>
      </c>
      <c r="I9" s="56">
        <f t="shared" si="8"/>
        <v>3266.2809917355376</v>
      </c>
      <c r="J9" s="165">
        <f t="shared" si="0"/>
        <v>4.2612928789765657E-2</v>
      </c>
      <c r="K9" s="377">
        <v>40</v>
      </c>
      <c r="L9" s="377">
        <v>60</v>
      </c>
      <c r="M9" s="57">
        <f t="shared" si="9"/>
        <v>0.66666666666666663</v>
      </c>
      <c r="N9" s="274">
        <f t="shared" si="10"/>
        <v>0.65</v>
      </c>
      <c r="O9" s="274">
        <f t="shared" si="11"/>
        <v>0.06</v>
      </c>
      <c r="P9" s="55">
        <f t="shared" si="12"/>
        <v>60</v>
      </c>
      <c r="Q9" s="57">
        <f t="shared" si="1"/>
        <v>0.08</v>
      </c>
      <c r="R9" s="274">
        <f t="shared" si="13"/>
        <v>0.2</v>
      </c>
      <c r="S9" s="57">
        <f t="shared" si="2"/>
        <v>0.34</v>
      </c>
      <c r="T9" s="166">
        <f t="shared" si="3"/>
        <v>0.31</v>
      </c>
      <c r="U9" s="55">
        <v>0</v>
      </c>
      <c r="V9" s="394"/>
      <c r="W9" s="395"/>
      <c r="X9" s="58">
        <f t="shared" si="4"/>
        <v>1.3210007924827353E-2</v>
      </c>
      <c r="Y9" s="396"/>
      <c r="Z9" s="57">
        <f t="shared" si="5"/>
        <v>4.2612928789765654</v>
      </c>
      <c r="AA9" s="5"/>
    </row>
    <row r="10" spans="1:27" s="37" customFormat="1" ht="9.9499999999999993" customHeight="1">
      <c r="A10" s="64">
        <f t="shared" si="14"/>
        <v>5</v>
      </c>
      <c r="B10" s="53" t="str">
        <f>IF(Διαμερίσματα!B10="","",Διαμερίσματα!B10)</f>
        <v>Α2</v>
      </c>
      <c r="C10" s="53">
        <f>IF(Διαμερίσματα!B10="","",Διαμερίσματα!E10)</f>
        <v>50</v>
      </c>
      <c r="D10" s="35">
        <v>3500</v>
      </c>
      <c r="E10" s="35">
        <v>350</v>
      </c>
      <c r="F10" s="36">
        <v>750</v>
      </c>
      <c r="G10" s="54">
        <f t="shared" si="6"/>
        <v>1100</v>
      </c>
      <c r="H10" s="55">
        <f t="shared" si="7"/>
        <v>135</v>
      </c>
      <c r="I10" s="56">
        <f t="shared" si="8"/>
        <v>3271.9008264462809</v>
      </c>
      <c r="J10" s="165">
        <f t="shared" si="0"/>
        <v>4.2686246920368959E-2</v>
      </c>
      <c r="K10" s="377">
        <v>50</v>
      </c>
      <c r="L10" s="377">
        <v>80</v>
      </c>
      <c r="M10" s="57">
        <f t="shared" si="9"/>
        <v>0.625</v>
      </c>
      <c r="N10" s="274">
        <f t="shared" si="10"/>
        <v>0.65</v>
      </c>
      <c r="O10" s="274">
        <f t="shared" si="11"/>
        <v>0.06</v>
      </c>
      <c r="P10" s="55">
        <f t="shared" si="12"/>
        <v>50</v>
      </c>
      <c r="Q10" s="57">
        <f t="shared" si="1"/>
        <v>0.08</v>
      </c>
      <c r="R10" s="274">
        <f t="shared" si="13"/>
        <v>0.15</v>
      </c>
      <c r="S10" s="57">
        <f t="shared" si="2"/>
        <v>0.29000000000000004</v>
      </c>
      <c r="T10" s="166">
        <f t="shared" si="3"/>
        <v>0.36</v>
      </c>
      <c r="U10" s="55">
        <v>0</v>
      </c>
      <c r="V10" s="394"/>
      <c r="W10" s="395"/>
      <c r="X10" s="58">
        <f t="shared" si="4"/>
        <v>1.5367048891332825E-2</v>
      </c>
      <c r="Y10" s="396"/>
      <c r="Z10" s="57">
        <f t="shared" si="5"/>
        <v>4.2686246920368962</v>
      </c>
      <c r="AA10" s="5"/>
    </row>
    <row r="11" spans="1:27" s="37" customFormat="1" ht="9.9499999999999993" customHeight="1">
      <c r="A11" s="64">
        <f t="shared" si="14"/>
        <v>6</v>
      </c>
      <c r="B11" s="53" t="str">
        <f>IF(Διαμερίσματα!B11="","",Διαμερίσματα!B11)</f>
        <v>Α3</v>
      </c>
      <c r="C11" s="53">
        <f>IF(Διαμερίσματα!B11="","",Διαμερίσματα!E11)</f>
        <v>60</v>
      </c>
      <c r="D11" s="35">
        <v>4900</v>
      </c>
      <c r="E11" s="35">
        <v>490</v>
      </c>
      <c r="F11" s="36">
        <v>1050</v>
      </c>
      <c r="G11" s="54">
        <f t="shared" si="6"/>
        <v>1540</v>
      </c>
      <c r="H11" s="55">
        <f t="shared" si="7"/>
        <v>162</v>
      </c>
      <c r="I11" s="56">
        <f t="shared" si="8"/>
        <v>4146.2809917355371</v>
      </c>
      <c r="J11" s="165">
        <f t="shared" si="0"/>
        <v>5.4093685476001789E-2</v>
      </c>
      <c r="K11" s="377">
        <v>60</v>
      </c>
      <c r="L11" s="377">
        <v>90</v>
      </c>
      <c r="M11" s="57">
        <f t="shared" si="9"/>
        <v>0.66666666666666663</v>
      </c>
      <c r="N11" s="274">
        <f t="shared" si="10"/>
        <v>0.65</v>
      </c>
      <c r="O11" s="274">
        <f t="shared" si="11"/>
        <v>0.06</v>
      </c>
      <c r="P11" s="55">
        <f t="shared" si="12"/>
        <v>60</v>
      </c>
      <c r="Q11" s="57">
        <f t="shared" si="1"/>
        <v>0.08</v>
      </c>
      <c r="R11" s="274">
        <f t="shared" si="13"/>
        <v>0.2</v>
      </c>
      <c r="S11" s="57">
        <f t="shared" si="2"/>
        <v>0.34</v>
      </c>
      <c r="T11" s="166">
        <f t="shared" si="3"/>
        <v>0.31</v>
      </c>
      <c r="U11" s="55">
        <v>0</v>
      </c>
      <c r="V11" s="394"/>
      <c r="W11" s="395"/>
      <c r="X11" s="58">
        <f t="shared" si="4"/>
        <v>1.6769042497560553E-2</v>
      </c>
      <c r="Y11" s="396"/>
      <c r="Z11" s="57">
        <f t="shared" si="5"/>
        <v>5.4093685476001792</v>
      </c>
      <c r="AA11" s="5"/>
    </row>
    <row r="12" spans="1:27" s="37" customFormat="1" ht="9.9499999999999993" customHeight="1">
      <c r="A12" s="64">
        <f t="shared" si="14"/>
        <v>7</v>
      </c>
      <c r="B12" s="53" t="str">
        <f>IF(Διαμερίσματα!B12="","",Διαμερίσματα!B12)</f>
        <v>Α4</v>
      </c>
      <c r="C12" s="53">
        <f>IF(Διαμερίσματα!B12="","",Διαμερίσματα!E12)</f>
        <v>50</v>
      </c>
      <c r="D12" s="35">
        <v>2100</v>
      </c>
      <c r="E12" s="35">
        <v>210</v>
      </c>
      <c r="F12" s="36">
        <v>450</v>
      </c>
      <c r="G12" s="54">
        <f t="shared" si="6"/>
        <v>660</v>
      </c>
      <c r="H12" s="55">
        <f t="shared" si="7"/>
        <v>135</v>
      </c>
      <c r="I12" s="56">
        <f t="shared" si="8"/>
        <v>2831.9008264462809</v>
      </c>
      <c r="J12" s="165">
        <f t="shared" si="0"/>
        <v>3.6945868577250893E-2</v>
      </c>
      <c r="K12" s="377">
        <v>40</v>
      </c>
      <c r="L12" s="377">
        <v>60</v>
      </c>
      <c r="M12" s="57">
        <f t="shared" si="9"/>
        <v>0.66666666666666663</v>
      </c>
      <c r="N12" s="274">
        <f t="shared" si="10"/>
        <v>0.65</v>
      </c>
      <c r="O12" s="274">
        <f t="shared" si="11"/>
        <v>0.06</v>
      </c>
      <c r="P12" s="55">
        <f t="shared" si="12"/>
        <v>50</v>
      </c>
      <c r="Q12" s="57">
        <f t="shared" si="1"/>
        <v>0.08</v>
      </c>
      <c r="R12" s="274">
        <f t="shared" si="13"/>
        <v>0.2</v>
      </c>
      <c r="S12" s="57">
        <f t="shared" si="2"/>
        <v>0.34</v>
      </c>
      <c r="T12" s="166">
        <f t="shared" si="3"/>
        <v>0.31</v>
      </c>
      <c r="U12" s="55">
        <v>0</v>
      </c>
      <c r="V12" s="394"/>
      <c r="W12" s="395"/>
      <c r="X12" s="58">
        <f t="shared" si="4"/>
        <v>1.1453219258947777E-2</v>
      </c>
      <c r="Y12" s="396"/>
      <c r="Z12" s="57">
        <f t="shared" si="5"/>
        <v>3.6945868577250893</v>
      </c>
      <c r="AA12" s="5"/>
    </row>
    <row r="13" spans="1:27" s="37" customFormat="1" ht="9.9499999999999993" customHeight="1">
      <c r="A13" s="64">
        <f t="shared" si="14"/>
        <v>8</v>
      </c>
      <c r="B13" s="53" t="str">
        <f>IF(Διαμερίσματα!B13="","",Διαμερίσματα!B13)</f>
        <v>Β1</v>
      </c>
      <c r="C13" s="53">
        <f>IF(Διαμερίσματα!B13="","",Διαμερίσματα!E13)</f>
        <v>60</v>
      </c>
      <c r="D13" s="35">
        <v>3500</v>
      </c>
      <c r="E13" s="35">
        <v>350</v>
      </c>
      <c r="F13" s="36">
        <v>750</v>
      </c>
      <c r="G13" s="54">
        <f t="shared" si="6"/>
        <v>1100</v>
      </c>
      <c r="H13" s="55">
        <f t="shared" si="7"/>
        <v>162</v>
      </c>
      <c r="I13" s="56">
        <f t="shared" si="8"/>
        <v>3706.2809917355376</v>
      </c>
      <c r="J13" s="165">
        <f t="shared" si="0"/>
        <v>4.8353307132883723E-2</v>
      </c>
      <c r="K13" s="377">
        <v>50</v>
      </c>
      <c r="L13" s="377">
        <v>80</v>
      </c>
      <c r="M13" s="57">
        <f t="shared" si="9"/>
        <v>0.625</v>
      </c>
      <c r="N13" s="274">
        <f t="shared" si="10"/>
        <v>0.65</v>
      </c>
      <c r="O13" s="274">
        <f t="shared" si="11"/>
        <v>0.06</v>
      </c>
      <c r="P13" s="55">
        <f t="shared" si="12"/>
        <v>60</v>
      </c>
      <c r="Q13" s="57">
        <f t="shared" si="1"/>
        <v>0.08</v>
      </c>
      <c r="R13" s="274">
        <f t="shared" si="13"/>
        <v>0.15</v>
      </c>
      <c r="S13" s="57">
        <f t="shared" si="2"/>
        <v>0.29000000000000004</v>
      </c>
      <c r="T13" s="166">
        <f t="shared" si="3"/>
        <v>0.36</v>
      </c>
      <c r="U13" s="55">
        <v>0</v>
      </c>
      <c r="V13" s="394"/>
      <c r="W13" s="395"/>
      <c r="X13" s="58">
        <f t="shared" si="4"/>
        <v>1.7407190567838141E-2</v>
      </c>
      <c r="Y13" s="396"/>
      <c r="Z13" s="57">
        <f t="shared" si="5"/>
        <v>4.8353307132883723</v>
      </c>
      <c r="AA13" s="5"/>
    </row>
    <row r="14" spans="1:27" s="37" customFormat="1" ht="9.9499999999999993" customHeight="1">
      <c r="A14" s="64">
        <f t="shared" si="14"/>
        <v>9</v>
      </c>
      <c r="B14" s="53" t="str">
        <f>IF(Διαμερίσματα!B14="","",Διαμερίσματα!B14)</f>
        <v>Β2</v>
      </c>
      <c r="C14" s="53">
        <f>IF(Διαμερίσματα!B14="","",Διαμερίσματα!E14)</f>
        <v>50</v>
      </c>
      <c r="D14" s="35">
        <v>4900</v>
      </c>
      <c r="E14" s="35">
        <v>490</v>
      </c>
      <c r="F14" s="36">
        <v>1050</v>
      </c>
      <c r="G14" s="54">
        <f t="shared" si="6"/>
        <v>1540</v>
      </c>
      <c r="H14" s="55">
        <f t="shared" si="7"/>
        <v>135</v>
      </c>
      <c r="I14" s="56">
        <f t="shared" si="8"/>
        <v>3711.9008264462809</v>
      </c>
      <c r="J14" s="165">
        <f t="shared" si="0"/>
        <v>4.8426625263487032E-2</v>
      </c>
      <c r="K14" s="377">
        <v>60</v>
      </c>
      <c r="L14" s="377">
        <v>90</v>
      </c>
      <c r="M14" s="57">
        <f t="shared" si="9"/>
        <v>0.66666666666666663</v>
      </c>
      <c r="N14" s="274">
        <f t="shared" si="10"/>
        <v>0.65</v>
      </c>
      <c r="O14" s="274">
        <f t="shared" si="11"/>
        <v>0.06</v>
      </c>
      <c r="P14" s="55">
        <f t="shared" si="12"/>
        <v>50</v>
      </c>
      <c r="Q14" s="57">
        <f t="shared" si="1"/>
        <v>0.08</v>
      </c>
      <c r="R14" s="274">
        <f t="shared" si="13"/>
        <v>0.2</v>
      </c>
      <c r="S14" s="57">
        <f t="shared" si="2"/>
        <v>0.34</v>
      </c>
      <c r="T14" s="166">
        <f t="shared" si="3"/>
        <v>0.31</v>
      </c>
      <c r="U14" s="55">
        <v>0</v>
      </c>
      <c r="V14" s="394"/>
      <c r="W14" s="395"/>
      <c r="X14" s="58">
        <f t="shared" si="4"/>
        <v>1.5012253831680979E-2</v>
      </c>
      <c r="Y14" s="396"/>
      <c r="Z14" s="57">
        <f t="shared" si="5"/>
        <v>4.8426625263487031</v>
      </c>
      <c r="AA14" s="5"/>
    </row>
    <row r="15" spans="1:27" s="37" customFormat="1" ht="9.9499999999999993" customHeight="1">
      <c r="A15" s="64">
        <f t="shared" si="14"/>
        <v>10</v>
      </c>
      <c r="B15" s="53" t="str">
        <f>IF(Διαμερίσματα!B15="","",Διαμερίσματα!B15)</f>
        <v>Β3</v>
      </c>
      <c r="C15" s="53">
        <f>IF(Διαμερίσματα!B15="","",Διαμερίσματα!E15)</f>
        <v>60</v>
      </c>
      <c r="D15" s="35">
        <v>2100</v>
      </c>
      <c r="E15" s="35">
        <v>210</v>
      </c>
      <c r="F15" s="36">
        <v>450</v>
      </c>
      <c r="G15" s="54">
        <f t="shared" si="6"/>
        <v>660</v>
      </c>
      <c r="H15" s="55">
        <f t="shared" si="7"/>
        <v>162</v>
      </c>
      <c r="I15" s="56">
        <f t="shared" si="8"/>
        <v>3266.2809917355376</v>
      </c>
      <c r="J15" s="165">
        <f t="shared" ref="J15" si="15">IF(B15="","",I15/$I$28)</f>
        <v>4.2612928789765657E-2</v>
      </c>
      <c r="K15" s="377">
        <v>40</v>
      </c>
      <c r="L15" s="377">
        <v>60</v>
      </c>
      <c r="M15" s="57">
        <f t="shared" si="9"/>
        <v>0.66666666666666663</v>
      </c>
      <c r="N15" s="274">
        <f t="shared" si="10"/>
        <v>0.65</v>
      </c>
      <c r="O15" s="274">
        <f t="shared" si="11"/>
        <v>0.06</v>
      </c>
      <c r="P15" s="55">
        <f t="shared" si="12"/>
        <v>60</v>
      </c>
      <c r="Q15" s="57">
        <f t="shared" si="1"/>
        <v>0.08</v>
      </c>
      <c r="R15" s="274">
        <f t="shared" si="13"/>
        <v>0.2</v>
      </c>
      <c r="S15" s="57">
        <f t="shared" si="2"/>
        <v>0.34</v>
      </c>
      <c r="T15" s="166">
        <f t="shared" ref="T15" si="16">IF(B15="","",N15-S15)</f>
        <v>0.31</v>
      </c>
      <c r="U15" s="55">
        <v>0</v>
      </c>
      <c r="V15" s="394"/>
      <c r="W15" s="395"/>
      <c r="X15" s="58">
        <f t="shared" si="4"/>
        <v>1.3210007924827353E-2</v>
      </c>
      <c r="Y15" s="396"/>
      <c r="Z15" s="57">
        <f t="shared" si="5"/>
        <v>4.2612928789765654</v>
      </c>
      <c r="AA15" s="5"/>
    </row>
    <row r="16" spans="1:27" s="37" customFormat="1" ht="9.9499999999999993" customHeight="1">
      <c r="A16" s="64">
        <f t="shared" ref="A16" si="17">IF(B16="","",A15+1)</f>
        <v>11</v>
      </c>
      <c r="B16" s="53" t="str">
        <f>IF(Διαμερίσματα!B16="","",Διαμερίσματα!B16)</f>
        <v>Β4</v>
      </c>
      <c r="C16" s="53">
        <f>IF(Διαμερίσματα!B16="","",Διαμερίσματα!E16)</f>
        <v>50</v>
      </c>
      <c r="D16" s="35">
        <v>3500</v>
      </c>
      <c r="E16" s="35">
        <v>350</v>
      </c>
      <c r="F16" s="36">
        <v>750</v>
      </c>
      <c r="G16" s="54">
        <f t="shared" ref="G16" si="18">IF(B16="","",E16+F16)</f>
        <v>1100</v>
      </c>
      <c r="H16" s="55">
        <f t="shared" ref="H16" si="19">IF(B16="","",C16*$T$2)</f>
        <v>135</v>
      </c>
      <c r="I16" s="56">
        <f t="shared" ref="I16" si="20">IF(B16="","",H16*$V$2+G16)</f>
        <v>3271.9008264462809</v>
      </c>
      <c r="J16" s="165">
        <f>IF(B16="","",I16/$I$28)</f>
        <v>4.2686246920368959E-2</v>
      </c>
      <c r="K16" s="377">
        <v>50</v>
      </c>
      <c r="L16" s="377">
        <v>80</v>
      </c>
      <c r="M16" s="57">
        <f t="shared" ref="M16" si="21">IF(B16="","",K16/L16)</f>
        <v>0.625</v>
      </c>
      <c r="N16" s="274">
        <f t="shared" ref="N16" si="22">IF(B16="","",IF(OR(AA16="π",AA16="δ"),0.55,0.65))</f>
        <v>0.65</v>
      </c>
      <c r="O16" s="274">
        <f t="shared" si="11"/>
        <v>0.06</v>
      </c>
      <c r="P16" s="55">
        <f t="shared" ref="P16" si="23">IF(B16="","",C16)</f>
        <v>50</v>
      </c>
      <c r="Q16" s="57">
        <f t="shared" ref="Q16" si="24">IF(B16="","",IF(C16&lt;40,0.12,IF(C16&lt;75,0.08,IF(C16&lt;110,0.04,0))))</f>
        <v>0.08</v>
      </c>
      <c r="R16" s="274">
        <f t="shared" ref="R16" si="25">IF(B16="","",IF(M16&lt;=0.2,0,IF(M16&lt;=0.35,0.05,IF(M16&lt;=0.5,0.1,IF(M16&lt;=0.65,0.15,0.2)))))</f>
        <v>0.15</v>
      </c>
      <c r="S16" s="57">
        <f t="shared" ref="S16" si="26">IF(B16="","",O16+Q16+R16)</f>
        <v>0.29000000000000004</v>
      </c>
      <c r="T16" s="166">
        <f t="shared" ref="T16" si="27">IF(B16="","",N16-S16)</f>
        <v>0.36</v>
      </c>
      <c r="U16" s="55">
        <v>0</v>
      </c>
      <c r="V16" s="394"/>
      <c r="W16" s="395"/>
      <c r="X16" s="58">
        <f t="shared" ref="X16" si="28">IF(B16="","",T16*J16)</f>
        <v>1.5367048891332825E-2</v>
      </c>
      <c r="Y16" s="396"/>
      <c r="Z16" s="57">
        <f t="shared" ref="Z16" si="29">IF(B16="","",J16*100)</f>
        <v>4.2686246920368962</v>
      </c>
      <c r="AA16" s="5"/>
    </row>
    <row r="17" spans="1:27" s="37" customFormat="1" ht="9.9499999999999993" customHeight="1">
      <c r="A17" s="64">
        <f t="shared" ref="A17:A27" si="30">IF(B17="","",A16+1)</f>
        <v>12</v>
      </c>
      <c r="B17" s="53" t="str">
        <f>IF(Διαμερίσματα!B17="","",Διαμερίσματα!B17)</f>
        <v>Γ1</v>
      </c>
      <c r="C17" s="53">
        <f>IF(Διαμερίσματα!B17="","",Διαμερίσματα!E17)</f>
        <v>60</v>
      </c>
      <c r="D17" s="35">
        <v>3500</v>
      </c>
      <c r="E17" s="35">
        <v>350</v>
      </c>
      <c r="F17" s="36">
        <v>750</v>
      </c>
      <c r="G17" s="54">
        <f t="shared" ref="G17:G27" si="31">IF(B17="","",E17+F17)</f>
        <v>1100</v>
      </c>
      <c r="H17" s="55">
        <f t="shared" ref="H17:H27" si="32">IF(B17="","",C17*$T$2)</f>
        <v>162</v>
      </c>
      <c r="I17" s="56">
        <f t="shared" ref="I17:I27" si="33">IF(B17="","",H17*$V$2+G17)</f>
        <v>3706.2809917355376</v>
      </c>
      <c r="J17" s="165">
        <f t="shared" ref="J17:J27" si="34">IF(B17="","",I17/$I$28)</f>
        <v>4.8353307132883723E-2</v>
      </c>
      <c r="K17" s="377">
        <v>50</v>
      </c>
      <c r="L17" s="377">
        <v>80</v>
      </c>
      <c r="M17" s="57">
        <f t="shared" ref="M17:M27" si="35">IF(B17="","",K17/L17)</f>
        <v>0.625</v>
      </c>
      <c r="N17" s="274">
        <f t="shared" ref="N17:N27" si="36">IF(B17="","",IF(OR(AA17="π",AA17="δ"),0.55,0.65))</f>
        <v>0.65</v>
      </c>
      <c r="O17" s="274">
        <f t="shared" si="11"/>
        <v>0.06</v>
      </c>
      <c r="P17" s="55">
        <f t="shared" ref="P17:P27" si="37">IF(B17="","",C17)</f>
        <v>60</v>
      </c>
      <c r="Q17" s="57">
        <f t="shared" ref="Q17:Q27" si="38">IF(B17="","",IF(C17&lt;40,0.12,IF(C17&lt;75,0.08,IF(C17&lt;110,0.04,0))))</f>
        <v>0.08</v>
      </c>
      <c r="R17" s="274">
        <f t="shared" ref="R17:R27" si="39">IF(B17="","",IF(M17&lt;=0.2,0,IF(M17&lt;=0.35,0.05,IF(M17&lt;=0.5,0.1,IF(M17&lt;=0.65,0.15,0.2)))))</f>
        <v>0.15</v>
      </c>
      <c r="S17" s="57">
        <f t="shared" ref="S17:S27" si="40">IF(B17="","",O17+Q17+R17)</f>
        <v>0.29000000000000004</v>
      </c>
      <c r="T17" s="166">
        <f t="shared" ref="T17:T27" si="41">IF(B17="","",N17-S17)</f>
        <v>0.36</v>
      </c>
      <c r="U17" s="55">
        <v>0</v>
      </c>
      <c r="V17" s="394"/>
      <c r="W17" s="395"/>
      <c r="X17" s="58">
        <f t="shared" ref="X17:X27" si="42">IF(B17="","",T17*J17)</f>
        <v>1.7407190567838141E-2</v>
      </c>
      <c r="Y17" s="396"/>
      <c r="Z17" s="57">
        <f t="shared" ref="Z17:Z27" si="43">IF(B17="","",J17*100)</f>
        <v>4.8353307132883723</v>
      </c>
      <c r="AA17" s="5"/>
    </row>
    <row r="18" spans="1:27" s="37" customFormat="1" ht="9.9499999999999993" customHeight="1">
      <c r="A18" s="64">
        <f t="shared" si="30"/>
        <v>13</v>
      </c>
      <c r="B18" s="53" t="str">
        <f>IF(Διαμερίσματα!B18="","",Διαμερίσματα!B18)</f>
        <v>Γ2</v>
      </c>
      <c r="C18" s="53">
        <f>IF(Διαμερίσματα!B18="","",Διαμερίσματα!E18)</f>
        <v>50</v>
      </c>
      <c r="D18" s="35">
        <v>3500</v>
      </c>
      <c r="E18" s="35">
        <v>350</v>
      </c>
      <c r="F18" s="36">
        <v>750</v>
      </c>
      <c r="G18" s="54">
        <f t="shared" si="31"/>
        <v>1100</v>
      </c>
      <c r="H18" s="55">
        <f t="shared" si="32"/>
        <v>135</v>
      </c>
      <c r="I18" s="56">
        <f t="shared" si="33"/>
        <v>3271.9008264462809</v>
      </c>
      <c r="J18" s="165">
        <f t="shared" si="34"/>
        <v>4.2686246920368959E-2</v>
      </c>
      <c r="K18" s="377">
        <v>50</v>
      </c>
      <c r="L18" s="377">
        <v>80</v>
      </c>
      <c r="M18" s="57">
        <f t="shared" si="35"/>
        <v>0.625</v>
      </c>
      <c r="N18" s="274">
        <f t="shared" si="36"/>
        <v>0.65</v>
      </c>
      <c r="O18" s="274">
        <f t="shared" si="11"/>
        <v>0.06</v>
      </c>
      <c r="P18" s="55">
        <f t="shared" si="37"/>
        <v>50</v>
      </c>
      <c r="Q18" s="57">
        <f t="shared" si="38"/>
        <v>0.08</v>
      </c>
      <c r="R18" s="274">
        <f t="shared" si="39"/>
        <v>0.15</v>
      </c>
      <c r="S18" s="57">
        <f t="shared" si="40"/>
        <v>0.29000000000000004</v>
      </c>
      <c r="T18" s="166">
        <f t="shared" si="41"/>
        <v>0.36</v>
      </c>
      <c r="U18" s="55">
        <v>0</v>
      </c>
      <c r="V18" s="394"/>
      <c r="W18" s="395"/>
      <c r="X18" s="58">
        <f t="shared" si="42"/>
        <v>1.5367048891332825E-2</v>
      </c>
      <c r="Y18" s="396"/>
      <c r="Z18" s="57">
        <f t="shared" si="43"/>
        <v>4.2686246920368962</v>
      </c>
      <c r="AA18" s="5"/>
    </row>
    <row r="19" spans="1:27" s="37" customFormat="1" ht="9.9499999999999993" customHeight="1">
      <c r="A19" s="64">
        <f t="shared" si="30"/>
        <v>14</v>
      </c>
      <c r="B19" s="53" t="str">
        <f>IF(Διαμερίσματα!B19="","",Διαμερίσματα!B19)</f>
        <v>Γ3</v>
      </c>
      <c r="C19" s="53">
        <f>IF(Διαμερίσματα!B19="","",Διαμερίσματα!E19)</f>
        <v>60</v>
      </c>
      <c r="D19" s="35">
        <v>3500</v>
      </c>
      <c r="E19" s="35">
        <v>350</v>
      </c>
      <c r="F19" s="36">
        <v>750</v>
      </c>
      <c r="G19" s="54">
        <f t="shared" si="31"/>
        <v>1100</v>
      </c>
      <c r="H19" s="55">
        <f t="shared" si="32"/>
        <v>162</v>
      </c>
      <c r="I19" s="56">
        <f t="shared" si="33"/>
        <v>3706.2809917355376</v>
      </c>
      <c r="J19" s="165">
        <f t="shared" si="34"/>
        <v>4.8353307132883723E-2</v>
      </c>
      <c r="K19" s="377">
        <v>50</v>
      </c>
      <c r="L19" s="377">
        <v>80</v>
      </c>
      <c r="M19" s="57">
        <f t="shared" si="35"/>
        <v>0.625</v>
      </c>
      <c r="N19" s="274">
        <f t="shared" si="36"/>
        <v>0.65</v>
      </c>
      <c r="O19" s="274">
        <f t="shared" si="11"/>
        <v>0.06</v>
      </c>
      <c r="P19" s="55">
        <f t="shared" si="37"/>
        <v>60</v>
      </c>
      <c r="Q19" s="57">
        <f t="shared" si="38"/>
        <v>0.08</v>
      </c>
      <c r="R19" s="274">
        <f t="shared" si="39"/>
        <v>0.15</v>
      </c>
      <c r="S19" s="57">
        <f t="shared" si="40"/>
        <v>0.29000000000000004</v>
      </c>
      <c r="T19" s="166">
        <f t="shared" si="41"/>
        <v>0.36</v>
      </c>
      <c r="U19" s="55">
        <v>0</v>
      </c>
      <c r="V19" s="394"/>
      <c r="W19" s="395"/>
      <c r="X19" s="58">
        <f t="shared" si="42"/>
        <v>1.7407190567838141E-2</v>
      </c>
      <c r="Y19" s="396"/>
      <c r="Z19" s="57">
        <f t="shared" si="43"/>
        <v>4.8353307132883723</v>
      </c>
      <c r="AA19" s="5"/>
    </row>
    <row r="20" spans="1:27" s="37" customFormat="1" ht="9.9499999999999993" customHeight="1">
      <c r="A20" s="64">
        <f t="shared" si="30"/>
        <v>15</v>
      </c>
      <c r="B20" s="53" t="str">
        <f>IF(Διαμερίσματα!B20="","",Διαμερίσματα!B20)</f>
        <v>Γ4</v>
      </c>
      <c r="C20" s="53">
        <f>IF(Διαμερίσματα!B20="","",Διαμερίσματα!E20)</f>
        <v>50</v>
      </c>
      <c r="D20" s="35">
        <v>3500</v>
      </c>
      <c r="E20" s="35">
        <v>350</v>
      </c>
      <c r="F20" s="36">
        <v>750</v>
      </c>
      <c r="G20" s="54">
        <f t="shared" si="31"/>
        <v>1100</v>
      </c>
      <c r="H20" s="55">
        <f t="shared" si="32"/>
        <v>135</v>
      </c>
      <c r="I20" s="56">
        <f t="shared" si="33"/>
        <v>3271.9008264462809</v>
      </c>
      <c r="J20" s="165">
        <f t="shared" si="34"/>
        <v>4.2686246920368959E-2</v>
      </c>
      <c r="K20" s="377">
        <v>50</v>
      </c>
      <c r="L20" s="377">
        <v>80</v>
      </c>
      <c r="M20" s="57">
        <f t="shared" si="35"/>
        <v>0.625</v>
      </c>
      <c r="N20" s="274">
        <f t="shared" si="36"/>
        <v>0.65</v>
      </c>
      <c r="O20" s="274">
        <f t="shared" si="11"/>
        <v>0.06</v>
      </c>
      <c r="P20" s="55">
        <f t="shared" si="37"/>
        <v>50</v>
      </c>
      <c r="Q20" s="57">
        <f t="shared" si="38"/>
        <v>0.08</v>
      </c>
      <c r="R20" s="274">
        <f t="shared" si="39"/>
        <v>0.15</v>
      </c>
      <c r="S20" s="57">
        <f t="shared" si="40"/>
        <v>0.29000000000000004</v>
      </c>
      <c r="T20" s="166">
        <f t="shared" si="41"/>
        <v>0.36</v>
      </c>
      <c r="U20" s="55">
        <v>0</v>
      </c>
      <c r="V20" s="394"/>
      <c r="W20" s="395"/>
      <c r="X20" s="58">
        <f t="shared" si="42"/>
        <v>1.5367048891332825E-2</v>
      </c>
      <c r="Y20" s="396"/>
      <c r="Z20" s="57">
        <f t="shared" si="43"/>
        <v>4.2686246920368962</v>
      </c>
      <c r="AA20" s="5"/>
    </row>
    <row r="21" spans="1:27" s="37" customFormat="1" ht="9.9499999999999993" customHeight="1">
      <c r="A21" s="64">
        <f t="shared" si="30"/>
        <v>16</v>
      </c>
      <c r="B21" s="53" t="str">
        <f>IF(Διαμερίσματα!B21="","",Διαμερίσματα!B21)</f>
        <v>Δ1</v>
      </c>
      <c r="C21" s="53">
        <f>IF(Διαμερίσματα!B21="","",Διαμερίσματα!E21)</f>
        <v>60</v>
      </c>
      <c r="D21" s="35">
        <v>3500</v>
      </c>
      <c r="E21" s="35">
        <v>350</v>
      </c>
      <c r="F21" s="36">
        <v>750</v>
      </c>
      <c r="G21" s="54">
        <f t="shared" si="31"/>
        <v>1100</v>
      </c>
      <c r="H21" s="55">
        <f t="shared" si="32"/>
        <v>162</v>
      </c>
      <c r="I21" s="56">
        <f t="shared" si="33"/>
        <v>3706.2809917355376</v>
      </c>
      <c r="J21" s="165">
        <f t="shared" si="34"/>
        <v>4.8353307132883723E-2</v>
      </c>
      <c r="K21" s="377">
        <v>50</v>
      </c>
      <c r="L21" s="377">
        <v>80</v>
      </c>
      <c r="M21" s="57">
        <f t="shared" si="35"/>
        <v>0.625</v>
      </c>
      <c r="N21" s="274">
        <f t="shared" si="36"/>
        <v>0.65</v>
      </c>
      <c r="O21" s="274">
        <f t="shared" si="11"/>
        <v>0.06</v>
      </c>
      <c r="P21" s="55">
        <f t="shared" si="37"/>
        <v>60</v>
      </c>
      <c r="Q21" s="57">
        <f t="shared" si="38"/>
        <v>0.08</v>
      </c>
      <c r="R21" s="274">
        <f t="shared" si="39"/>
        <v>0.15</v>
      </c>
      <c r="S21" s="57">
        <f t="shared" si="40"/>
        <v>0.29000000000000004</v>
      </c>
      <c r="T21" s="166">
        <f t="shared" si="41"/>
        <v>0.36</v>
      </c>
      <c r="U21" s="55">
        <v>0</v>
      </c>
      <c r="V21" s="394"/>
      <c r="W21" s="395"/>
      <c r="X21" s="58">
        <f t="shared" si="42"/>
        <v>1.7407190567838141E-2</v>
      </c>
      <c r="Y21" s="396"/>
      <c r="Z21" s="57">
        <f t="shared" si="43"/>
        <v>4.8353307132883723</v>
      </c>
      <c r="AA21" s="5"/>
    </row>
    <row r="22" spans="1:27" s="37" customFormat="1" ht="9.9499999999999993" customHeight="1">
      <c r="A22" s="64">
        <f t="shared" si="30"/>
        <v>17</v>
      </c>
      <c r="B22" s="53" t="str">
        <f>IF(Διαμερίσματα!B22="","",Διαμερίσματα!B22)</f>
        <v>Δ2</v>
      </c>
      <c r="C22" s="53">
        <f>IF(Διαμερίσματα!B22="","",Διαμερίσματα!E22)</f>
        <v>50</v>
      </c>
      <c r="D22" s="35">
        <v>3500</v>
      </c>
      <c r="E22" s="35">
        <v>350</v>
      </c>
      <c r="F22" s="36">
        <v>750</v>
      </c>
      <c r="G22" s="54">
        <f t="shared" si="31"/>
        <v>1100</v>
      </c>
      <c r="H22" s="55">
        <f t="shared" si="32"/>
        <v>135</v>
      </c>
      <c r="I22" s="56">
        <f t="shared" si="33"/>
        <v>3271.9008264462809</v>
      </c>
      <c r="J22" s="165">
        <f t="shared" si="34"/>
        <v>4.2686246920368959E-2</v>
      </c>
      <c r="K22" s="377">
        <v>50</v>
      </c>
      <c r="L22" s="377">
        <v>80</v>
      </c>
      <c r="M22" s="57">
        <f t="shared" si="35"/>
        <v>0.625</v>
      </c>
      <c r="N22" s="274">
        <f t="shared" si="36"/>
        <v>0.65</v>
      </c>
      <c r="O22" s="274">
        <f t="shared" si="11"/>
        <v>0.06</v>
      </c>
      <c r="P22" s="55">
        <f t="shared" si="37"/>
        <v>50</v>
      </c>
      <c r="Q22" s="57">
        <f t="shared" si="38"/>
        <v>0.08</v>
      </c>
      <c r="R22" s="274">
        <f t="shared" si="39"/>
        <v>0.15</v>
      </c>
      <c r="S22" s="57">
        <f t="shared" si="40"/>
        <v>0.29000000000000004</v>
      </c>
      <c r="T22" s="166">
        <f t="shared" si="41"/>
        <v>0.36</v>
      </c>
      <c r="U22" s="55">
        <v>0</v>
      </c>
      <c r="V22" s="394"/>
      <c r="W22" s="395"/>
      <c r="X22" s="58">
        <f t="shared" si="42"/>
        <v>1.5367048891332825E-2</v>
      </c>
      <c r="Y22" s="396"/>
      <c r="Z22" s="57">
        <f t="shared" si="43"/>
        <v>4.2686246920368962</v>
      </c>
      <c r="AA22" s="5"/>
    </row>
    <row r="23" spans="1:27" s="37" customFormat="1" ht="9.9499999999999993" customHeight="1">
      <c r="A23" s="64">
        <f t="shared" si="30"/>
        <v>18</v>
      </c>
      <c r="B23" s="53" t="str">
        <f>IF(Διαμερίσματα!B23="","",Διαμερίσματα!B23)</f>
        <v>Δ3</v>
      </c>
      <c r="C23" s="53">
        <f>IF(Διαμερίσματα!B23="","",Διαμερίσματα!E23)</f>
        <v>60</v>
      </c>
      <c r="D23" s="35">
        <v>3500</v>
      </c>
      <c r="E23" s="35">
        <v>350</v>
      </c>
      <c r="F23" s="36">
        <v>750</v>
      </c>
      <c r="G23" s="54">
        <f t="shared" si="31"/>
        <v>1100</v>
      </c>
      <c r="H23" s="55">
        <f t="shared" si="32"/>
        <v>162</v>
      </c>
      <c r="I23" s="56">
        <f t="shared" si="33"/>
        <v>3706.2809917355376</v>
      </c>
      <c r="J23" s="165">
        <f t="shared" si="34"/>
        <v>4.8353307132883723E-2</v>
      </c>
      <c r="K23" s="377">
        <v>50</v>
      </c>
      <c r="L23" s="377">
        <v>80</v>
      </c>
      <c r="M23" s="57">
        <f t="shared" si="35"/>
        <v>0.625</v>
      </c>
      <c r="N23" s="274">
        <f t="shared" si="36"/>
        <v>0.65</v>
      </c>
      <c r="O23" s="274">
        <f t="shared" si="11"/>
        <v>0.06</v>
      </c>
      <c r="P23" s="55">
        <f t="shared" si="37"/>
        <v>60</v>
      </c>
      <c r="Q23" s="57">
        <f t="shared" si="38"/>
        <v>0.08</v>
      </c>
      <c r="R23" s="274">
        <f t="shared" si="39"/>
        <v>0.15</v>
      </c>
      <c r="S23" s="57">
        <f t="shared" si="40"/>
        <v>0.29000000000000004</v>
      </c>
      <c r="T23" s="166">
        <f t="shared" si="41"/>
        <v>0.36</v>
      </c>
      <c r="U23" s="55">
        <v>0</v>
      </c>
      <c r="V23" s="394"/>
      <c r="W23" s="395"/>
      <c r="X23" s="58">
        <f t="shared" si="42"/>
        <v>1.7407190567838141E-2</v>
      </c>
      <c r="Y23" s="396"/>
      <c r="Z23" s="57">
        <f t="shared" si="43"/>
        <v>4.8353307132883723</v>
      </c>
      <c r="AA23" s="5"/>
    </row>
    <row r="24" spans="1:27" s="37" customFormat="1" ht="9.9499999999999993" customHeight="1">
      <c r="A24" s="64">
        <f t="shared" si="30"/>
        <v>19</v>
      </c>
      <c r="B24" s="53" t="str">
        <f>IF(Διαμερίσματα!B24="","",Διαμερίσματα!B24)</f>
        <v>Δ4</v>
      </c>
      <c r="C24" s="53">
        <f>IF(Διαμερίσματα!B24="","",Διαμερίσματα!E24)</f>
        <v>50</v>
      </c>
      <c r="D24" s="35">
        <v>3500</v>
      </c>
      <c r="E24" s="35">
        <v>350</v>
      </c>
      <c r="F24" s="36">
        <v>750</v>
      </c>
      <c r="G24" s="54">
        <f t="shared" si="31"/>
        <v>1100</v>
      </c>
      <c r="H24" s="55">
        <f t="shared" si="32"/>
        <v>135</v>
      </c>
      <c r="I24" s="56">
        <f t="shared" si="33"/>
        <v>3271.9008264462809</v>
      </c>
      <c r="J24" s="165">
        <f t="shared" si="34"/>
        <v>4.2686246920368959E-2</v>
      </c>
      <c r="K24" s="377">
        <v>50</v>
      </c>
      <c r="L24" s="377">
        <v>80</v>
      </c>
      <c r="M24" s="57">
        <f t="shared" si="35"/>
        <v>0.625</v>
      </c>
      <c r="N24" s="274">
        <f t="shared" si="36"/>
        <v>0.65</v>
      </c>
      <c r="O24" s="274">
        <f t="shared" si="11"/>
        <v>0.06</v>
      </c>
      <c r="P24" s="55">
        <f t="shared" si="37"/>
        <v>50</v>
      </c>
      <c r="Q24" s="57">
        <f t="shared" si="38"/>
        <v>0.08</v>
      </c>
      <c r="R24" s="274">
        <f t="shared" si="39"/>
        <v>0.15</v>
      </c>
      <c r="S24" s="57">
        <f t="shared" si="40"/>
        <v>0.29000000000000004</v>
      </c>
      <c r="T24" s="166">
        <f t="shared" si="41"/>
        <v>0.36</v>
      </c>
      <c r="U24" s="55">
        <v>0</v>
      </c>
      <c r="V24" s="394"/>
      <c r="W24" s="395"/>
      <c r="X24" s="58">
        <f t="shared" si="42"/>
        <v>1.5367048891332825E-2</v>
      </c>
      <c r="Y24" s="396"/>
      <c r="Z24" s="57">
        <f t="shared" si="43"/>
        <v>4.2686246920368962</v>
      </c>
      <c r="AA24" s="5"/>
    </row>
    <row r="25" spans="1:27" s="37" customFormat="1" ht="9.9499999999999993" customHeight="1">
      <c r="A25" s="64">
        <f t="shared" si="30"/>
        <v>20</v>
      </c>
      <c r="B25" s="53" t="str">
        <f>IF(Διαμερίσματα!B25="","",Διαμερίσματα!B25)</f>
        <v>Ε1</v>
      </c>
      <c r="C25" s="53">
        <f>IF(Διαμερίσματα!B25="","",Διαμερίσματα!E25)</f>
        <v>60</v>
      </c>
      <c r="D25" s="35">
        <v>3500</v>
      </c>
      <c r="E25" s="35">
        <v>350</v>
      </c>
      <c r="F25" s="36">
        <v>750</v>
      </c>
      <c r="G25" s="54">
        <f t="shared" si="31"/>
        <v>1100</v>
      </c>
      <c r="H25" s="55">
        <f t="shared" si="32"/>
        <v>162</v>
      </c>
      <c r="I25" s="56">
        <f t="shared" si="33"/>
        <v>3706.2809917355376</v>
      </c>
      <c r="J25" s="165">
        <f t="shared" si="34"/>
        <v>4.8353307132883723E-2</v>
      </c>
      <c r="K25" s="377">
        <v>50</v>
      </c>
      <c r="L25" s="377">
        <v>80</v>
      </c>
      <c r="M25" s="57">
        <f t="shared" si="35"/>
        <v>0.625</v>
      </c>
      <c r="N25" s="274">
        <f t="shared" si="36"/>
        <v>0.55000000000000004</v>
      </c>
      <c r="O25" s="274">
        <f t="shared" si="11"/>
        <v>0.06</v>
      </c>
      <c r="P25" s="55">
        <f t="shared" si="37"/>
        <v>60</v>
      </c>
      <c r="Q25" s="57">
        <f t="shared" si="38"/>
        <v>0.08</v>
      </c>
      <c r="R25" s="274">
        <f t="shared" si="39"/>
        <v>0.15</v>
      </c>
      <c r="S25" s="57">
        <f t="shared" si="40"/>
        <v>0.29000000000000004</v>
      </c>
      <c r="T25" s="166">
        <f t="shared" si="41"/>
        <v>0.26</v>
      </c>
      <c r="U25" s="55">
        <v>0</v>
      </c>
      <c r="V25" s="394"/>
      <c r="W25" s="395"/>
      <c r="X25" s="58">
        <f t="shared" si="42"/>
        <v>1.2571859854549769E-2</v>
      </c>
      <c r="Y25" s="396"/>
      <c r="Z25" s="57">
        <f t="shared" si="43"/>
        <v>4.8353307132883723</v>
      </c>
      <c r="AA25" s="5" t="s">
        <v>604</v>
      </c>
    </row>
    <row r="26" spans="1:27" s="37" customFormat="1" ht="9.9499999999999993" customHeight="1">
      <c r="A26" s="64">
        <f t="shared" si="30"/>
        <v>21</v>
      </c>
      <c r="B26" s="53" t="str">
        <f>IF(Διαμερίσματα!B26="","",Διαμερίσματα!B26)</f>
        <v>Ε2</v>
      </c>
      <c r="C26" s="53">
        <f>IF(Διαμερίσματα!B26="","",Διαμερίσματα!E26)</f>
        <v>50</v>
      </c>
      <c r="D26" s="35">
        <v>3500</v>
      </c>
      <c r="E26" s="35">
        <v>350</v>
      </c>
      <c r="F26" s="36">
        <v>750</v>
      </c>
      <c r="G26" s="54">
        <f t="shared" si="31"/>
        <v>1100</v>
      </c>
      <c r="H26" s="55">
        <f t="shared" si="32"/>
        <v>135</v>
      </c>
      <c r="I26" s="56">
        <f t="shared" si="33"/>
        <v>3271.9008264462809</v>
      </c>
      <c r="J26" s="165">
        <f t="shared" si="34"/>
        <v>4.2686246920368959E-2</v>
      </c>
      <c r="K26" s="377">
        <v>50</v>
      </c>
      <c r="L26" s="377">
        <v>80</v>
      </c>
      <c r="M26" s="57">
        <f t="shared" si="35"/>
        <v>0.625</v>
      </c>
      <c r="N26" s="274">
        <f t="shared" si="36"/>
        <v>0.55000000000000004</v>
      </c>
      <c r="O26" s="274">
        <f t="shared" si="11"/>
        <v>0.06</v>
      </c>
      <c r="P26" s="55">
        <f t="shared" si="37"/>
        <v>50</v>
      </c>
      <c r="Q26" s="57">
        <f t="shared" si="38"/>
        <v>0.08</v>
      </c>
      <c r="R26" s="274">
        <f t="shared" si="39"/>
        <v>0.15</v>
      </c>
      <c r="S26" s="57">
        <f t="shared" si="40"/>
        <v>0.29000000000000004</v>
      </c>
      <c r="T26" s="166">
        <f t="shared" si="41"/>
        <v>0.26</v>
      </c>
      <c r="U26" s="55">
        <v>0</v>
      </c>
      <c r="V26" s="394"/>
      <c r="W26" s="395"/>
      <c r="X26" s="58">
        <f t="shared" si="42"/>
        <v>1.109842419929593E-2</v>
      </c>
      <c r="Y26" s="396"/>
      <c r="Z26" s="57">
        <f t="shared" si="43"/>
        <v>4.2686246920368962</v>
      </c>
      <c r="AA26" s="5" t="s">
        <v>604</v>
      </c>
    </row>
    <row r="27" spans="1:27" s="37" customFormat="1" ht="9.9499999999999993" customHeight="1">
      <c r="A27" s="64">
        <f t="shared" si="30"/>
        <v>22</v>
      </c>
      <c r="B27" s="53" t="str">
        <f>IF(Διαμερίσματα!B27="","",Διαμερίσματα!B27)</f>
        <v>Ε3</v>
      </c>
      <c r="C27" s="53">
        <f>IF(Διαμερίσματα!B27="","",Διαμερίσματα!E27)</f>
        <v>60</v>
      </c>
      <c r="D27" s="35">
        <v>3500</v>
      </c>
      <c r="E27" s="35">
        <v>350</v>
      </c>
      <c r="F27" s="36">
        <v>750</v>
      </c>
      <c r="G27" s="54">
        <f t="shared" si="31"/>
        <v>1100</v>
      </c>
      <c r="H27" s="55">
        <f t="shared" si="32"/>
        <v>162</v>
      </c>
      <c r="I27" s="56">
        <f t="shared" si="33"/>
        <v>3706.2809917355376</v>
      </c>
      <c r="J27" s="165">
        <f t="shared" si="34"/>
        <v>4.8353307132883723E-2</v>
      </c>
      <c r="K27" s="377">
        <v>50</v>
      </c>
      <c r="L27" s="377">
        <v>80</v>
      </c>
      <c r="M27" s="57">
        <f t="shared" si="35"/>
        <v>0.625</v>
      </c>
      <c r="N27" s="274">
        <f t="shared" si="36"/>
        <v>0.55000000000000004</v>
      </c>
      <c r="O27" s="274">
        <f t="shared" si="11"/>
        <v>0.06</v>
      </c>
      <c r="P27" s="55">
        <f t="shared" si="37"/>
        <v>60</v>
      </c>
      <c r="Q27" s="57">
        <f t="shared" si="38"/>
        <v>0.08</v>
      </c>
      <c r="R27" s="274">
        <f t="shared" si="39"/>
        <v>0.15</v>
      </c>
      <c r="S27" s="57">
        <f t="shared" si="40"/>
        <v>0.29000000000000004</v>
      </c>
      <c r="T27" s="166">
        <f t="shared" si="41"/>
        <v>0.26</v>
      </c>
      <c r="U27" s="55">
        <v>0</v>
      </c>
      <c r="V27" s="394"/>
      <c r="W27" s="395"/>
      <c r="X27" s="58">
        <f t="shared" si="42"/>
        <v>1.2571859854549769E-2</v>
      </c>
      <c r="Y27" s="396"/>
      <c r="Z27" s="57">
        <f t="shared" si="43"/>
        <v>4.8353307132883723</v>
      </c>
      <c r="AA27" s="5" t="s">
        <v>604</v>
      </c>
    </row>
    <row r="28" spans="1:27" s="18" customFormat="1" ht="12.75">
      <c r="A28" s="761" t="s">
        <v>23</v>
      </c>
      <c r="B28" s="761"/>
      <c r="C28" s="161">
        <f t="shared" ref="C28:J28" si="44">SUM(C6:C27)</f>
        <v>1210</v>
      </c>
      <c r="D28" s="59">
        <f t="shared" si="44"/>
        <v>76650</v>
      </c>
      <c r="E28" s="464">
        <f t="shared" si="44"/>
        <v>7665</v>
      </c>
      <c r="F28" s="59">
        <f t="shared" si="44"/>
        <v>16425</v>
      </c>
      <c r="G28" s="59">
        <f t="shared" si="44"/>
        <v>24090</v>
      </c>
      <c r="H28" s="59">
        <f t="shared" si="44"/>
        <v>3267</v>
      </c>
      <c r="I28" s="59">
        <f t="shared" si="44"/>
        <v>76650</v>
      </c>
      <c r="J28" s="60">
        <f t="shared" si="44"/>
        <v>1</v>
      </c>
      <c r="K28" s="63"/>
      <c r="L28" s="63"/>
      <c r="M28" s="49"/>
      <c r="N28" s="49"/>
      <c r="O28" s="49"/>
      <c r="P28" s="63"/>
      <c r="Q28" s="49"/>
      <c r="R28" s="49"/>
      <c r="S28" s="49"/>
      <c r="T28" s="61">
        <f>SUM(T6:T27)</f>
        <v>6.9700000000000015</v>
      </c>
      <c r="U28" s="63"/>
      <c r="V28" s="49"/>
      <c r="W28" s="49"/>
      <c r="X28" s="62">
        <f>SUM(X6:X27)</f>
        <v>0.31661086941286193</v>
      </c>
      <c r="Y28" s="49"/>
      <c r="Z28" s="63">
        <f>SUM(Z6:Z27)</f>
        <v>99.999999999999986</v>
      </c>
      <c r="AA28" s="63"/>
    </row>
    <row r="29" spans="1:27" ht="9.9499999999999993" customHeight="1"/>
    <row r="30" spans="1:27" ht="35.1" customHeight="1">
      <c r="A30" s="884" t="s">
        <v>613</v>
      </c>
      <c r="B30" s="884"/>
      <c r="C30" s="884"/>
      <c r="D30" s="884"/>
      <c r="E30" s="884"/>
      <c r="F30" s="884"/>
      <c r="G30" s="884"/>
      <c r="H30" s="884"/>
      <c r="I30" s="884"/>
      <c r="J30" s="884"/>
      <c r="K30" s="884"/>
      <c r="L30" s="884"/>
      <c r="M30" s="884"/>
      <c r="N30" s="884"/>
      <c r="O30" s="884"/>
      <c r="P30" s="884"/>
      <c r="Q30" s="884"/>
      <c r="R30" s="884"/>
      <c r="S30" s="884"/>
      <c r="T30" s="884"/>
      <c r="U30" s="884"/>
      <c r="V30" s="884"/>
      <c r="W30" s="884"/>
      <c r="X30" s="884"/>
      <c r="Y30" s="884"/>
      <c r="Z30" s="884"/>
      <c r="AA30" s="884"/>
    </row>
    <row r="31" spans="1:27" ht="45" customHeight="1">
      <c r="A31" s="885" t="s">
        <v>614</v>
      </c>
      <c r="B31" s="885"/>
      <c r="C31" s="885"/>
      <c r="D31" s="885"/>
      <c r="E31" s="885"/>
      <c r="F31" s="885"/>
      <c r="G31" s="885"/>
      <c r="H31" s="885"/>
      <c r="I31" s="885"/>
      <c r="J31" s="885"/>
      <c r="K31" s="885"/>
      <c r="L31" s="885"/>
      <c r="M31" s="885"/>
      <c r="N31" s="885"/>
      <c r="O31" s="885"/>
      <c r="P31" s="885"/>
      <c r="Q31" s="885"/>
      <c r="R31" s="885"/>
      <c r="S31" s="885"/>
      <c r="T31" s="885"/>
      <c r="U31" s="885"/>
      <c r="V31" s="885"/>
      <c r="W31" s="885"/>
      <c r="X31" s="885"/>
      <c r="Y31" s="885"/>
      <c r="Z31" s="885"/>
      <c r="AA31" s="885"/>
    </row>
    <row r="32" spans="1:27" ht="32.1" customHeight="1">
      <c r="A32" s="886" t="s">
        <v>615</v>
      </c>
      <c r="B32" s="886"/>
      <c r="C32" s="886"/>
      <c r="D32" s="886"/>
      <c r="E32" s="886"/>
      <c r="F32" s="886"/>
      <c r="G32" s="886"/>
      <c r="H32" s="886"/>
      <c r="I32" s="886"/>
      <c r="J32" s="886"/>
      <c r="K32" s="886"/>
      <c r="L32" s="886"/>
      <c r="M32" s="886"/>
      <c r="N32" s="886"/>
      <c r="O32" s="886"/>
      <c r="P32" s="886"/>
      <c r="Q32" s="886"/>
      <c r="R32" s="886"/>
      <c r="S32" s="886"/>
      <c r="T32" s="886"/>
      <c r="U32" s="886"/>
      <c r="V32" s="886"/>
      <c r="W32" s="886"/>
      <c r="X32" s="886"/>
      <c r="Y32" s="886"/>
      <c r="Z32" s="886"/>
      <c r="AA32" s="886"/>
    </row>
    <row r="33" spans="1:27" ht="9.9499999999999993" customHeight="1"/>
    <row r="34" spans="1:27" ht="36">
      <c r="A34" s="873" t="s">
        <v>225</v>
      </c>
      <c r="B34" s="873"/>
      <c r="C34" s="873"/>
      <c r="D34" s="873"/>
      <c r="E34" s="873"/>
      <c r="F34" s="873"/>
      <c r="G34" s="873"/>
      <c r="H34" s="873"/>
      <c r="I34" s="873"/>
      <c r="J34" s="873"/>
      <c r="K34" s="873"/>
      <c r="L34" s="873"/>
      <c r="M34" s="873"/>
      <c r="N34" s="873"/>
      <c r="O34" s="873"/>
      <c r="P34" s="873"/>
      <c r="Q34" s="873"/>
      <c r="R34" s="873"/>
      <c r="S34" s="873"/>
      <c r="T34" s="873"/>
      <c r="U34" s="873"/>
      <c r="V34" s="873"/>
      <c r="W34" s="873"/>
      <c r="X34" s="873"/>
      <c r="Y34" s="873"/>
      <c r="Z34" s="873"/>
      <c r="AA34" s="873"/>
    </row>
  </sheetData>
  <mergeCells count="15">
    <mergeCell ref="A34:AA34"/>
    <mergeCell ref="V2:W2"/>
    <mergeCell ref="Y2:Z2"/>
    <mergeCell ref="R2:S2"/>
    <mergeCell ref="N1:AA1"/>
    <mergeCell ref="A28:B28"/>
    <mergeCell ref="B3:B4"/>
    <mergeCell ref="D1:M1"/>
    <mergeCell ref="B2:E2"/>
    <mergeCell ref="A2:A5"/>
    <mergeCell ref="F2:K2"/>
    <mergeCell ref="L2:Q2"/>
    <mergeCell ref="A30:AA30"/>
    <mergeCell ref="A31:AA31"/>
    <mergeCell ref="A32:AA32"/>
  </mergeCells>
  <hyperlinks>
    <hyperlink ref="A34:C34" location="ΠΛΟΗΓΗΣΗ!A1" display="Επιστροφή   στην   ΠΛΟΗΓΗΣΗ"/>
  </hyperlinks>
  <pageMargins left="0.39370078740157483" right="0.39370078740157483" top="0.19685039370078741" bottom="0.19685039370078741" header="0.31496062992125984" footer="0.31496062992125984"/>
  <pageSetup paperSize="9" orientation="landscape" r:id="rId1"/>
  <customProperties>
    <customPr name="DVSECTIONID" r:id="rId2"/>
  </customProperties>
  <drawing r:id="rId3"/>
  <legacyDrawing r:id="rId4"/>
</worksheet>
</file>

<file path=xl/worksheets/sheet28.xml><?xml version="1.0" encoding="utf-8"?>
<worksheet xmlns="http://schemas.openxmlformats.org/spreadsheetml/2006/main" xmlns:r="http://schemas.openxmlformats.org/officeDocument/2006/relationships">
  <sheetPr codeName="Φύλλο20">
    <tabColor rgb="FF92D050"/>
  </sheetPr>
  <dimension ref="A1:P53"/>
  <sheetViews>
    <sheetView workbookViewId="0">
      <pane ySplit="2" topLeftCell="A3" activePane="bottomLeft" state="frozen"/>
      <selection pane="bottomLeft" activeCell="M1" sqref="M1:P2"/>
    </sheetView>
  </sheetViews>
  <sheetFormatPr defaultColWidth="9.140625" defaultRowHeight="15"/>
  <cols>
    <col min="1" max="1" width="2.5703125" style="104" bestFit="1" customWidth="1"/>
    <col min="2" max="2" width="3" style="104" bestFit="1" customWidth="1"/>
    <col min="3" max="10" width="9.140625" style="104"/>
    <col min="11" max="11" width="16.42578125" style="104" customWidth="1"/>
    <col min="12" max="16384" width="9.140625" style="104"/>
  </cols>
  <sheetData>
    <row r="1" spans="1:16" ht="26.25">
      <c r="A1" s="891" t="s">
        <v>375</v>
      </c>
      <c r="B1" s="891"/>
      <c r="C1" s="891"/>
      <c r="D1" s="891"/>
      <c r="E1" s="891"/>
      <c r="F1" s="891"/>
      <c r="G1" s="891"/>
      <c r="H1" s="891"/>
      <c r="I1" s="891"/>
      <c r="J1" s="891"/>
      <c r="K1" s="891"/>
      <c r="M1" s="855" t="s">
        <v>225</v>
      </c>
      <c r="N1" s="855"/>
      <c r="O1" s="855"/>
      <c r="P1" s="855"/>
    </row>
    <row r="2" spans="1:16" ht="15.75" customHeight="1">
      <c r="A2" s="888" t="str">
        <f>ΣΤΟΙΧΕΙΑ!C2</f>
        <v>Πολυκατοικία :</v>
      </c>
      <c r="B2" s="888"/>
      <c r="C2" s="888"/>
      <c r="D2" s="888"/>
      <c r="E2" s="888" t="str">
        <f>ΣΤΟΙΧΕΙΑ!C12</f>
        <v>Διευθύνση 123</v>
      </c>
      <c r="F2" s="888"/>
      <c r="G2" s="888"/>
      <c r="H2" s="888"/>
      <c r="I2" s="888" t="str">
        <f>ΣΤΟΙΧΕΙΑ!C13</f>
        <v>Νεάπολη - ΑΤΤΙΚΗΣ.</v>
      </c>
      <c r="J2" s="888"/>
      <c r="K2" s="888"/>
      <c r="M2" s="855"/>
      <c r="N2" s="855"/>
      <c r="O2" s="855"/>
      <c r="P2" s="855"/>
    </row>
    <row r="4" spans="1:16">
      <c r="A4" s="337" t="s">
        <v>376</v>
      </c>
      <c r="B4" s="890" t="s">
        <v>377</v>
      </c>
      <c r="C4" s="890"/>
      <c r="D4" s="890"/>
      <c r="E4" s="890"/>
      <c r="F4" s="890"/>
      <c r="G4" s="890"/>
      <c r="H4" s="890"/>
      <c r="I4" s="890"/>
      <c r="J4" s="890"/>
      <c r="K4" s="890"/>
    </row>
    <row r="5" spans="1:16">
      <c r="A5" s="337"/>
      <c r="B5" s="338" t="s">
        <v>376</v>
      </c>
      <c r="C5" s="889" t="s">
        <v>378</v>
      </c>
      <c r="D5" s="889"/>
      <c r="E5" s="889"/>
      <c r="F5" s="889"/>
      <c r="G5" s="889"/>
      <c r="H5" s="889"/>
      <c r="I5" s="889"/>
      <c r="J5" s="889"/>
      <c r="K5" s="889"/>
    </row>
    <row r="6" spans="1:16">
      <c r="A6" s="337"/>
      <c r="B6" s="338" t="s">
        <v>379</v>
      </c>
      <c r="C6" s="889" t="s">
        <v>380</v>
      </c>
      <c r="D6" s="889"/>
      <c r="E6" s="889"/>
      <c r="F6" s="889"/>
      <c r="G6" s="889"/>
      <c r="H6" s="889"/>
      <c r="I6" s="889"/>
      <c r="J6" s="889"/>
      <c r="K6" s="889"/>
    </row>
    <row r="7" spans="1:16">
      <c r="A7" s="337"/>
      <c r="B7" s="338" t="s">
        <v>381</v>
      </c>
      <c r="C7" s="889" t="s">
        <v>382</v>
      </c>
      <c r="D7" s="889"/>
      <c r="E7" s="889"/>
      <c r="F7" s="889"/>
      <c r="G7" s="889"/>
      <c r="H7" s="889"/>
      <c r="I7" s="889"/>
      <c r="J7" s="889"/>
      <c r="K7" s="889"/>
    </row>
    <row r="8" spans="1:16">
      <c r="A8" s="337"/>
      <c r="B8" s="338" t="s">
        <v>383</v>
      </c>
      <c r="C8" s="889" t="s">
        <v>384</v>
      </c>
      <c r="D8" s="889"/>
      <c r="E8" s="889"/>
      <c r="F8" s="889"/>
      <c r="G8" s="889"/>
      <c r="H8" s="889"/>
      <c r="I8" s="889"/>
      <c r="J8" s="889"/>
      <c r="K8" s="889"/>
    </row>
    <row r="9" spans="1:16">
      <c r="A9" s="337"/>
      <c r="B9" s="338" t="s">
        <v>385</v>
      </c>
      <c r="C9" s="889" t="s">
        <v>386</v>
      </c>
      <c r="D9" s="889"/>
      <c r="E9" s="889"/>
      <c r="F9" s="889"/>
      <c r="G9" s="889"/>
      <c r="H9" s="889"/>
      <c r="I9" s="889"/>
      <c r="J9" s="889"/>
      <c r="K9" s="889"/>
    </row>
    <row r="10" spans="1:16">
      <c r="A10" s="337"/>
      <c r="B10" s="338" t="s">
        <v>387</v>
      </c>
      <c r="C10" s="889" t="s">
        <v>388</v>
      </c>
      <c r="D10" s="889"/>
      <c r="E10" s="889"/>
      <c r="F10" s="889"/>
      <c r="G10" s="889"/>
      <c r="H10" s="889"/>
      <c r="I10" s="889"/>
      <c r="J10" s="889"/>
      <c r="K10" s="889"/>
    </row>
    <row r="11" spans="1:16">
      <c r="A11" s="337"/>
      <c r="B11" s="338" t="s">
        <v>389</v>
      </c>
      <c r="C11" s="889" t="s">
        <v>390</v>
      </c>
      <c r="D11" s="889"/>
      <c r="E11" s="889"/>
      <c r="F11" s="889"/>
      <c r="G11" s="889"/>
      <c r="H11" s="889"/>
      <c r="I11" s="889"/>
      <c r="J11" s="889"/>
      <c r="K11" s="889"/>
    </row>
    <row r="12" spans="1:16">
      <c r="A12" s="337"/>
      <c r="B12" s="338" t="s">
        <v>391</v>
      </c>
      <c r="C12" s="339" t="s">
        <v>392</v>
      </c>
      <c r="D12" s="339"/>
      <c r="E12" s="339"/>
      <c r="F12" s="339"/>
      <c r="G12" s="339"/>
      <c r="H12" s="339"/>
      <c r="I12" s="339"/>
      <c r="J12" s="339"/>
      <c r="K12" s="339"/>
    </row>
    <row r="13" spans="1:16">
      <c r="A13" s="337"/>
      <c r="B13" s="338" t="s">
        <v>393</v>
      </c>
      <c r="C13" s="339" t="s">
        <v>394</v>
      </c>
      <c r="D13" s="339"/>
      <c r="E13" s="339"/>
      <c r="F13" s="339"/>
      <c r="G13" s="339"/>
      <c r="H13" s="339"/>
      <c r="I13" s="339"/>
      <c r="J13" s="339"/>
      <c r="K13" s="339"/>
    </row>
    <row r="14" spans="1:16">
      <c r="A14" s="337"/>
      <c r="B14" s="338">
        <v>10</v>
      </c>
      <c r="C14" s="889" t="s">
        <v>395</v>
      </c>
      <c r="D14" s="889"/>
      <c r="E14" s="889"/>
      <c r="F14" s="889"/>
      <c r="G14" s="889"/>
      <c r="H14" s="889"/>
      <c r="I14" s="889"/>
      <c r="J14" s="889"/>
      <c r="K14" s="889"/>
    </row>
    <row r="15" spans="1:16">
      <c r="A15" s="337" t="s">
        <v>379</v>
      </c>
      <c r="B15" s="890" t="s">
        <v>396</v>
      </c>
      <c r="C15" s="890"/>
      <c r="D15" s="890"/>
      <c r="E15" s="890"/>
      <c r="F15" s="890"/>
      <c r="G15" s="890"/>
      <c r="H15" s="890"/>
      <c r="I15" s="890"/>
      <c r="J15" s="890"/>
      <c r="K15" s="890"/>
    </row>
    <row r="16" spans="1:16">
      <c r="A16" s="337"/>
      <c r="B16" s="338" t="s">
        <v>376</v>
      </c>
      <c r="C16" s="889" t="s">
        <v>397</v>
      </c>
      <c r="D16" s="889"/>
      <c r="E16" s="889"/>
      <c r="F16" s="889"/>
      <c r="G16" s="889"/>
      <c r="H16" s="889"/>
      <c r="I16" s="889"/>
      <c r="J16" s="889"/>
      <c r="K16" s="889"/>
    </row>
    <row r="17" spans="1:11">
      <c r="A17" s="337"/>
      <c r="B17" s="338" t="s">
        <v>379</v>
      </c>
      <c r="C17" s="889" t="s">
        <v>398</v>
      </c>
      <c r="D17" s="889"/>
      <c r="E17" s="889"/>
      <c r="F17" s="889"/>
      <c r="G17" s="889"/>
      <c r="H17" s="889"/>
      <c r="I17" s="889"/>
      <c r="J17" s="889"/>
      <c r="K17" s="889"/>
    </row>
    <row r="18" spans="1:11">
      <c r="A18" s="337"/>
      <c r="B18" s="338" t="s">
        <v>381</v>
      </c>
      <c r="C18" s="889" t="s">
        <v>399</v>
      </c>
      <c r="D18" s="889"/>
      <c r="E18" s="889"/>
      <c r="F18" s="889"/>
      <c r="G18" s="889"/>
      <c r="H18" s="889"/>
      <c r="I18" s="889"/>
      <c r="J18" s="889"/>
      <c r="K18" s="889"/>
    </row>
    <row r="19" spans="1:11">
      <c r="A19" s="337"/>
      <c r="B19" s="338" t="s">
        <v>383</v>
      </c>
      <c r="C19" s="889" t="s">
        <v>400</v>
      </c>
      <c r="D19" s="889"/>
      <c r="E19" s="889"/>
      <c r="F19" s="889"/>
      <c r="G19" s="889"/>
      <c r="H19" s="889"/>
      <c r="I19" s="889"/>
      <c r="J19" s="889"/>
      <c r="K19" s="889"/>
    </row>
    <row r="20" spans="1:11">
      <c r="A20" s="337"/>
      <c r="B20" s="338" t="s">
        <v>385</v>
      </c>
      <c r="C20" s="889" t="s">
        <v>401</v>
      </c>
      <c r="D20" s="889"/>
      <c r="E20" s="889"/>
      <c r="F20" s="889"/>
      <c r="G20" s="889"/>
      <c r="H20" s="889"/>
      <c r="I20" s="889"/>
      <c r="J20" s="889"/>
      <c r="K20" s="889"/>
    </row>
    <row r="21" spans="1:11">
      <c r="A21" s="337"/>
      <c r="B21" s="338" t="s">
        <v>387</v>
      </c>
      <c r="C21" s="889" t="s">
        <v>402</v>
      </c>
      <c r="D21" s="889"/>
      <c r="E21" s="889"/>
      <c r="F21" s="889"/>
      <c r="G21" s="889"/>
      <c r="H21" s="889"/>
      <c r="I21" s="889"/>
      <c r="J21" s="889"/>
      <c r="K21" s="889"/>
    </row>
    <row r="22" spans="1:11">
      <c r="A22" s="337"/>
      <c r="B22" s="338" t="s">
        <v>389</v>
      </c>
      <c r="C22" s="889" t="s">
        <v>403</v>
      </c>
      <c r="D22" s="889"/>
      <c r="E22" s="889"/>
      <c r="F22" s="889"/>
      <c r="G22" s="889"/>
      <c r="H22" s="889"/>
      <c r="I22" s="889"/>
      <c r="J22" s="889"/>
      <c r="K22" s="889"/>
    </row>
    <row r="23" spans="1:11">
      <c r="A23" s="337" t="s">
        <v>381</v>
      </c>
      <c r="B23" s="890" t="s">
        <v>404</v>
      </c>
      <c r="C23" s="890"/>
      <c r="D23" s="890"/>
      <c r="E23" s="890"/>
      <c r="F23" s="890"/>
      <c r="G23" s="890"/>
      <c r="H23" s="890"/>
      <c r="I23" s="890"/>
      <c r="J23" s="890"/>
      <c r="K23" s="890"/>
    </row>
    <row r="24" spans="1:11">
      <c r="A24" s="337"/>
      <c r="B24" s="338" t="s">
        <v>376</v>
      </c>
      <c r="C24" s="889" t="s">
        <v>405</v>
      </c>
      <c r="D24" s="889"/>
      <c r="E24" s="889"/>
      <c r="F24" s="889"/>
      <c r="G24" s="889"/>
      <c r="H24" s="889"/>
      <c r="I24" s="889"/>
      <c r="J24" s="889"/>
      <c r="K24" s="889"/>
    </row>
    <row r="25" spans="1:11">
      <c r="A25" s="337"/>
      <c r="B25" s="338" t="s">
        <v>379</v>
      </c>
      <c r="C25" s="889" t="s">
        <v>406</v>
      </c>
      <c r="D25" s="889"/>
      <c r="E25" s="889"/>
      <c r="F25" s="889"/>
      <c r="G25" s="889"/>
      <c r="H25" s="889"/>
      <c r="I25" s="889"/>
      <c r="J25" s="889"/>
      <c r="K25" s="889"/>
    </row>
    <row r="26" spans="1:11">
      <c r="A26" s="337"/>
      <c r="B26" s="338" t="s">
        <v>381</v>
      </c>
      <c r="C26" s="889" t="s">
        <v>407</v>
      </c>
      <c r="D26" s="889"/>
      <c r="E26" s="889"/>
      <c r="F26" s="889"/>
      <c r="G26" s="889"/>
      <c r="H26" s="889"/>
      <c r="I26" s="889"/>
      <c r="J26" s="889"/>
      <c r="K26" s="889"/>
    </row>
    <row r="27" spans="1:11">
      <c r="A27" s="337" t="s">
        <v>383</v>
      </c>
      <c r="B27" s="890" t="s">
        <v>408</v>
      </c>
      <c r="C27" s="890"/>
      <c r="D27" s="890"/>
      <c r="E27" s="890"/>
      <c r="F27" s="890"/>
      <c r="G27" s="890"/>
      <c r="H27" s="890"/>
      <c r="I27" s="890"/>
      <c r="J27" s="890"/>
      <c r="K27" s="890"/>
    </row>
    <row r="28" spans="1:11">
      <c r="A28" s="337"/>
      <c r="B28" s="338" t="s">
        <v>376</v>
      </c>
      <c r="C28" s="889" t="s">
        <v>409</v>
      </c>
      <c r="D28" s="889"/>
      <c r="E28" s="889"/>
      <c r="F28" s="889"/>
      <c r="G28" s="889"/>
      <c r="H28" s="889"/>
      <c r="I28" s="889"/>
      <c r="J28" s="889"/>
      <c r="K28" s="889"/>
    </row>
    <row r="29" spans="1:11">
      <c r="A29" s="337"/>
      <c r="B29" s="338" t="s">
        <v>379</v>
      </c>
      <c r="C29" s="889" t="s">
        <v>410</v>
      </c>
      <c r="D29" s="889"/>
      <c r="E29" s="889"/>
      <c r="F29" s="889"/>
      <c r="G29" s="889"/>
      <c r="H29" s="889"/>
      <c r="I29" s="889"/>
      <c r="J29" s="889"/>
      <c r="K29" s="889"/>
    </row>
    <row r="30" spans="1:11">
      <c r="A30" s="337"/>
      <c r="B30" s="338" t="s">
        <v>381</v>
      </c>
      <c r="C30" s="889" t="s">
        <v>411</v>
      </c>
      <c r="D30" s="889"/>
      <c r="E30" s="889"/>
      <c r="F30" s="889"/>
      <c r="G30" s="889"/>
      <c r="H30" s="889"/>
      <c r="I30" s="889"/>
      <c r="J30" s="889"/>
      <c r="K30" s="889"/>
    </row>
    <row r="31" spans="1:11">
      <c r="A31" s="337"/>
      <c r="B31" s="338" t="s">
        <v>383</v>
      </c>
      <c r="C31" s="889" t="s">
        <v>412</v>
      </c>
      <c r="D31" s="889"/>
      <c r="E31" s="889"/>
      <c r="F31" s="889"/>
      <c r="G31" s="889"/>
      <c r="H31" s="889"/>
      <c r="I31" s="889"/>
      <c r="J31" s="889"/>
      <c r="K31" s="889"/>
    </row>
    <row r="32" spans="1:11">
      <c r="A32" s="337"/>
      <c r="B32" s="338" t="s">
        <v>385</v>
      </c>
      <c r="C32" s="889" t="s">
        <v>413</v>
      </c>
      <c r="D32" s="889"/>
      <c r="E32" s="889"/>
      <c r="F32" s="889"/>
      <c r="G32" s="889"/>
      <c r="H32" s="889"/>
      <c r="I32" s="889"/>
      <c r="J32" s="889"/>
      <c r="K32" s="889"/>
    </row>
    <row r="33" spans="1:11">
      <c r="A33" s="337"/>
      <c r="B33" s="338" t="s">
        <v>387</v>
      </c>
      <c r="C33" s="889" t="s">
        <v>414</v>
      </c>
      <c r="D33" s="889"/>
      <c r="E33" s="889"/>
      <c r="F33" s="889"/>
      <c r="G33" s="889"/>
      <c r="H33" s="889"/>
      <c r="I33" s="889"/>
      <c r="J33" s="889"/>
      <c r="K33" s="889"/>
    </row>
    <row r="34" spans="1:11">
      <c r="A34" s="337"/>
      <c r="B34" s="338" t="s">
        <v>389</v>
      </c>
      <c r="C34" s="889" t="s">
        <v>415</v>
      </c>
      <c r="D34" s="889"/>
      <c r="E34" s="889"/>
      <c r="F34" s="889"/>
      <c r="G34" s="889"/>
      <c r="H34" s="889"/>
      <c r="I34" s="889"/>
      <c r="J34" s="889"/>
      <c r="K34" s="889"/>
    </row>
    <row r="35" spans="1:11">
      <c r="A35" s="337"/>
      <c r="B35" s="338" t="s">
        <v>391</v>
      </c>
      <c r="C35" s="889" t="s">
        <v>416</v>
      </c>
      <c r="D35" s="889"/>
      <c r="E35" s="889"/>
      <c r="F35" s="889"/>
      <c r="G35" s="889"/>
      <c r="H35" s="889"/>
      <c r="I35" s="889"/>
      <c r="J35" s="889"/>
      <c r="K35" s="889"/>
    </row>
    <row r="36" spans="1:11">
      <c r="A36" s="337" t="s">
        <v>385</v>
      </c>
      <c r="B36" s="890" t="s">
        <v>417</v>
      </c>
      <c r="C36" s="890"/>
      <c r="D36" s="890"/>
      <c r="E36" s="890"/>
      <c r="F36" s="890"/>
      <c r="G36" s="890"/>
      <c r="H36" s="890"/>
      <c r="I36" s="890"/>
      <c r="J36" s="890"/>
      <c r="K36" s="890"/>
    </row>
    <row r="37" spans="1:11">
      <c r="A37" s="337"/>
      <c r="B37" s="338" t="s">
        <v>376</v>
      </c>
      <c r="C37" s="889"/>
      <c r="D37" s="889"/>
      <c r="E37" s="889"/>
      <c r="F37" s="889"/>
      <c r="G37" s="889"/>
      <c r="H37" s="889"/>
      <c r="I37" s="889"/>
      <c r="J37" s="889"/>
      <c r="K37" s="889"/>
    </row>
    <row r="38" spans="1:11">
      <c r="A38" s="337"/>
      <c r="B38" s="338" t="s">
        <v>379</v>
      </c>
      <c r="C38" s="889"/>
      <c r="D38" s="889"/>
      <c r="E38" s="889"/>
      <c r="F38" s="889"/>
      <c r="G38" s="889"/>
      <c r="H38" s="889"/>
      <c r="I38" s="889"/>
      <c r="J38" s="889"/>
      <c r="K38" s="889"/>
    </row>
    <row r="39" spans="1:11">
      <c r="A39" s="337"/>
      <c r="B39" s="338" t="s">
        <v>381</v>
      </c>
      <c r="C39" s="889"/>
      <c r="D39" s="889"/>
      <c r="E39" s="889"/>
      <c r="F39" s="889"/>
      <c r="G39" s="889"/>
      <c r="H39" s="889"/>
      <c r="I39" s="889"/>
      <c r="J39" s="889"/>
      <c r="K39" s="889"/>
    </row>
    <row r="40" spans="1:11">
      <c r="A40" s="337"/>
      <c r="B40" s="338" t="s">
        <v>383</v>
      </c>
      <c r="C40" s="889"/>
      <c r="D40" s="889"/>
      <c r="E40" s="889"/>
      <c r="F40" s="889"/>
      <c r="G40" s="889"/>
      <c r="H40" s="889"/>
      <c r="I40" s="889"/>
      <c r="J40" s="889"/>
      <c r="K40" s="889"/>
    </row>
    <row r="41" spans="1:11">
      <c r="A41" s="337"/>
      <c r="B41" s="338" t="s">
        <v>385</v>
      </c>
      <c r="C41" s="889"/>
      <c r="D41" s="889"/>
      <c r="E41" s="889"/>
      <c r="F41" s="889"/>
      <c r="G41" s="889"/>
      <c r="H41" s="889"/>
      <c r="I41" s="889"/>
      <c r="J41" s="889"/>
      <c r="K41" s="889"/>
    </row>
    <row r="42" spans="1:11">
      <c r="A42" s="337"/>
      <c r="B42" s="338" t="s">
        <v>387</v>
      </c>
      <c r="C42" s="889"/>
      <c r="D42" s="889"/>
      <c r="E42" s="889"/>
      <c r="F42" s="889"/>
      <c r="G42" s="889"/>
      <c r="H42" s="889"/>
      <c r="I42" s="889"/>
      <c r="J42" s="889"/>
      <c r="K42" s="889"/>
    </row>
    <row r="43" spans="1:11">
      <c r="A43" s="337"/>
      <c r="B43" s="338" t="s">
        <v>389</v>
      </c>
      <c r="C43" s="889"/>
      <c r="D43" s="889"/>
      <c r="E43" s="889"/>
      <c r="F43" s="889"/>
      <c r="G43" s="889"/>
      <c r="H43" s="889"/>
      <c r="I43" s="889"/>
      <c r="J43" s="889"/>
      <c r="K43" s="889"/>
    </row>
    <row r="44" spans="1:11">
      <c r="A44" s="337"/>
      <c r="B44" s="338" t="s">
        <v>391</v>
      </c>
      <c r="C44" s="889"/>
      <c r="D44" s="889"/>
      <c r="E44" s="889"/>
      <c r="F44" s="889"/>
      <c r="G44" s="889"/>
      <c r="H44" s="889"/>
      <c r="I44" s="889"/>
      <c r="J44" s="889"/>
      <c r="K44" s="889"/>
    </row>
    <row r="45" spans="1:11">
      <c r="A45" s="337"/>
      <c r="B45" s="338" t="s">
        <v>393</v>
      </c>
      <c r="C45" s="889"/>
      <c r="D45" s="889"/>
      <c r="E45" s="889"/>
      <c r="F45" s="889"/>
      <c r="G45" s="889"/>
      <c r="H45" s="889"/>
      <c r="I45" s="889"/>
      <c r="J45" s="889"/>
      <c r="K45" s="889"/>
    </row>
    <row r="53" spans="9:11">
      <c r="I53" s="887" t="s">
        <v>418</v>
      </c>
      <c r="J53" s="887"/>
      <c r="K53" s="887"/>
    </row>
  </sheetData>
  <sheetProtection password="E4A3" sheet="1" objects="1" scenarios="1"/>
  <mergeCells count="46">
    <mergeCell ref="B15:K15"/>
    <mergeCell ref="A1:K1"/>
    <mergeCell ref="B4:K4"/>
    <mergeCell ref="C5:K5"/>
    <mergeCell ref="C6:K6"/>
    <mergeCell ref="C7:K7"/>
    <mergeCell ref="C8:K8"/>
    <mergeCell ref="C9:K9"/>
    <mergeCell ref="C10:K10"/>
    <mergeCell ref="C11:K11"/>
    <mergeCell ref="C14:K14"/>
    <mergeCell ref="B27:K27"/>
    <mergeCell ref="C16:K16"/>
    <mergeCell ref="C17:K17"/>
    <mergeCell ref="C18:K18"/>
    <mergeCell ref="C19:K19"/>
    <mergeCell ref="C20:K20"/>
    <mergeCell ref="C21:K21"/>
    <mergeCell ref="C22:K22"/>
    <mergeCell ref="B23:K23"/>
    <mergeCell ref="C24:K24"/>
    <mergeCell ref="C25:K25"/>
    <mergeCell ref="C26:K26"/>
    <mergeCell ref="C39:K39"/>
    <mergeCell ref="C28:K28"/>
    <mergeCell ref="C29:K29"/>
    <mergeCell ref="C30:K30"/>
    <mergeCell ref="C31:K31"/>
    <mergeCell ref="C32:K32"/>
    <mergeCell ref="C33:K33"/>
    <mergeCell ref="M1:P2"/>
    <mergeCell ref="I53:K53"/>
    <mergeCell ref="A2:D2"/>
    <mergeCell ref="E2:H2"/>
    <mergeCell ref="I2:K2"/>
    <mergeCell ref="C40:K40"/>
    <mergeCell ref="C41:K41"/>
    <mergeCell ref="C42:K42"/>
    <mergeCell ref="C43:K43"/>
    <mergeCell ref="C44:K44"/>
    <mergeCell ref="C45:K45"/>
    <mergeCell ref="C34:K34"/>
    <mergeCell ref="C35:K35"/>
    <mergeCell ref="B36:K36"/>
    <mergeCell ref="C37:K37"/>
    <mergeCell ref="C38:K38"/>
  </mergeCells>
  <hyperlinks>
    <hyperlink ref="M1:O2" location="ΠΛΟΗΓΗΣΗ!A1" display="Επιστροφή   στην   ΠΛΟΗΓΗΣΗ"/>
  </hyperlinks>
  <pageMargins left="0.39370078740157483" right="0.39370078740157483" top="0.39370078740157483" bottom="0.39370078740157483" header="0.31496062992125984" footer="0.31496062992125984"/>
  <pageSetup paperSize="9" orientation="portrait" r:id="rId1"/>
  <customProperties>
    <customPr name="DVSECTIONID" r:id="rId2"/>
  </customProperties>
</worksheet>
</file>

<file path=xl/worksheets/sheet29.xml><?xml version="1.0" encoding="utf-8"?>
<worksheet xmlns="http://schemas.openxmlformats.org/spreadsheetml/2006/main" xmlns:r="http://schemas.openxmlformats.org/officeDocument/2006/relationships">
  <sheetPr codeName="Φύλλο21">
    <tabColor rgb="FF92D050"/>
  </sheetPr>
  <dimension ref="A1:V85"/>
  <sheetViews>
    <sheetView zoomScale="80" zoomScaleNormal="80" workbookViewId="0">
      <selection activeCell="V10" sqref="V10"/>
    </sheetView>
  </sheetViews>
  <sheetFormatPr defaultColWidth="9.140625" defaultRowHeight="15"/>
  <cols>
    <col min="1" max="1" width="3" style="104" customWidth="1"/>
    <col min="2" max="2" width="5.7109375" style="104" customWidth="1"/>
    <col min="3" max="3" width="26" style="104" customWidth="1"/>
    <col min="4" max="4" width="5.85546875" style="349" customWidth="1"/>
    <col min="5" max="16" width="5.7109375" style="104" customWidth="1"/>
    <col min="17" max="17" width="6" style="338" bestFit="1" customWidth="1"/>
    <col min="18" max="18" width="8.42578125" style="348" bestFit="1" customWidth="1"/>
    <col min="19" max="19" width="8.28515625" style="338" bestFit="1" customWidth="1"/>
    <col min="20" max="20" width="7.140625" style="348" bestFit="1" customWidth="1"/>
    <col min="21" max="16384" width="9.140625" style="104"/>
  </cols>
  <sheetData>
    <row r="1" spans="1:20" s="340" customFormat="1" ht="30" customHeight="1">
      <c r="A1" s="893" t="str">
        <f>ΣΤΟΙΧΕΙΑ!C2</f>
        <v>Πολυκατοικία :</v>
      </c>
      <c r="B1" s="893"/>
      <c r="C1" s="893"/>
      <c r="D1" s="893"/>
      <c r="E1" s="893" t="str">
        <f>ΣΤΟΙΧΕΙΑ!C12</f>
        <v>Διευθύνση 123</v>
      </c>
      <c r="F1" s="893"/>
      <c r="G1" s="893"/>
      <c r="H1" s="893"/>
      <c r="I1" s="893"/>
      <c r="J1" s="893"/>
      <c r="K1" s="893"/>
      <c r="L1" s="893"/>
      <c r="M1" s="893" t="str">
        <f>ΣΤΟΙΧΕΙΑ!C13</f>
        <v>Νεάπολη - ΑΤΤΙΚΗΣ.</v>
      </c>
      <c r="N1" s="893"/>
      <c r="O1" s="893"/>
      <c r="P1" s="893"/>
      <c r="Q1" s="893"/>
      <c r="R1" s="893"/>
      <c r="S1" s="893"/>
      <c r="T1" s="893"/>
    </row>
    <row r="2" spans="1:20" ht="23.25">
      <c r="A2" s="894" t="s">
        <v>419</v>
      </c>
      <c r="B2" s="894"/>
      <c r="C2" s="894"/>
      <c r="D2" s="894"/>
      <c r="E2" s="894"/>
      <c r="F2" s="894"/>
      <c r="G2" s="894"/>
      <c r="H2" s="894"/>
      <c r="I2" s="894"/>
      <c r="J2" s="894"/>
      <c r="K2" s="894"/>
      <c r="L2" s="894"/>
      <c r="M2" s="894"/>
      <c r="N2" s="894"/>
      <c r="O2" s="894"/>
      <c r="P2" s="894"/>
      <c r="Q2" s="894"/>
      <c r="R2" s="894"/>
      <c r="S2" s="894"/>
      <c r="T2" s="894"/>
    </row>
    <row r="3" spans="1:20" s="241" customFormat="1" ht="12.75">
      <c r="A3" s="350" t="s">
        <v>24</v>
      </c>
      <c r="B3" s="350" t="s">
        <v>40</v>
      </c>
      <c r="C3" s="351" t="s">
        <v>32</v>
      </c>
      <c r="D3" s="352" t="s">
        <v>420</v>
      </c>
      <c r="E3" s="353">
        <f ca="1">INDIRECT(ADDRESS(A4,6,3,,"ΣΤΟΙΧΕΙΑ"))</f>
        <v>40848</v>
      </c>
      <c r="F3" s="353">
        <f t="shared" ref="F3:P3" ca="1" si="0">INDIRECT(ADDRESS(B4,6,3,,"ΣΤΟΙΧΕΙΑ"))</f>
        <v>40878</v>
      </c>
      <c r="G3" s="353">
        <f t="shared" ca="1" si="0"/>
        <v>40909</v>
      </c>
      <c r="H3" s="353">
        <f t="shared" ca="1" si="0"/>
        <v>40940</v>
      </c>
      <c r="I3" s="353">
        <f t="shared" ca="1" si="0"/>
        <v>40969</v>
      </c>
      <c r="J3" s="353">
        <f t="shared" ca="1" si="0"/>
        <v>41000</v>
      </c>
      <c r="K3" s="353">
        <f t="shared" ca="1" si="0"/>
        <v>41030</v>
      </c>
      <c r="L3" s="353">
        <f t="shared" ca="1" si="0"/>
        <v>41061</v>
      </c>
      <c r="M3" s="353">
        <f t="shared" ca="1" si="0"/>
        <v>41091</v>
      </c>
      <c r="N3" s="353">
        <f t="shared" ca="1" si="0"/>
        <v>41122</v>
      </c>
      <c r="O3" s="353">
        <f t="shared" ca="1" si="0"/>
        <v>41153</v>
      </c>
      <c r="P3" s="353">
        <f t="shared" ca="1" si="0"/>
        <v>41183</v>
      </c>
      <c r="Q3" s="354" t="s">
        <v>421</v>
      </c>
      <c r="R3" s="352" t="s">
        <v>422</v>
      </c>
      <c r="S3" s="355" t="s">
        <v>423</v>
      </c>
      <c r="T3" s="356" t="s">
        <v>424</v>
      </c>
    </row>
    <row r="4" spans="1:20" s="241" customFormat="1" ht="12.75">
      <c r="A4" s="351">
        <v>1</v>
      </c>
      <c r="B4" s="351">
        <f>A4+1</f>
        <v>2</v>
      </c>
      <c r="C4" s="351">
        <f t="shared" ref="C4:T4" si="1">B4+1</f>
        <v>3</v>
      </c>
      <c r="D4" s="357">
        <f t="shared" si="1"/>
        <v>4</v>
      </c>
      <c r="E4" s="351">
        <f t="shared" si="1"/>
        <v>5</v>
      </c>
      <c r="F4" s="351">
        <f t="shared" si="1"/>
        <v>6</v>
      </c>
      <c r="G4" s="351">
        <f t="shared" si="1"/>
        <v>7</v>
      </c>
      <c r="H4" s="351">
        <f t="shared" si="1"/>
        <v>8</v>
      </c>
      <c r="I4" s="351">
        <f t="shared" si="1"/>
        <v>9</v>
      </c>
      <c r="J4" s="351">
        <f t="shared" si="1"/>
        <v>10</v>
      </c>
      <c r="K4" s="351">
        <f t="shared" si="1"/>
        <v>11</v>
      </c>
      <c r="L4" s="351">
        <f t="shared" si="1"/>
        <v>12</v>
      </c>
      <c r="M4" s="351">
        <f t="shared" si="1"/>
        <v>13</v>
      </c>
      <c r="N4" s="351">
        <f t="shared" si="1"/>
        <v>14</v>
      </c>
      <c r="O4" s="351">
        <f t="shared" si="1"/>
        <v>15</v>
      </c>
      <c r="P4" s="351">
        <f t="shared" si="1"/>
        <v>16</v>
      </c>
      <c r="Q4" s="358">
        <f t="shared" si="1"/>
        <v>17</v>
      </c>
      <c r="R4" s="357">
        <f t="shared" si="1"/>
        <v>18</v>
      </c>
      <c r="S4" s="358">
        <f t="shared" si="1"/>
        <v>19</v>
      </c>
      <c r="T4" s="351">
        <f t="shared" si="1"/>
        <v>20</v>
      </c>
    </row>
    <row r="5" spans="1:20" s="241" customFormat="1" ht="15" customHeight="1">
      <c r="A5" s="351">
        <f>ΣΤΟΙΧΕΙΑ!A25</f>
        <v>1</v>
      </c>
      <c r="B5" s="469" t="str">
        <f>ΣΤΟΙΧΕΙΑ!B25</f>
        <v>Α1</v>
      </c>
      <c r="C5" s="318" t="str">
        <f>ΣΤΟΙΧΕΙΑ!C25</f>
        <v>ΔΕΗ Κοινόχρηστων Χώρων</v>
      </c>
      <c r="D5" s="342"/>
      <c r="E5" s="302" t="str">
        <f>IF(ΣΤΟΙΧΕΙΑ!D25=0,"",ΣΤΟΙΧΕΙΑ!D25)</f>
        <v/>
      </c>
      <c r="F5" s="302">
        <f>IF(ΣΤΟΙΧΕΙΑ!E25=0,"",ΣΤΟΙΧΕΙΑ!E25)</f>
        <v>100</v>
      </c>
      <c r="G5" s="302" t="str">
        <f>IF(ΣΤΟΙΧΕΙΑ!F25=0,"",ΣΤΟΙΧΕΙΑ!F25)</f>
        <v/>
      </c>
      <c r="H5" s="302" t="str">
        <f>IF(ΣΤΟΙΧΕΙΑ!G25=0,"",ΣΤΟΙΧΕΙΑ!G25)</f>
        <v/>
      </c>
      <c r="I5" s="302" t="str">
        <f>IF(ΣΤΟΙΧΕΙΑ!H25=0,"",ΣΤΟΙΧΕΙΑ!H25)</f>
        <v/>
      </c>
      <c r="J5" s="302" t="str">
        <f>IF(ΣΤΟΙΧΕΙΑ!I25=0,"",ΣΤΟΙΧΕΙΑ!I25)</f>
        <v/>
      </c>
      <c r="K5" s="302" t="str">
        <f>IF(ΣΤΟΙΧΕΙΑ!J25=0,"",ΣΤΟΙΧΕΙΑ!J25)</f>
        <v/>
      </c>
      <c r="L5" s="302" t="str">
        <f>IF(ΣΤΟΙΧΕΙΑ!K25=0,"",ΣΤΟΙΧΕΙΑ!K25)</f>
        <v/>
      </c>
      <c r="M5" s="302" t="str">
        <f>IF(ΣΤΟΙΧΕΙΑ!L25=0,"",ΣΤΟΙΧΕΙΑ!L25)</f>
        <v/>
      </c>
      <c r="N5" s="302" t="str">
        <f>IF(ΣΤΟΙΧΕΙΑ!M25=0,"",ΣΤΟΙΧΕΙΑ!M25)</f>
        <v/>
      </c>
      <c r="O5" s="302" t="str">
        <f>IF(ΣΤΟΙΧΕΙΑ!N25=0,"",ΣΤΟΙΧΕΙΑ!N25)</f>
        <v/>
      </c>
      <c r="P5" s="302" t="str">
        <f>IF(ΣΤΟΙΧΕΙΑ!O25=0,"",ΣΤΟΙΧΕΙΑ!O25)</f>
        <v/>
      </c>
      <c r="Q5" s="359">
        <f>IF(SUM(E5:P5)=0,"",SUM(E5:P5))</f>
        <v>100</v>
      </c>
      <c r="R5" s="343">
        <v>1264.8000000000002</v>
      </c>
      <c r="S5" s="344">
        <v>481.20000000000005</v>
      </c>
      <c r="T5" s="551">
        <f t="shared" ref="T5:T14" si="2">IF(R5-S5=0,"",R5-S5)</f>
        <v>783.60000000000014</v>
      </c>
    </row>
    <row r="6" spans="1:20" s="241" customFormat="1" ht="15" customHeight="1">
      <c r="A6" s="351">
        <f>ΣΤΟΙΧΕΙΑ!A26</f>
        <v>2</v>
      </c>
      <c r="B6" s="469" t="str">
        <f>ΣΤΟΙΧΕΙΑ!B26</f>
        <v>Α2</v>
      </c>
      <c r="C6" s="318" t="str">
        <f>ΣΤΟΙΧΕΙΑ!C26</f>
        <v>Καθαρισμός Κοινόχρηστων Χώρων</v>
      </c>
      <c r="D6" s="342"/>
      <c r="E6" s="302" t="str">
        <f>IF(ΣΤΟΙΧΕΙΑ!D26=0,"",ΣΤΟΙΧΕΙΑ!D26)</f>
        <v/>
      </c>
      <c r="F6" s="302">
        <f>IF(ΣΤΟΙΧΕΙΑ!E26=0,"",ΣΤΟΙΧΕΙΑ!E26)</f>
        <v>70</v>
      </c>
      <c r="G6" s="302" t="str">
        <f>IF(ΣΤΟΙΧΕΙΑ!F26=0,"",ΣΤΟΙΧΕΙΑ!F26)</f>
        <v/>
      </c>
      <c r="H6" s="302" t="str">
        <f>IF(ΣΤΟΙΧΕΙΑ!G26=0,"",ΣΤΟΙΧΕΙΑ!G26)</f>
        <v/>
      </c>
      <c r="I6" s="302" t="str">
        <f>IF(ΣΤΟΙΧΕΙΑ!H26=0,"",ΣΤΟΙΧΕΙΑ!H26)</f>
        <v/>
      </c>
      <c r="J6" s="302" t="str">
        <f>IF(ΣΤΟΙΧΕΙΑ!I26=0,"",ΣΤΟΙΧΕΙΑ!I26)</f>
        <v/>
      </c>
      <c r="K6" s="302" t="str">
        <f>IF(ΣΤΟΙΧΕΙΑ!J26=0,"",ΣΤΟΙΧΕΙΑ!J26)</f>
        <v/>
      </c>
      <c r="L6" s="302" t="str">
        <f>IF(ΣΤΟΙΧΕΙΑ!K26=0,"",ΣΤΟΙΧΕΙΑ!K26)</f>
        <v/>
      </c>
      <c r="M6" s="302" t="str">
        <f>IF(ΣΤΟΙΧΕΙΑ!L26=0,"",ΣΤΟΙΧΕΙΑ!L26)</f>
        <v/>
      </c>
      <c r="N6" s="302" t="str">
        <f>IF(ΣΤΟΙΧΕΙΑ!M26=0,"",ΣΤΟΙΧΕΙΑ!M26)</f>
        <v/>
      </c>
      <c r="O6" s="302" t="str">
        <f>IF(ΣΤΟΙΧΕΙΑ!N26=0,"",ΣΤΟΙΧΕΙΑ!N26)</f>
        <v/>
      </c>
      <c r="P6" s="302" t="str">
        <f>IF(ΣΤΟΙΧΕΙΑ!O26=0,"",ΣΤΟΙΧΕΙΑ!O26)</f>
        <v/>
      </c>
      <c r="Q6" s="359">
        <f t="shared" ref="Q6:Q16" si="3">IF(SUM(E6:P6)=0,"",SUM(E6:P6))</f>
        <v>70</v>
      </c>
      <c r="R6" s="343"/>
      <c r="S6" s="344"/>
      <c r="T6" s="551" t="str">
        <f t="shared" si="2"/>
        <v/>
      </c>
    </row>
    <row r="7" spans="1:20" s="241" customFormat="1" ht="15" customHeight="1">
      <c r="A7" s="351">
        <f>ΣΤΟΙΧΕΙΑ!A27</f>
        <v>3</v>
      </c>
      <c r="B7" s="469" t="str">
        <f>ΣΤΟΙΧΕΙΑ!B27</f>
        <v>Α3</v>
      </c>
      <c r="C7" s="318" t="str">
        <f>ΣΤΟΙΧΕΙΑ!C27</f>
        <v>Υλικά Αναλώσιμα (Λάμπες κλπ)</v>
      </c>
      <c r="D7" s="342"/>
      <c r="E7" s="302" t="str">
        <f>IF(ΣΤΟΙΧΕΙΑ!D27=0,"",ΣΤΟΙΧΕΙΑ!D27)</f>
        <v/>
      </c>
      <c r="F7" s="302">
        <f>IF(ΣΤΟΙΧΕΙΑ!E27=0,"",ΣΤΟΙΧΕΙΑ!E27)</f>
        <v>10</v>
      </c>
      <c r="G7" s="302" t="str">
        <f>IF(ΣΤΟΙΧΕΙΑ!F27=0,"",ΣΤΟΙΧΕΙΑ!F27)</f>
        <v/>
      </c>
      <c r="H7" s="302" t="str">
        <f>IF(ΣΤΟΙΧΕΙΑ!G27=0,"",ΣΤΟΙΧΕΙΑ!G27)</f>
        <v/>
      </c>
      <c r="I7" s="302" t="str">
        <f>IF(ΣΤΟΙΧΕΙΑ!H27=0,"",ΣΤΟΙΧΕΙΑ!H27)</f>
        <v/>
      </c>
      <c r="J7" s="302" t="str">
        <f>IF(ΣΤΟΙΧΕΙΑ!I27=0,"",ΣΤΟΙΧΕΙΑ!I27)</f>
        <v/>
      </c>
      <c r="K7" s="302" t="str">
        <f>IF(ΣΤΟΙΧΕΙΑ!J27=0,"",ΣΤΟΙΧΕΙΑ!J27)</f>
        <v/>
      </c>
      <c r="L7" s="302" t="str">
        <f>IF(ΣΤΟΙΧΕΙΑ!K27=0,"",ΣΤΟΙΧΕΙΑ!K27)</f>
        <v/>
      </c>
      <c r="M7" s="302" t="str">
        <f>IF(ΣΤΟΙΧΕΙΑ!L27=0,"",ΣΤΟΙΧΕΙΑ!L27)</f>
        <v/>
      </c>
      <c r="N7" s="302" t="str">
        <f>IF(ΣΤΟΙΧΕΙΑ!M27=0,"",ΣΤΟΙΧΕΙΑ!M27)</f>
        <v/>
      </c>
      <c r="O7" s="302" t="str">
        <f>IF(ΣΤΟΙΧΕΙΑ!N27=0,"",ΣΤΟΙΧΕΙΑ!N27)</f>
        <v/>
      </c>
      <c r="P7" s="302" t="str">
        <f>IF(ΣΤΟΙΧΕΙΑ!O27=0,"",ΣΤΟΙΧΕΙΑ!O27)</f>
        <v/>
      </c>
      <c r="Q7" s="359">
        <f t="shared" si="3"/>
        <v>10</v>
      </c>
      <c r="R7" s="343">
        <v>100</v>
      </c>
      <c r="S7" s="344">
        <v>487.34</v>
      </c>
      <c r="T7" s="551">
        <f t="shared" si="2"/>
        <v>-387.34</v>
      </c>
    </row>
    <row r="8" spans="1:20" s="241" customFormat="1" ht="15" customHeight="1">
      <c r="A8" s="351">
        <f>ΣΤΟΙΧΕΙΑ!A28</f>
        <v>4</v>
      </c>
      <c r="B8" s="470" t="str">
        <f>ΣΤΟΙΧΕΙΑ!B28</f>
        <v>Β1</v>
      </c>
      <c r="C8" s="318" t="str">
        <f>ΣΤΟΙΧΕΙΑ!C28</f>
        <v>Συντήρηση Ανελκυστήρα</v>
      </c>
      <c r="D8" s="342"/>
      <c r="E8" s="302" t="str">
        <f>IF(ΣΤΟΙΧΕΙΑ!D28=0,"",ΣΤΟΙΧΕΙΑ!D28)</f>
        <v/>
      </c>
      <c r="F8" s="302">
        <f>IF(ΣΤΟΙΧΕΙΑ!E28=0,"",ΣΤΟΙΧΕΙΑ!E28)</f>
        <v>50</v>
      </c>
      <c r="G8" s="302" t="str">
        <f>IF(ΣΤΟΙΧΕΙΑ!F28=0,"",ΣΤΟΙΧΕΙΑ!F28)</f>
        <v/>
      </c>
      <c r="H8" s="302" t="str">
        <f>IF(ΣΤΟΙΧΕΙΑ!G28=0,"",ΣΤΟΙΧΕΙΑ!G28)</f>
        <v/>
      </c>
      <c r="I8" s="302" t="str">
        <f>IF(ΣΤΟΙΧΕΙΑ!H28=0,"",ΣΤΟΙΧΕΙΑ!H28)</f>
        <v/>
      </c>
      <c r="J8" s="302" t="str">
        <f>IF(ΣΤΟΙΧΕΙΑ!I28=0,"",ΣΤΟΙΧΕΙΑ!I28)</f>
        <v/>
      </c>
      <c r="K8" s="302" t="str">
        <f>IF(ΣΤΟΙΧΕΙΑ!J28=0,"",ΣΤΟΙΧΕΙΑ!J28)</f>
        <v/>
      </c>
      <c r="L8" s="302" t="str">
        <f>IF(ΣΤΟΙΧΕΙΑ!K28=0,"",ΣΤΟΙΧΕΙΑ!K28)</f>
        <v/>
      </c>
      <c r="M8" s="302" t="str">
        <f>IF(ΣΤΟΙΧΕΙΑ!L28=0,"",ΣΤΟΙΧΕΙΑ!L28)</f>
        <v/>
      </c>
      <c r="N8" s="302" t="str">
        <f>IF(ΣΤΟΙΧΕΙΑ!M28=0,"",ΣΤΟΙΧΕΙΑ!M28)</f>
        <v/>
      </c>
      <c r="O8" s="302" t="str">
        <f>IF(ΣΤΟΙΧΕΙΑ!N28=0,"",ΣΤΟΙΧΕΙΑ!N28)</f>
        <v/>
      </c>
      <c r="P8" s="302" t="str">
        <f>IF(ΣΤΟΙΧΕΙΑ!O28=0,"",ΣΤΟΙΧΕΙΑ!O28)</f>
        <v/>
      </c>
      <c r="Q8" s="359">
        <f t="shared" si="3"/>
        <v>50</v>
      </c>
      <c r="R8" s="343">
        <v>660</v>
      </c>
      <c r="S8" s="344">
        <v>330</v>
      </c>
      <c r="T8" s="551">
        <f t="shared" si="2"/>
        <v>330</v>
      </c>
    </row>
    <row r="9" spans="1:20" s="241" customFormat="1" ht="15" customHeight="1">
      <c r="A9" s="351">
        <f>ΣΤΟΙΧΕΙΑ!A29</f>
        <v>5</v>
      </c>
      <c r="B9" s="471" t="str">
        <f>ΣΤΟΙΧΕΙΑ!B29</f>
        <v>Γ1</v>
      </c>
      <c r="C9" s="318" t="str">
        <f>ΣΤΟΙΧΕΙΑ!C29</f>
        <v>Συντήρηση Κήπου</v>
      </c>
      <c r="D9" s="342"/>
      <c r="E9" s="302" t="str">
        <f>IF(ΣΤΟΙΧΕΙΑ!D29=0,"",ΣΤΟΙΧΕΙΑ!D29)</f>
        <v/>
      </c>
      <c r="F9" s="302">
        <f>IF(ΣΤΟΙΧΕΙΑ!E29=0,"",ΣΤΟΙΧΕΙΑ!E29)</f>
        <v>60</v>
      </c>
      <c r="G9" s="302" t="str">
        <f>IF(ΣΤΟΙΧΕΙΑ!F29=0,"",ΣΤΟΙΧΕΙΑ!F29)</f>
        <v/>
      </c>
      <c r="H9" s="302" t="str">
        <f>IF(ΣΤΟΙΧΕΙΑ!G29=0,"",ΣΤΟΙΧΕΙΑ!G29)</f>
        <v/>
      </c>
      <c r="I9" s="302" t="str">
        <f>IF(ΣΤΟΙΧΕΙΑ!H29=0,"",ΣΤΟΙΧΕΙΑ!H29)</f>
        <v/>
      </c>
      <c r="J9" s="302" t="str">
        <f>IF(ΣΤΟΙΧΕΙΑ!I29=0,"",ΣΤΟΙΧΕΙΑ!I29)</f>
        <v/>
      </c>
      <c r="K9" s="302" t="str">
        <f>IF(ΣΤΟΙΧΕΙΑ!J29=0,"",ΣΤΟΙΧΕΙΑ!J29)</f>
        <v/>
      </c>
      <c r="L9" s="302" t="str">
        <f>IF(ΣΤΟΙΧΕΙΑ!K29=0,"",ΣΤΟΙΧΕΙΑ!K29)</f>
        <v/>
      </c>
      <c r="M9" s="302" t="str">
        <f>IF(ΣΤΟΙΧΕΙΑ!L29=0,"",ΣΤΟΙΧΕΙΑ!L29)</f>
        <v/>
      </c>
      <c r="N9" s="302" t="str">
        <f>IF(ΣΤΟΙΧΕΙΑ!M29=0,"",ΣΤΟΙΧΕΙΑ!M29)</f>
        <v/>
      </c>
      <c r="O9" s="302" t="str">
        <f>IF(ΣΤΟΙΧΕΙΑ!N29=0,"",ΣΤΟΙΧΕΙΑ!N29)</f>
        <v/>
      </c>
      <c r="P9" s="302" t="str">
        <f>IF(ΣΤΟΙΧΕΙΑ!O29=0,"",ΣΤΟΙΧΕΙΑ!O29)</f>
        <v/>
      </c>
      <c r="Q9" s="359">
        <f t="shared" si="3"/>
        <v>60</v>
      </c>
      <c r="R9" s="343"/>
      <c r="S9" s="344"/>
      <c r="T9" s="551" t="str">
        <f t="shared" si="2"/>
        <v/>
      </c>
    </row>
    <row r="10" spans="1:20" s="241" customFormat="1" ht="15" customHeight="1">
      <c r="A10" s="351">
        <f>ΣΤΟΙΧΕΙΑ!A30</f>
        <v>6</v>
      </c>
      <c r="B10" s="471" t="str">
        <f>ΣΤΟΙΧΕΙΑ!B30</f>
        <v>Γ2</v>
      </c>
      <c r="C10" s="318" t="str">
        <f>ΣΤΟΙΧΕΙΑ!C30</f>
        <v>ΕΥΔΑΠ (Νερό) Κοινόχρηστων Χώρων</v>
      </c>
      <c r="D10" s="342"/>
      <c r="E10" s="302" t="str">
        <f>IF(ΣΤΟΙΧΕΙΑ!D30=0,"",ΣΤΟΙΧΕΙΑ!D30)</f>
        <v/>
      </c>
      <c r="F10" s="302">
        <f>IF(ΣΤΟΙΧΕΙΑ!E30=0,"",ΣΤΟΙΧΕΙΑ!E30)</f>
        <v>20</v>
      </c>
      <c r="G10" s="302" t="str">
        <f>IF(ΣΤΟΙΧΕΙΑ!F30=0,"",ΣΤΟΙΧΕΙΑ!F30)</f>
        <v/>
      </c>
      <c r="H10" s="302" t="str">
        <f>IF(ΣΤΟΙΧΕΙΑ!G30=0,"",ΣΤΟΙΧΕΙΑ!G30)</f>
        <v/>
      </c>
      <c r="I10" s="302" t="str">
        <f>IF(ΣΤΟΙΧΕΙΑ!H30=0,"",ΣΤΟΙΧΕΙΑ!H30)</f>
        <v/>
      </c>
      <c r="J10" s="302" t="str">
        <f>IF(ΣΤΟΙΧΕΙΑ!I30=0,"",ΣΤΟΙΧΕΙΑ!I30)</f>
        <v/>
      </c>
      <c r="K10" s="302" t="str">
        <f>IF(ΣΤΟΙΧΕΙΑ!J30=0,"",ΣΤΟΙΧΕΙΑ!J30)</f>
        <v/>
      </c>
      <c r="L10" s="302" t="str">
        <f>IF(ΣΤΟΙΧΕΙΑ!K30=0,"",ΣΤΟΙΧΕΙΑ!K30)</f>
        <v/>
      </c>
      <c r="M10" s="302" t="str">
        <f>IF(ΣΤΟΙΧΕΙΑ!L30=0,"",ΣΤΟΙΧΕΙΑ!L30)</f>
        <v/>
      </c>
      <c r="N10" s="302" t="str">
        <f>IF(ΣΤΟΙΧΕΙΑ!M30=0,"",ΣΤΟΙΧΕΙΑ!M30)</f>
        <v/>
      </c>
      <c r="O10" s="302" t="str">
        <f>IF(ΣΤΟΙΧΕΙΑ!N30=0,"",ΣΤΟΙΧΕΙΑ!N30)</f>
        <v/>
      </c>
      <c r="P10" s="302" t="str">
        <f>IF(ΣΤΟΙΧΕΙΑ!O30=0,"",ΣΤΟΙΧΕΙΑ!O30)</f>
        <v/>
      </c>
      <c r="Q10" s="359">
        <f t="shared" si="3"/>
        <v>20</v>
      </c>
      <c r="R10" s="343"/>
      <c r="S10" s="344"/>
      <c r="T10" s="551" t="str">
        <f t="shared" si="2"/>
        <v/>
      </c>
    </row>
    <row r="11" spans="1:20" s="241" customFormat="1" ht="15" customHeight="1">
      <c r="A11" s="351">
        <f>ΣΤΟΙΧΕΙΑ!A31</f>
        <v>7</v>
      </c>
      <c r="B11" s="469" t="str">
        <f>ΣΤΟΙΧΕΙΑ!B31</f>
        <v>Δ1</v>
      </c>
      <c r="C11" s="318" t="str">
        <f>ΣΤΟΙΧΕΙΑ!C31</f>
        <v>Πετρέλαιο Αυτόνομης Θέρμανσης</v>
      </c>
      <c r="D11" s="342"/>
      <c r="E11" s="302" t="str">
        <f>IF(ΣΤΟΙΧΕΙΑ!D31=0,"",ΣΤΟΙΧΕΙΑ!D31)</f>
        <v/>
      </c>
      <c r="F11" s="302">
        <f>IF(ΣΤΟΙΧΕΙΑ!E31=0,"",ΣΤΟΙΧΕΙΑ!E31)</f>
        <v>700</v>
      </c>
      <c r="G11" s="302">
        <f>IF(ΣΤΟΙΧΕΙΑ!F31=0,"",ΣΤΟΙΧΕΙΑ!F31)</f>
        <v>390</v>
      </c>
      <c r="H11" s="302" t="str">
        <f>IF(ΣΤΟΙΧΕΙΑ!G31=0,"",ΣΤΟΙΧΕΙΑ!G31)</f>
        <v/>
      </c>
      <c r="I11" s="302" t="str">
        <f>IF(ΣΤΟΙΧΕΙΑ!H31=0,"",ΣΤΟΙΧΕΙΑ!H31)</f>
        <v/>
      </c>
      <c r="J11" s="302" t="str">
        <f>IF(ΣΤΟΙΧΕΙΑ!I31=0,"",ΣΤΟΙΧΕΙΑ!I31)</f>
        <v/>
      </c>
      <c r="K11" s="302" t="str">
        <f>IF(ΣΤΟΙΧΕΙΑ!J31=0,"",ΣΤΟΙΧΕΙΑ!J31)</f>
        <v/>
      </c>
      <c r="L11" s="302" t="str">
        <f>IF(ΣΤΟΙΧΕΙΑ!K31=0,"",ΣΤΟΙΧΕΙΑ!K31)</f>
        <v/>
      </c>
      <c r="M11" s="302" t="str">
        <f>IF(ΣΤΟΙΧΕΙΑ!L31=0,"",ΣΤΟΙΧΕΙΑ!L31)</f>
        <v/>
      </c>
      <c r="N11" s="302" t="str">
        <f>IF(ΣΤΟΙΧΕΙΑ!M31=0,"",ΣΤΟΙΧΕΙΑ!M31)</f>
        <v/>
      </c>
      <c r="O11" s="302" t="str">
        <f>IF(ΣΤΟΙΧΕΙΑ!N31=0,"",ΣΤΟΙΧΕΙΑ!N31)</f>
        <v/>
      </c>
      <c r="P11" s="302" t="str">
        <f>IF(ΣΤΟΙΧΕΙΑ!O31=0,"",ΣΤΟΙΧΕΙΑ!O31)</f>
        <v/>
      </c>
      <c r="Q11" s="359">
        <f t="shared" si="3"/>
        <v>1090</v>
      </c>
      <c r="R11" s="343"/>
      <c r="S11" s="344"/>
      <c r="T11" s="551" t="str">
        <f t="shared" si="2"/>
        <v/>
      </c>
    </row>
    <row r="12" spans="1:20" s="241" customFormat="1" ht="15" customHeight="1">
      <c r="A12" s="351">
        <f>ΣΤΟΙΧΕΙΑ!A32</f>
        <v>8</v>
      </c>
      <c r="B12" s="469" t="str">
        <f>ΣΤΟΙΧΕΙΑ!B32</f>
        <v>Δ2</v>
      </c>
      <c r="C12" s="318" t="str">
        <f>ΣΤΟΙΧΕΙΑ!C32</f>
        <v>Συντήρηση Καυστήρα</v>
      </c>
      <c r="D12" s="342"/>
      <c r="E12" s="302" t="str">
        <f>IF(ΣΤΟΙΧΕΙΑ!D32=0,"",ΣΤΟΙΧΕΙΑ!D32)</f>
        <v/>
      </c>
      <c r="F12" s="302">
        <f>IF(ΣΤΟΙΧΕΙΑ!E32=0,"",ΣΤΟΙΧΕΙΑ!E32)</f>
        <v>70</v>
      </c>
      <c r="G12" s="302" t="str">
        <f>IF(ΣΤΟΙΧΕΙΑ!F32=0,"",ΣΤΟΙΧΕΙΑ!F32)</f>
        <v/>
      </c>
      <c r="H12" s="302" t="str">
        <f>IF(ΣΤΟΙΧΕΙΑ!G32=0,"",ΣΤΟΙΧΕΙΑ!G32)</f>
        <v/>
      </c>
      <c r="I12" s="302" t="str">
        <f>IF(ΣΤΟΙΧΕΙΑ!H32=0,"",ΣΤΟΙΧΕΙΑ!H32)</f>
        <v/>
      </c>
      <c r="J12" s="302" t="str">
        <f>IF(ΣΤΟΙΧΕΙΑ!I32=0,"",ΣΤΟΙΧΕΙΑ!I32)</f>
        <v/>
      </c>
      <c r="K12" s="302" t="str">
        <f>IF(ΣΤΟΙΧΕΙΑ!J32=0,"",ΣΤΟΙΧΕΙΑ!J32)</f>
        <v/>
      </c>
      <c r="L12" s="302" t="str">
        <f>IF(ΣΤΟΙΧΕΙΑ!K32=0,"",ΣΤΟΙΧΕΙΑ!K32)</f>
        <v/>
      </c>
      <c r="M12" s="302" t="str">
        <f>IF(ΣΤΟΙΧΕΙΑ!L32=0,"",ΣΤΟΙΧΕΙΑ!L32)</f>
        <v/>
      </c>
      <c r="N12" s="302" t="str">
        <f>IF(ΣΤΟΙΧΕΙΑ!M32=0,"",ΣΤΟΙΧΕΙΑ!M32)</f>
        <v/>
      </c>
      <c r="O12" s="302" t="str">
        <f>IF(ΣΤΟΙΧΕΙΑ!N32=0,"",ΣΤΟΙΧΕΙΑ!N32)</f>
        <v/>
      </c>
      <c r="P12" s="302" t="str">
        <f>IF(ΣΤΟΙΧΕΙΑ!O32=0,"",ΣΤΟΙΧΕΙΑ!O32)</f>
        <v/>
      </c>
      <c r="Q12" s="359">
        <f t="shared" si="3"/>
        <v>70</v>
      </c>
      <c r="R12" s="343"/>
      <c r="S12" s="344"/>
      <c r="T12" s="551" t="str">
        <f t="shared" si="2"/>
        <v/>
      </c>
    </row>
    <row r="13" spans="1:20" s="241" customFormat="1" ht="15" customHeight="1">
      <c r="A13" s="351">
        <f>ΣΤΟΙΧΕΙΑ!A33</f>
        <v>9</v>
      </c>
      <c r="B13" s="470" t="str">
        <f>ΣΤΟΙΧΕΙΑ!B33</f>
        <v>Ε1</v>
      </c>
      <c r="C13" s="318" t="str">
        <f>ΣΤΟΙΧΕΙΑ!C33</f>
        <v>Συντήρηση Πολυκατοικίας</v>
      </c>
      <c r="D13" s="342"/>
      <c r="E13" s="302" t="str">
        <f>IF(ΣΤΟΙΧΕΙΑ!D33=0,"",ΣΤΟΙΧΕΙΑ!D33)</f>
        <v/>
      </c>
      <c r="F13" s="302">
        <f>IF(ΣΤΟΙΧΕΙΑ!E33=0,"",ΣΤΟΙΧΕΙΑ!E33)</f>
        <v>100</v>
      </c>
      <c r="G13" s="302" t="str">
        <f>IF(ΣΤΟΙΧΕΙΑ!F33=0,"",ΣΤΟΙΧΕΙΑ!F33)</f>
        <v/>
      </c>
      <c r="H13" s="302" t="str">
        <f>IF(ΣΤΟΙΧΕΙΑ!G33=0,"",ΣΤΟΙΧΕΙΑ!G33)</f>
        <v/>
      </c>
      <c r="I13" s="302" t="str">
        <f>IF(ΣΤΟΙΧΕΙΑ!H33=0,"",ΣΤΟΙΧΕΙΑ!H33)</f>
        <v/>
      </c>
      <c r="J13" s="302" t="str">
        <f>IF(ΣΤΟΙΧΕΙΑ!I33=0,"",ΣΤΟΙΧΕΙΑ!I33)</f>
        <v/>
      </c>
      <c r="K13" s="302" t="str">
        <f>IF(ΣΤΟΙΧΕΙΑ!J33=0,"",ΣΤΟΙΧΕΙΑ!J33)</f>
        <v/>
      </c>
      <c r="L13" s="302" t="str">
        <f>IF(ΣΤΟΙΧΕΙΑ!K33=0,"",ΣΤΟΙΧΕΙΑ!K33)</f>
        <v/>
      </c>
      <c r="M13" s="302" t="str">
        <f>IF(ΣΤΟΙΧΕΙΑ!L33=0,"",ΣΤΟΙΧΕΙΑ!L33)</f>
        <v/>
      </c>
      <c r="N13" s="302" t="str">
        <f>IF(ΣΤΟΙΧΕΙΑ!M33=0,"",ΣΤΟΙΧΕΙΑ!M33)</f>
        <v/>
      </c>
      <c r="O13" s="302" t="str">
        <f>IF(ΣΤΟΙΧΕΙΑ!N33=0,"",ΣΤΟΙΧΕΙΑ!N33)</f>
        <v/>
      </c>
      <c r="P13" s="302" t="str">
        <f>IF(ΣΤΟΙΧΕΙΑ!O33=0,"",ΣΤΟΙΧΕΙΑ!O33)</f>
        <v/>
      </c>
      <c r="Q13" s="359">
        <f t="shared" si="3"/>
        <v>100</v>
      </c>
      <c r="R13" s="343"/>
      <c r="S13" s="344"/>
      <c r="T13" s="551" t="str">
        <f t="shared" si="2"/>
        <v/>
      </c>
    </row>
    <row r="14" spans="1:20" s="241" customFormat="1" ht="15" customHeight="1">
      <c r="A14" s="351">
        <f>ΣΤΟΙΧΕΙΑ!A34</f>
        <v>10</v>
      </c>
      <c r="B14" s="471" t="str">
        <f>ΣΤΟΙΧΕΙΑ!B34</f>
        <v>Ζ1</v>
      </c>
      <c r="C14" s="318" t="str">
        <f>ΣΤΟΙΧΕΙΑ!C34</f>
        <v>Πάγιο Αποθεματικό</v>
      </c>
      <c r="D14" s="342"/>
      <c r="E14" s="302" t="str">
        <f>IF(ΣΤΟΙΧΕΙΑ!D34=0,"",ΣΤΟΙΧΕΙΑ!D34)</f>
        <v/>
      </c>
      <c r="F14" s="302">
        <f>IF(ΣΤΟΙΧΕΙΑ!E34=0,"",ΣΤΟΙΧΕΙΑ!E34)</f>
        <v>200</v>
      </c>
      <c r="G14" s="302" t="str">
        <f>IF(ΣΤΟΙΧΕΙΑ!F34=0,"",ΣΤΟΙΧΕΙΑ!F34)</f>
        <v/>
      </c>
      <c r="H14" s="302" t="str">
        <f>IF(ΣΤΟΙΧΕΙΑ!G34=0,"",ΣΤΟΙΧΕΙΑ!G34)</f>
        <v/>
      </c>
      <c r="I14" s="302" t="str">
        <f>IF(ΣΤΟΙΧΕΙΑ!H34=0,"",ΣΤΟΙΧΕΙΑ!H34)</f>
        <v/>
      </c>
      <c r="J14" s="302" t="str">
        <f>IF(ΣΤΟΙΧΕΙΑ!I34=0,"",ΣΤΟΙΧΕΙΑ!I34)</f>
        <v/>
      </c>
      <c r="K14" s="302" t="str">
        <f>IF(ΣΤΟΙΧΕΙΑ!J34=0,"",ΣΤΟΙΧΕΙΑ!J34)</f>
        <v/>
      </c>
      <c r="L14" s="302" t="str">
        <f>IF(ΣΤΟΙΧΕΙΑ!K34=0,"",ΣΤΟΙΧΕΙΑ!K34)</f>
        <v/>
      </c>
      <c r="M14" s="302" t="str">
        <f>IF(ΣΤΟΙΧΕΙΑ!L34=0,"",ΣΤΟΙΧΕΙΑ!L34)</f>
        <v/>
      </c>
      <c r="N14" s="302" t="str">
        <f>IF(ΣΤΟΙΧΕΙΑ!M34=0,"",ΣΤΟΙΧΕΙΑ!M34)</f>
        <v/>
      </c>
      <c r="O14" s="302" t="str">
        <f>IF(ΣΤΟΙΧΕΙΑ!N34=0,"",ΣΤΟΙΧΕΙΑ!N34)</f>
        <v/>
      </c>
      <c r="P14" s="302" t="str">
        <f>IF(ΣΤΟΙΧΕΙΑ!O34=0,"",ΣΤΟΙΧΕΙΑ!O34)</f>
        <v/>
      </c>
      <c r="Q14" s="359">
        <f t="shared" si="3"/>
        <v>200</v>
      </c>
      <c r="R14" s="343"/>
      <c r="S14" s="344"/>
      <c r="T14" s="551" t="str">
        <f t="shared" si="2"/>
        <v/>
      </c>
    </row>
    <row r="15" spans="1:20" s="241" customFormat="1" ht="15" customHeight="1">
      <c r="A15" s="351">
        <f>ΣΤΟΙΧΕΙΑ!A35</f>
        <v>11</v>
      </c>
      <c r="B15" s="469" t="str">
        <f>ΣΤΟΙΧΕΙΑ!B35</f>
        <v>Η1</v>
      </c>
      <c r="C15" s="318" t="str">
        <f>ΣΤΟΙΧΕΙΑ!C35</f>
        <v>Αμοιβή Διαχειριστή</v>
      </c>
      <c r="D15" s="342"/>
      <c r="E15" s="302" t="str">
        <f>IF(ΣΤΟΙΧΕΙΑ!D35=0,"",ΣΤΟΙΧΕΙΑ!D35)</f>
        <v/>
      </c>
      <c r="F15" s="302">
        <f>IF(ΣΤΟΙΧΕΙΑ!E35=0,"",ΣΤΟΙΧΕΙΑ!E35)</f>
        <v>80</v>
      </c>
      <c r="G15" s="302" t="str">
        <f>IF(ΣΤΟΙΧΕΙΑ!F35=0,"",ΣΤΟΙΧΕΙΑ!F35)</f>
        <v/>
      </c>
      <c r="H15" s="302" t="str">
        <f>IF(ΣΤΟΙΧΕΙΑ!G35=0,"",ΣΤΟΙΧΕΙΑ!G35)</f>
        <v/>
      </c>
      <c r="I15" s="302" t="str">
        <f>IF(ΣΤΟΙΧΕΙΑ!H35=0,"",ΣΤΟΙΧΕΙΑ!H35)</f>
        <v/>
      </c>
      <c r="J15" s="302" t="str">
        <f>IF(ΣΤΟΙΧΕΙΑ!I35=0,"",ΣΤΟΙΧΕΙΑ!I35)</f>
        <v/>
      </c>
      <c r="K15" s="302" t="str">
        <f>IF(ΣΤΟΙΧΕΙΑ!J35=0,"",ΣΤΟΙΧΕΙΑ!J35)</f>
        <v/>
      </c>
      <c r="L15" s="302" t="str">
        <f>IF(ΣΤΟΙΧΕΙΑ!K35=0,"",ΣΤΟΙΧΕΙΑ!K35)</f>
        <v/>
      </c>
      <c r="M15" s="302" t="str">
        <f>IF(ΣΤΟΙΧΕΙΑ!L35=0,"",ΣΤΟΙΧΕΙΑ!L35)</f>
        <v/>
      </c>
      <c r="N15" s="302" t="str">
        <f>IF(ΣΤΟΙΧΕΙΑ!M35=0,"",ΣΤΟΙΧΕΙΑ!M35)</f>
        <v/>
      </c>
      <c r="O15" s="302" t="str">
        <f>IF(ΣΤΟΙΧΕΙΑ!N35=0,"",ΣΤΟΙΧΕΙΑ!N35)</f>
        <v/>
      </c>
      <c r="P15" s="302" t="str">
        <f>IF(ΣΤΟΙΧΕΙΑ!O35=0,"",ΣΤΟΙΧΕΙΑ!O35)</f>
        <v/>
      </c>
      <c r="Q15" s="359">
        <f t="shared" si="3"/>
        <v>80</v>
      </c>
      <c r="R15" s="343">
        <v>0</v>
      </c>
      <c r="S15" s="344">
        <v>540</v>
      </c>
      <c r="T15" s="551">
        <f t="shared" ref="T15:T16" si="4">IF(R15-S15=0,"",R15-S15)</f>
        <v>-540</v>
      </c>
    </row>
    <row r="16" spans="1:20" s="241" customFormat="1" ht="15" customHeight="1">
      <c r="A16" s="351">
        <f>ΣΤΟΙΧΕΙΑ!A36</f>
        <v>12</v>
      </c>
      <c r="B16" s="469" t="str">
        <f>ΣΤΟΙΧΕΙΑ!B36</f>
        <v>Η2</v>
      </c>
      <c r="C16" s="318" t="str">
        <f>ΣΤΟΙΧΕΙΑ!C36</f>
        <v>Έκδοση Κοινοχρήστων</v>
      </c>
      <c r="D16" s="342"/>
      <c r="E16" s="302" t="str">
        <f>IF(ΣΤΟΙΧΕΙΑ!D36=0,"",ΣΤΟΙΧΕΙΑ!D36)</f>
        <v/>
      </c>
      <c r="F16" s="302">
        <f>IF(ΣΤΟΙΧΕΙΑ!E36=0,"",ΣΤΟΙΧΕΙΑ!E36)</f>
        <v>20</v>
      </c>
      <c r="G16" s="302" t="str">
        <f>IF(ΣΤΟΙΧΕΙΑ!F36=0,"",ΣΤΟΙΧΕΙΑ!F36)</f>
        <v/>
      </c>
      <c r="H16" s="302" t="str">
        <f>IF(ΣΤΟΙΧΕΙΑ!G36=0,"",ΣΤΟΙΧΕΙΑ!G36)</f>
        <v/>
      </c>
      <c r="I16" s="302" t="str">
        <f>IF(ΣΤΟΙΧΕΙΑ!H36=0,"",ΣΤΟΙΧΕΙΑ!H36)</f>
        <v/>
      </c>
      <c r="J16" s="302" t="str">
        <f>IF(ΣΤΟΙΧΕΙΑ!I36=0,"",ΣΤΟΙΧΕΙΑ!I36)</f>
        <v/>
      </c>
      <c r="K16" s="302" t="str">
        <f>IF(ΣΤΟΙΧΕΙΑ!J36=0,"",ΣΤΟΙΧΕΙΑ!J36)</f>
        <v/>
      </c>
      <c r="L16" s="302" t="str">
        <f>IF(ΣΤΟΙΧΕΙΑ!K36=0,"",ΣΤΟΙΧΕΙΑ!K36)</f>
        <v/>
      </c>
      <c r="M16" s="302" t="str">
        <f>IF(ΣΤΟΙΧΕΙΑ!L36=0,"",ΣΤΟΙΧΕΙΑ!L36)</f>
        <v/>
      </c>
      <c r="N16" s="302" t="str">
        <f>IF(ΣΤΟΙΧΕΙΑ!M36=0,"",ΣΤΟΙΧΕΙΑ!M36)</f>
        <v/>
      </c>
      <c r="O16" s="302" t="str">
        <f>IF(ΣΤΟΙΧΕΙΑ!N36=0,"",ΣΤΟΙΧΕΙΑ!N36)</f>
        <v/>
      </c>
      <c r="P16" s="302" t="str">
        <f>IF(ΣΤΟΙΧΕΙΑ!O36=0,"",ΣΤΟΙΧΕΙΑ!O36)</f>
        <v/>
      </c>
      <c r="Q16" s="359">
        <f t="shared" si="3"/>
        <v>20</v>
      </c>
      <c r="R16" s="343"/>
      <c r="S16" s="344"/>
      <c r="T16" s="551" t="str">
        <f t="shared" si="4"/>
        <v/>
      </c>
    </row>
    <row r="17" spans="1:22">
      <c r="A17" s="895" t="s">
        <v>92</v>
      </c>
      <c r="B17" s="895"/>
      <c r="C17" s="895"/>
      <c r="D17" s="360">
        <f>SUM(D5:D16)</f>
        <v>0</v>
      </c>
      <c r="E17" s="361">
        <f t="shared" ref="E17:S17" si="5">SUM(E5:E16)</f>
        <v>0</v>
      </c>
      <c r="F17" s="361">
        <f t="shared" si="5"/>
        <v>1480</v>
      </c>
      <c r="G17" s="361">
        <f t="shared" si="5"/>
        <v>390</v>
      </c>
      <c r="H17" s="361">
        <f t="shared" si="5"/>
        <v>0</v>
      </c>
      <c r="I17" s="361">
        <f t="shared" si="5"/>
        <v>0</v>
      </c>
      <c r="J17" s="361">
        <f t="shared" si="5"/>
        <v>0</v>
      </c>
      <c r="K17" s="361">
        <f t="shared" si="5"/>
        <v>0</v>
      </c>
      <c r="L17" s="361">
        <f t="shared" si="5"/>
        <v>0</v>
      </c>
      <c r="M17" s="361">
        <f t="shared" si="5"/>
        <v>0</v>
      </c>
      <c r="N17" s="361">
        <f t="shared" si="5"/>
        <v>0</v>
      </c>
      <c r="O17" s="361">
        <f t="shared" si="5"/>
        <v>0</v>
      </c>
      <c r="P17" s="361">
        <f t="shared" si="5"/>
        <v>0</v>
      </c>
      <c r="Q17" s="362">
        <f t="shared" si="5"/>
        <v>1870</v>
      </c>
      <c r="R17" s="97">
        <f t="shared" si="5"/>
        <v>2024.8000000000002</v>
      </c>
      <c r="S17" s="362">
        <f t="shared" si="5"/>
        <v>1838.54</v>
      </c>
      <c r="T17" s="363">
        <f>SUM(T5:T16)</f>
        <v>186.26000000000022</v>
      </c>
    </row>
    <row r="18" spans="1:22" s="105" customFormat="1" ht="9.9499999999999993" customHeight="1">
      <c r="D18" s="345"/>
      <c r="Q18" s="346"/>
      <c r="R18" s="347"/>
      <c r="S18" s="346"/>
      <c r="T18" s="347"/>
    </row>
    <row r="19" spans="1:22" s="105" customFormat="1" ht="23.25">
      <c r="A19" s="894" t="s">
        <v>425</v>
      </c>
      <c r="B19" s="894"/>
      <c r="C19" s="894"/>
      <c r="D19" s="894"/>
      <c r="E19" s="894"/>
      <c r="F19" s="894"/>
      <c r="G19" s="894"/>
      <c r="H19" s="894"/>
      <c r="I19" s="894"/>
      <c r="J19" s="894"/>
      <c r="K19" s="894"/>
      <c r="L19" s="894"/>
      <c r="M19" s="894"/>
      <c r="N19" s="894"/>
      <c r="O19" s="894"/>
      <c r="P19" s="894"/>
      <c r="Q19" s="894"/>
      <c r="R19" s="894"/>
      <c r="S19" s="894"/>
      <c r="T19" s="894"/>
    </row>
    <row r="20" spans="1:22" s="241" customFormat="1" ht="12.75">
      <c r="A20" s="350" t="str">
        <f>A3</f>
        <v>Α/Α</v>
      </c>
      <c r="B20" s="350" t="str">
        <f>B3</f>
        <v>Κωδικός</v>
      </c>
      <c r="C20" s="351" t="s">
        <v>78</v>
      </c>
      <c r="D20" s="352" t="str">
        <f>D3</f>
        <v>ΠΑΛΙΑ</v>
      </c>
      <c r="E20" s="364">
        <f ca="1">INDIRECT(ADDRESS(A4,6,3,,"ΣΤΟΙΧΕΙΑ"))</f>
        <v>40848</v>
      </c>
      <c r="F20" s="364">
        <f t="shared" ref="F20:P20" ca="1" si="6">INDIRECT(ADDRESS(B4,6,3,,"ΣΤΟΙΧΕΙΑ"))</f>
        <v>40878</v>
      </c>
      <c r="G20" s="364">
        <f t="shared" ca="1" si="6"/>
        <v>40909</v>
      </c>
      <c r="H20" s="364">
        <f t="shared" ca="1" si="6"/>
        <v>40940</v>
      </c>
      <c r="I20" s="364">
        <f t="shared" ca="1" si="6"/>
        <v>40969</v>
      </c>
      <c r="J20" s="364">
        <f t="shared" ca="1" si="6"/>
        <v>41000</v>
      </c>
      <c r="K20" s="364">
        <f t="shared" ca="1" si="6"/>
        <v>41030</v>
      </c>
      <c r="L20" s="364">
        <f t="shared" ca="1" si="6"/>
        <v>41061</v>
      </c>
      <c r="M20" s="364">
        <f t="shared" ca="1" si="6"/>
        <v>41091</v>
      </c>
      <c r="N20" s="364">
        <f t="shared" ca="1" si="6"/>
        <v>41122</v>
      </c>
      <c r="O20" s="364">
        <f t="shared" ca="1" si="6"/>
        <v>41153</v>
      </c>
      <c r="P20" s="364">
        <f t="shared" ca="1" si="6"/>
        <v>41183</v>
      </c>
      <c r="Q20" s="354" t="str">
        <f t="shared" ref="Q20:T21" si="7">Q3</f>
        <v>Σύνολα</v>
      </c>
      <c r="R20" s="365" t="str">
        <f t="shared" si="7"/>
        <v>Παλ.Ετήσια</v>
      </c>
      <c r="S20" s="366" t="str">
        <f t="shared" si="7"/>
        <v>Νέα Ετήσια</v>
      </c>
      <c r="T20" s="367" t="str">
        <f t="shared" si="7"/>
        <v>Όφελος</v>
      </c>
    </row>
    <row r="21" spans="1:22" s="241" customFormat="1" ht="12.75">
      <c r="A21" s="351">
        <f>A4</f>
        <v>1</v>
      </c>
      <c r="B21" s="351">
        <f t="shared" ref="B21:R21" si="8">B4</f>
        <v>2</v>
      </c>
      <c r="C21" s="351">
        <f t="shared" si="8"/>
        <v>3</v>
      </c>
      <c r="D21" s="357">
        <f t="shared" si="8"/>
        <v>4</v>
      </c>
      <c r="E21" s="351">
        <f t="shared" si="8"/>
        <v>5</v>
      </c>
      <c r="F21" s="351">
        <f t="shared" si="8"/>
        <v>6</v>
      </c>
      <c r="G21" s="351">
        <f t="shared" si="8"/>
        <v>7</v>
      </c>
      <c r="H21" s="351">
        <f t="shared" si="8"/>
        <v>8</v>
      </c>
      <c r="I21" s="351">
        <f t="shared" si="8"/>
        <v>9</v>
      </c>
      <c r="J21" s="351">
        <f t="shared" si="8"/>
        <v>10</v>
      </c>
      <c r="K21" s="351">
        <f t="shared" si="8"/>
        <v>11</v>
      </c>
      <c r="L21" s="351">
        <f t="shared" si="8"/>
        <v>12</v>
      </c>
      <c r="M21" s="351">
        <f t="shared" si="8"/>
        <v>13</v>
      </c>
      <c r="N21" s="351">
        <f t="shared" si="8"/>
        <v>14</v>
      </c>
      <c r="O21" s="351">
        <f t="shared" si="8"/>
        <v>15</v>
      </c>
      <c r="P21" s="351">
        <f t="shared" si="8"/>
        <v>16</v>
      </c>
      <c r="Q21" s="368">
        <f t="shared" si="8"/>
        <v>17</v>
      </c>
      <c r="R21" s="369">
        <f t="shared" si="8"/>
        <v>18</v>
      </c>
      <c r="S21" s="370">
        <f t="shared" si="7"/>
        <v>19</v>
      </c>
      <c r="T21" s="369">
        <f t="shared" si="7"/>
        <v>20</v>
      </c>
    </row>
    <row r="22" spans="1:22" s="9" customFormat="1" ht="9.9499999999999993" customHeight="1">
      <c r="A22" s="293">
        <f>IF(B22="","",1)</f>
        <v>1</v>
      </c>
      <c r="B22" s="128" t="str">
        <f>Διαμερίσματα!B6</f>
        <v>Κ1</v>
      </c>
      <c r="C22" s="128" t="str">
        <f>Διαμερίσματα!I6</f>
        <v>Ιδιοκτήτης-1</v>
      </c>
      <c r="D22" s="552"/>
      <c r="E22" s="8" t="str">
        <f>IF(ΣΤΟΙΧΕΙΑ!D41=0,"",ΣΤΟΙΧΕΙΑ!D41)</f>
        <v/>
      </c>
      <c r="F22" s="8">
        <f ca="1">IF(ΣΤΟΙΧΕΙΑ!E41=0,"",ΣΤΟΙΧΕΙΑ!E41)</f>
        <v>44.314208126686182</v>
      </c>
      <c r="G22" s="8" t="str">
        <f>IF(ΣΤΟΙΧΕΙΑ!F41=0,"",ΣΤΟΙΧΕΙΑ!F41)</f>
        <v/>
      </c>
      <c r="H22" s="8" t="str">
        <f>IF(ΣΤΟΙΧΕΙΑ!G41=0,"",ΣΤΟΙΧΕΙΑ!G41)</f>
        <v/>
      </c>
      <c r="I22" s="8" t="str">
        <f>IF(ΣΤΟΙΧΕΙΑ!H41=0,"",ΣΤΟΙΧΕΙΑ!H41)</f>
        <v/>
      </c>
      <c r="J22" s="8" t="str">
        <f>IF(ΣΤΟΙΧΕΙΑ!I41=0,"",ΣΤΟΙΧΕΙΑ!I41)</f>
        <v/>
      </c>
      <c r="K22" s="8" t="str">
        <f>IF(ΣΤΟΙΧΕΙΑ!J41=0,"",ΣΤΟΙΧΕΙΑ!J41)</f>
        <v/>
      </c>
      <c r="L22" s="8" t="str">
        <f>IF(ΣΤΟΙΧΕΙΑ!K41=0,"",ΣΤΟΙΧΕΙΑ!K41)</f>
        <v/>
      </c>
      <c r="M22" s="8" t="str">
        <f>IF(ΣΤΟΙΧΕΙΑ!L41=0,"",ΣΤΟΙΧΕΙΑ!L41)</f>
        <v/>
      </c>
      <c r="N22" s="8" t="str">
        <f>IF(ΣΤΟΙΧΕΙΑ!M41=0,"",ΣΤΟΙΧΕΙΑ!M41)</f>
        <v/>
      </c>
      <c r="O22" s="8" t="str">
        <f>IF(ΣΤΟΙΧΕΙΑ!N41=0,"",ΣΤΟΙΧΕΙΑ!N41)</f>
        <v/>
      </c>
      <c r="P22" s="8" t="str">
        <f>IF(ΣΤΟΙΧΕΙΑ!O41=0,"",ΣΤΟΙΧΕΙΑ!O41)</f>
        <v/>
      </c>
      <c r="Q22" s="553">
        <f ca="1">SUM(E22:P22)</f>
        <v>44.314208126686182</v>
      </c>
      <c r="R22" s="554"/>
      <c r="S22" s="555"/>
      <c r="T22" s="554" t="str">
        <f t="shared" ref="T22:T30" si="9">IF(R22-S22=0,"",R22-S22)</f>
        <v/>
      </c>
    </row>
    <row r="23" spans="1:22" s="9" customFormat="1" ht="9.9499999999999993" customHeight="1">
      <c r="A23" s="293">
        <f>IF(B23="","",A22+1)</f>
        <v>2</v>
      </c>
      <c r="B23" s="128" t="str">
        <f>Διαμερίσματα!B7</f>
        <v>Κ2</v>
      </c>
      <c r="C23" s="128" t="str">
        <f>Διαμερίσματα!I7</f>
        <v>Ιδιοκτήτης-2</v>
      </c>
      <c r="D23" s="552"/>
      <c r="E23" s="8" t="str">
        <f>IF(ΣΤΟΙΧΕΙΑ!D42=0,"",ΣΤΟΙΧΕΙΑ!D42)</f>
        <v/>
      </c>
      <c r="F23" s="8">
        <f ca="1">IF(ΣΤΟΙΧΕΙΑ!E42=0,"",ΣΤΟΙΧΕΙΑ!E42)</f>
        <v>49.190348052390995</v>
      </c>
      <c r="G23" s="8" t="str">
        <f>IF(ΣΤΟΙΧΕΙΑ!F42=0,"",ΣΤΟΙΧΕΙΑ!F42)</f>
        <v/>
      </c>
      <c r="H23" s="8" t="str">
        <f>IF(ΣΤΟΙΧΕΙΑ!G42=0,"",ΣΤΟΙΧΕΙΑ!G42)</f>
        <v/>
      </c>
      <c r="I23" s="8" t="str">
        <f>IF(ΣΤΟΙΧΕΙΑ!H42=0,"",ΣΤΟΙΧΕΙΑ!H42)</f>
        <v/>
      </c>
      <c r="J23" s="8" t="str">
        <f>IF(ΣΤΟΙΧΕΙΑ!I42=0,"",ΣΤΟΙΧΕΙΑ!I42)</f>
        <v/>
      </c>
      <c r="K23" s="8" t="str">
        <f>IF(ΣΤΟΙΧΕΙΑ!J42=0,"",ΣΤΟΙΧΕΙΑ!J42)</f>
        <v/>
      </c>
      <c r="L23" s="8" t="str">
        <f>IF(ΣΤΟΙΧΕΙΑ!K42=0,"",ΣΤΟΙΧΕΙΑ!K42)</f>
        <v/>
      </c>
      <c r="M23" s="8" t="str">
        <f>IF(ΣΤΟΙΧΕΙΑ!L42=0,"",ΣΤΟΙΧΕΙΑ!L42)</f>
        <v/>
      </c>
      <c r="N23" s="8" t="str">
        <f>IF(ΣΤΟΙΧΕΙΑ!M42=0,"",ΣΤΟΙΧΕΙΑ!M42)</f>
        <v/>
      </c>
      <c r="O23" s="8" t="str">
        <f>IF(ΣΤΟΙΧΕΙΑ!N42=0,"",ΣΤΟΙΧΕΙΑ!N42)</f>
        <v/>
      </c>
      <c r="P23" s="8" t="str">
        <f>IF(ΣΤΟΙΧΕΙΑ!O42=0,"",ΣΤΟΙΧΕΙΑ!O42)</f>
        <v/>
      </c>
      <c r="Q23" s="553">
        <f t="shared" ref="Q23:Q30" ca="1" si="10">SUM(E23:P23)</f>
        <v>49.190348052390995</v>
      </c>
      <c r="R23" s="554"/>
      <c r="S23" s="555"/>
      <c r="T23" s="554" t="str">
        <f t="shared" si="9"/>
        <v/>
      </c>
      <c r="V23" s="556"/>
    </row>
    <row r="24" spans="1:22" s="9" customFormat="1" ht="9.9499999999999993" customHeight="1">
      <c r="A24" s="293">
        <f t="shared" ref="A24:A30" si="11">IF(B24="","",A23+1)</f>
        <v>3</v>
      </c>
      <c r="B24" s="128" t="str">
        <f>Διαμερίσματα!B8</f>
        <v>Κ3</v>
      </c>
      <c r="C24" s="128" t="str">
        <f>Διαμερίσματα!I8</f>
        <v>Ιδιοκτήτης-3</v>
      </c>
      <c r="D24" s="552"/>
      <c r="E24" s="8" t="str">
        <f>IF(ΣΤΟΙΧΕΙΑ!D43=0,"",ΣΤΟΙΧΕΙΑ!D43)</f>
        <v/>
      </c>
      <c r="F24" s="8">
        <f ca="1">IF(ΣΤΟΙΧΕΙΑ!E43=0,"",ΣΤΟΙΧΕΙΑ!E43)</f>
        <v>225.0399534872713</v>
      </c>
      <c r="G24" s="8" t="str">
        <f>IF(ΣΤΟΙΧΕΙΑ!F43=0,"",ΣΤΟΙΧΕΙΑ!F43)</f>
        <v/>
      </c>
      <c r="H24" s="8" t="str">
        <f>IF(ΣΤΟΙΧΕΙΑ!G43=0,"",ΣΤΟΙΧΕΙΑ!G43)</f>
        <v/>
      </c>
      <c r="I24" s="8" t="str">
        <f>IF(ΣΤΟΙΧΕΙΑ!H43=0,"",ΣΤΟΙΧΕΙΑ!H43)</f>
        <v/>
      </c>
      <c r="J24" s="8" t="str">
        <f>IF(ΣΤΟΙΧΕΙΑ!I43=0,"",ΣΤΟΙΧΕΙΑ!I43)</f>
        <v/>
      </c>
      <c r="K24" s="8" t="str">
        <f>IF(ΣΤΟΙΧΕΙΑ!J43=0,"",ΣΤΟΙΧΕΙΑ!J43)</f>
        <v/>
      </c>
      <c r="L24" s="8" t="str">
        <f>IF(ΣΤΟΙΧΕΙΑ!K43=0,"",ΣΤΟΙΧΕΙΑ!K43)</f>
        <v/>
      </c>
      <c r="M24" s="8" t="str">
        <f>IF(ΣΤΟΙΧΕΙΑ!L43=0,"",ΣΤΟΙΧΕΙΑ!L43)</f>
        <v/>
      </c>
      <c r="N24" s="8" t="str">
        <f>IF(ΣΤΟΙΧΕΙΑ!M43=0,"",ΣΤΟΙΧΕΙΑ!M43)</f>
        <v/>
      </c>
      <c r="O24" s="8" t="str">
        <f>IF(ΣΤΟΙΧΕΙΑ!N43=0,"",ΣΤΟΙΧΕΙΑ!N43)</f>
        <v/>
      </c>
      <c r="P24" s="8" t="str">
        <f>IF(ΣΤΟΙΧΕΙΑ!O43=0,"",ΣΤΟΙΧΕΙΑ!O43)</f>
        <v/>
      </c>
      <c r="Q24" s="553">
        <f t="shared" ca="1" si="10"/>
        <v>225.0399534872713</v>
      </c>
      <c r="R24" s="554"/>
      <c r="S24" s="555"/>
      <c r="T24" s="554" t="str">
        <f t="shared" si="9"/>
        <v/>
      </c>
    </row>
    <row r="25" spans="1:22" s="9" customFormat="1" ht="9.9499999999999993" customHeight="1">
      <c r="A25" s="293">
        <f t="shared" si="11"/>
        <v>4</v>
      </c>
      <c r="B25" s="128" t="str">
        <f>Διαμερίσματα!B9</f>
        <v>Α1</v>
      </c>
      <c r="C25" s="128" t="str">
        <f>Διαμερίσματα!I9</f>
        <v>Ιδιοκτήτης-4</v>
      </c>
      <c r="D25" s="552"/>
      <c r="E25" s="8" t="str">
        <f>IF(ΣΤΟΙΧΕΙΑ!D44=0,"",ΣΤΟΙΧΕΙΑ!D44)</f>
        <v/>
      </c>
      <c r="F25" s="8">
        <f ca="1">IF(ΣΤΟΙΧΕΙΑ!E44=0,"",ΣΤΟΙΧΕΙΑ!E44)</f>
        <v>178.03119085637255</v>
      </c>
      <c r="G25" s="8" t="str">
        <f>IF(ΣΤΟΙΧΕΙΑ!F44=0,"",ΣΤΟΙΧΕΙΑ!F44)</f>
        <v/>
      </c>
      <c r="H25" s="8" t="str">
        <f>IF(ΣΤΟΙΧΕΙΑ!G44=0,"",ΣΤΟΙΧΕΙΑ!G44)</f>
        <v/>
      </c>
      <c r="I25" s="8" t="str">
        <f>IF(ΣΤΟΙΧΕΙΑ!H44=0,"",ΣΤΟΙΧΕΙΑ!H44)</f>
        <v/>
      </c>
      <c r="J25" s="8" t="str">
        <f>IF(ΣΤΟΙΧΕΙΑ!I44=0,"",ΣΤΟΙΧΕΙΑ!I44)</f>
        <v/>
      </c>
      <c r="K25" s="8" t="str">
        <f>IF(ΣΤΟΙΧΕΙΑ!J44=0,"",ΣΤΟΙΧΕΙΑ!J44)</f>
        <v/>
      </c>
      <c r="L25" s="8" t="str">
        <f>IF(ΣΤΟΙΧΕΙΑ!K44=0,"",ΣΤΟΙΧΕΙΑ!K44)</f>
        <v/>
      </c>
      <c r="M25" s="8" t="str">
        <f>IF(ΣΤΟΙΧΕΙΑ!L44=0,"",ΣΤΟΙΧΕΙΑ!L44)</f>
        <v/>
      </c>
      <c r="N25" s="8" t="str">
        <f>IF(ΣΤΟΙΧΕΙΑ!M44=0,"",ΣΤΟΙΧΕΙΑ!M44)</f>
        <v/>
      </c>
      <c r="O25" s="8" t="str">
        <f>IF(ΣΤΟΙΧΕΙΑ!N44=0,"",ΣΤΟΙΧΕΙΑ!N44)</f>
        <v/>
      </c>
      <c r="P25" s="8" t="str">
        <f>IF(ΣΤΟΙΧΕΙΑ!O44=0,"",ΣΤΟΙΧΕΙΑ!O44)</f>
        <v/>
      </c>
      <c r="Q25" s="553">
        <f t="shared" ca="1" si="10"/>
        <v>178.03119085637255</v>
      </c>
      <c r="R25" s="554"/>
      <c r="S25" s="555"/>
      <c r="T25" s="554" t="str">
        <f t="shared" si="9"/>
        <v/>
      </c>
    </row>
    <row r="26" spans="1:22" s="9" customFormat="1" ht="9.9499999999999993" customHeight="1">
      <c r="A26" s="293">
        <f t="shared" si="11"/>
        <v>5</v>
      </c>
      <c r="B26" s="128" t="str">
        <f>Διαμερίσματα!B10</f>
        <v>Α2</v>
      </c>
      <c r="C26" s="128" t="str">
        <f>Διαμερίσματα!I10</f>
        <v>Ιδιοκτήτης-5</v>
      </c>
      <c r="D26" s="552"/>
      <c r="E26" s="8" t="str">
        <f>IF(ΣΤΟΙΧΕΙΑ!D45=0,"",ΣΤΟΙΧΕΙΑ!D45)</f>
        <v/>
      </c>
      <c r="F26" s="8">
        <f ca="1">IF(ΣΤΟΙΧΕΙΑ!E45=0,"",ΣΤΟΙΧΕΙΑ!E45)</f>
        <v>164.47440806839413</v>
      </c>
      <c r="G26" s="8" t="str">
        <f>IF(ΣΤΟΙΧΕΙΑ!F45=0,"",ΣΤΟΙΧΕΙΑ!F45)</f>
        <v/>
      </c>
      <c r="H26" s="8" t="str">
        <f>IF(ΣΤΟΙΧΕΙΑ!G45=0,"",ΣΤΟΙΧΕΙΑ!G45)</f>
        <v/>
      </c>
      <c r="I26" s="8" t="str">
        <f>IF(ΣΤΟΙΧΕΙΑ!H45=0,"",ΣΤΟΙΧΕΙΑ!H45)</f>
        <v/>
      </c>
      <c r="J26" s="8" t="str">
        <f>IF(ΣΤΟΙΧΕΙΑ!I45=0,"",ΣΤΟΙΧΕΙΑ!I45)</f>
        <v/>
      </c>
      <c r="K26" s="8" t="str">
        <f>IF(ΣΤΟΙΧΕΙΑ!J45=0,"",ΣΤΟΙΧΕΙΑ!J45)</f>
        <v/>
      </c>
      <c r="L26" s="8" t="str">
        <f>IF(ΣΤΟΙΧΕΙΑ!K45=0,"",ΣΤΟΙΧΕΙΑ!K45)</f>
        <v/>
      </c>
      <c r="M26" s="8" t="str">
        <f>IF(ΣΤΟΙΧΕΙΑ!L45=0,"",ΣΤΟΙΧΕΙΑ!L45)</f>
        <v/>
      </c>
      <c r="N26" s="8" t="str">
        <f>IF(ΣΤΟΙΧΕΙΑ!M45=0,"",ΣΤΟΙΧΕΙΑ!M45)</f>
        <v/>
      </c>
      <c r="O26" s="8" t="str">
        <f>IF(ΣΤΟΙΧΕΙΑ!N45=0,"",ΣΤΟΙΧΕΙΑ!N45)</f>
        <v/>
      </c>
      <c r="P26" s="8" t="str">
        <f>IF(ΣΤΟΙΧΕΙΑ!O45=0,"",ΣΤΟΙΧΕΙΑ!O45)</f>
        <v/>
      </c>
      <c r="Q26" s="553">
        <f t="shared" ca="1" si="10"/>
        <v>164.47440806839413</v>
      </c>
      <c r="R26" s="554"/>
      <c r="S26" s="555"/>
      <c r="T26" s="554" t="str">
        <f t="shared" si="9"/>
        <v/>
      </c>
    </row>
    <row r="27" spans="1:22" s="9" customFormat="1" ht="9.9499999999999993" customHeight="1">
      <c r="A27" s="293">
        <f t="shared" si="11"/>
        <v>6</v>
      </c>
      <c r="B27" s="128" t="str">
        <f>Διαμερίσματα!B11</f>
        <v>Α3</v>
      </c>
      <c r="C27" s="128" t="str">
        <f>Διαμερίσματα!I11</f>
        <v>Ιδιοκτήτης-6</v>
      </c>
      <c r="D27" s="552"/>
      <c r="E27" s="8" t="str">
        <f>IF(ΣΤΟΙΧΕΙΑ!D46=0,"",ΣΤΟΙΧΕΙΑ!D46)</f>
        <v/>
      </c>
      <c r="F27" s="8">
        <f ca="1">IF(ΣΤΟΙΧΕΙΑ!E46=0,"",ΣΤΟΙΧΕΙΑ!E46)</f>
        <v>29.674311909020545</v>
      </c>
      <c r="G27" s="8" t="str">
        <f>IF(ΣΤΟΙΧΕΙΑ!F46=0,"",ΣΤΟΙΧΕΙΑ!F46)</f>
        <v/>
      </c>
      <c r="H27" s="8" t="str">
        <f>IF(ΣΤΟΙΧΕΙΑ!G46=0,"",ΣΤΟΙΧΕΙΑ!G46)</f>
        <v/>
      </c>
      <c r="I27" s="8" t="str">
        <f>IF(ΣΤΟΙΧΕΙΑ!H46=0,"",ΣΤΟΙΧΕΙΑ!H46)</f>
        <v/>
      </c>
      <c r="J27" s="8" t="str">
        <f>IF(ΣΤΟΙΧΕΙΑ!I46=0,"",ΣΤΟΙΧΕΙΑ!I46)</f>
        <v/>
      </c>
      <c r="K27" s="8" t="str">
        <f>IF(ΣΤΟΙΧΕΙΑ!J46=0,"",ΣΤΟΙΧΕΙΑ!J46)</f>
        <v/>
      </c>
      <c r="L27" s="8" t="str">
        <f>IF(ΣΤΟΙΧΕΙΑ!K46=0,"",ΣΤΟΙΧΕΙΑ!K46)</f>
        <v/>
      </c>
      <c r="M27" s="8" t="str">
        <f>IF(ΣΤΟΙΧΕΙΑ!L46=0,"",ΣΤΟΙΧΕΙΑ!L46)</f>
        <v/>
      </c>
      <c r="N27" s="8" t="str">
        <f>IF(ΣΤΟΙΧΕΙΑ!M46=0,"",ΣΤΟΙΧΕΙΑ!M46)</f>
        <v/>
      </c>
      <c r="O27" s="8" t="str">
        <f>IF(ΣΤΟΙΧΕΙΑ!N46=0,"",ΣΤΟΙΧΕΙΑ!N46)</f>
        <v/>
      </c>
      <c r="P27" s="8" t="str">
        <f>IF(ΣΤΟΙΧΕΙΑ!O46=0,"",ΣΤΟΙΧΕΙΑ!O46)</f>
        <v/>
      </c>
      <c r="Q27" s="553">
        <f t="shared" ca="1" si="10"/>
        <v>29.674311909020545</v>
      </c>
      <c r="R27" s="554"/>
      <c r="S27" s="555"/>
      <c r="T27" s="554" t="str">
        <f t="shared" si="9"/>
        <v/>
      </c>
    </row>
    <row r="28" spans="1:22" s="9" customFormat="1" ht="9.9499999999999993" customHeight="1">
      <c r="A28" s="293">
        <f t="shared" si="11"/>
        <v>7</v>
      </c>
      <c r="B28" s="128" t="str">
        <f>Διαμερίσματα!B12</f>
        <v>Α4</v>
      </c>
      <c r="C28" s="128" t="str">
        <f>Διαμερίσματα!I12</f>
        <v>Ιδιοκτήτης-7</v>
      </c>
      <c r="D28" s="552"/>
      <c r="E28" s="8" t="str">
        <f>IF(ΣΤΟΙΧΕΙΑ!D47=0,"",ΣΤΟΙΧΕΙΑ!D47)</f>
        <v/>
      </c>
      <c r="F28" s="8">
        <f ca="1">IF(ΣΤΟΙΧΕΙΑ!E47=0,"",ΣΤΟΙΧΕΙΑ!E47)</f>
        <v>78.110430280266428</v>
      </c>
      <c r="G28" s="8" t="str">
        <f>IF(ΣΤΟΙΧΕΙΑ!F47=0,"",ΣΤΟΙΧΕΙΑ!F47)</f>
        <v/>
      </c>
      <c r="H28" s="8" t="str">
        <f>IF(ΣΤΟΙΧΕΙΑ!G47=0,"",ΣΤΟΙΧΕΙΑ!G47)</f>
        <v/>
      </c>
      <c r="I28" s="8" t="str">
        <f>IF(ΣΤΟΙΧΕΙΑ!H47=0,"",ΣΤΟΙΧΕΙΑ!H47)</f>
        <v/>
      </c>
      <c r="J28" s="8" t="str">
        <f>IF(ΣΤΟΙΧΕΙΑ!I47=0,"",ΣΤΟΙΧΕΙΑ!I47)</f>
        <v/>
      </c>
      <c r="K28" s="8" t="str">
        <f>IF(ΣΤΟΙΧΕΙΑ!J47=0,"",ΣΤΟΙΧΕΙΑ!J47)</f>
        <v/>
      </c>
      <c r="L28" s="8" t="str">
        <f>IF(ΣΤΟΙΧΕΙΑ!K47=0,"",ΣΤΟΙΧΕΙΑ!K47)</f>
        <v/>
      </c>
      <c r="M28" s="8" t="str">
        <f>IF(ΣΤΟΙΧΕΙΑ!L47=0,"",ΣΤΟΙΧΕΙΑ!L47)</f>
        <v/>
      </c>
      <c r="N28" s="8" t="str">
        <f>IF(ΣΤΟΙΧΕΙΑ!M47=0,"",ΣΤΟΙΧΕΙΑ!M47)</f>
        <v/>
      </c>
      <c r="O28" s="8" t="str">
        <f>IF(ΣΤΟΙΧΕΙΑ!N47=0,"",ΣΤΟΙΧΕΙΑ!N47)</f>
        <v/>
      </c>
      <c r="P28" s="8" t="str">
        <f>IF(ΣΤΟΙΧΕΙΑ!O47=0,"",ΣΤΟΙΧΕΙΑ!O47)</f>
        <v/>
      </c>
      <c r="Q28" s="553">
        <f t="shared" ca="1" si="10"/>
        <v>78.110430280266428</v>
      </c>
      <c r="R28" s="554"/>
      <c r="S28" s="555"/>
      <c r="T28" s="554" t="str">
        <f t="shared" si="9"/>
        <v/>
      </c>
    </row>
    <row r="29" spans="1:22" s="9" customFormat="1" ht="9.9499999999999993" customHeight="1">
      <c r="A29" s="293">
        <f t="shared" si="11"/>
        <v>8</v>
      </c>
      <c r="B29" s="128" t="str">
        <f>Διαμερίσματα!B13</f>
        <v>Β1</v>
      </c>
      <c r="C29" s="128" t="str">
        <f>Διαμερίσματα!I13</f>
        <v>Ιδιοκτήτης-8</v>
      </c>
      <c r="D29" s="552"/>
      <c r="E29" s="8" t="str">
        <f>IF(ΣΤΟΙΧΕΙΑ!D48=0,"",ΣΤΟΙΧΕΙΑ!D48)</f>
        <v/>
      </c>
      <c r="F29" s="8">
        <f ca="1">IF(ΣΤΟΙΧΕΙΑ!E48=0,"",ΣΤΟΙΧΕΙΑ!E48)</f>
        <v>77.398602290764842</v>
      </c>
      <c r="G29" s="8" t="str">
        <f>IF(ΣΤΟΙΧΕΙΑ!F48=0,"",ΣΤΟΙΧΕΙΑ!F48)</f>
        <v/>
      </c>
      <c r="H29" s="8" t="str">
        <f>IF(ΣΤΟΙΧΕΙΑ!G48=0,"",ΣΤΟΙΧΕΙΑ!G48)</f>
        <v/>
      </c>
      <c r="I29" s="8" t="str">
        <f>IF(ΣΤΟΙΧΕΙΑ!H48=0,"",ΣΤΟΙΧΕΙΑ!H48)</f>
        <v/>
      </c>
      <c r="J29" s="8" t="str">
        <f>IF(ΣΤΟΙΧΕΙΑ!I48=0,"",ΣΤΟΙΧΕΙΑ!I48)</f>
        <v/>
      </c>
      <c r="K29" s="8" t="str">
        <f>IF(ΣΤΟΙΧΕΙΑ!J48=0,"",ΣΤΟΙΧΕΙΑ!J48)</f>
        <v/>
      </c>
      <c r="L29" s="8" t="str">
        <f>IF(ΣΤΟΙΧΕΙΑ!K48=0,"",ΣΤΟΙΧΕΙΑ!K48)</f>
        <v/>
      </c>
      <c r="M29" s="8" t="str">
        <f>IF(ΣΤΟΙΧΕΙΑ!L48=0,"",ΣΤΟΙΧΕΙΑ!L48)</f>
        <v/>
      </c>
      <c r="N29" s="8" t="str">
        <f>IF(ΣΤΟΙΧΕΙΑ!M48=0,"",ΣΤΟΙΧΕΙΑ!M48)</f>
        <v/>
      </c>
      <c r="O29" s="8" t="str">
        <f>IF(ΣΤΟΙΧΕΙΑ!N48=0,"",ΣΤΟΙΧΕΙΑ!N48)</f>
        <v/>
      </c>
      <c r="P29" s="8" t="str">
        <f>IF(ΣΤΟΙΧΕΙΑ!O48=0,"",ΣΤΟΙΧΕΙΑ!O48)</f>
        <v/>
      </c>
      <c r="Q29" s="553">
        <f t="shared" ca="1" si="10"/>
        <v>77.398602290764842</v>
      </c>
      <c r="R29" s="554"/>
      <c r="S29" s="555"/>
      <c r="T29" s="554" t="str">
        <f t="shared" si="9"/>
        <v/>
      </c>
    </row>
    <row r="30" spans="1:22" s="9" customFormat="1" ht="9.9499999999999993" customHeight="1">
      <c r="A30" s="293">
        <f t="shared" si="11"/>
        <v>9</v>
      </c>
      <c r="B30" s="128" t="str">
        <f>Διαμερίσματα!B14</f>
        <v>Β2</v>
      </c>
      <c r="C30" s="128" t="str">
        <f>Διαμερίσματα!I14</f>
        <v>Ιδιοκτήτης-9</v>
      </c>
      <c r="D30" s="552"/>
      <c r="E30" s="8" t="str">
        <f>IF(ΣΤΟΙΧΕΙΑ!D49=0,"",ΣΤΟΙΧΕΙΑ!D49)</f>
        <v/>
      </c>
      <c r="F30" s="8">
        <f ca="1">IF(ΣΤΟΙΧΕΙΑ!E49=0,"",ΣΤΟΙΧΕΙΑ!E49)</f>
        <v>133.28128926186497</v>
      </c>
      <c r="G30" s="8" t="str">
        <f>IF(ΣΤΟΙΧΕΙΑ!F49=0,"",ΣΤΟΙΧΕΙΑ!F49)</f>
        <v/>
      </c>
      <c r="H30" s="8" t="str">
        <f>IF(ΣΤΟΙΧΕΙΑ!G49=0,"",ΣΤΟΙΧΕΙΑ!G49)</f>
        <v/>
      </c>
      <c r="I30" s="8" t="str">
        <f>IF(ΣΤΟΙΧΕΙΑ!H49=0,"",ΣΤΟΙΧΕΙΑ!H49)</f>
        <v/>
      </c>
      <c r="J30" s="8" t="str">
        <f>IF(ΣΤΟΙΧΕΙΑ!I49=0,"",ΣΤΟΙΧΕΙΑ!I49)</f>
        <v/>
      </c>
      <c r="K30" s="8" t="str">
        <f>IF(ΣΤΟΙΧΕΙΑ!J49=0,"",ΣΤΟΙΧΕΙΑ!J49)</f>
        <v/>
      </c>
      <c r="L30" s="8" t="str">
        <f>IF(ΣΤΟΙΧΕΙΑ!K49=0,"",ΣΤΟΙΧΕΙΑ!K49)</f>
        <v/>
      </c>
      <c r="M30" s="8" t="str">
        <f>IF(ΣΤΟΙΧΕΙΑ!L49=0,"",ΣΤΟΙΧΕΙΑ!L49)</f>
        <v/>
      </c>
      <c r="N30" s="8" t="str">
        <f>IF(ΣΤΟΙΧΕΙΑ!M49=0,"",ΣΤΟΙΧΕΙΑ!M49)</f>
        <v/>
      </c>
      <c r="O30" s="8" t="str">
        <f>IF(ΣΤΟΙΧΕΙΑ!N49=0,"",ΣΤΟΙΧΕΙΑ!N49)</f>
        <v/>
      </c>
      <c r="P30" s="8" t="str">
        <f>IF(ΣΤΟΙΧΕΙΑ!O49=0,"",ΣΤΟΙΧΕΙΑ!O49)</f>
        <v/>
      </c>
      <c r="Q30" s="553">
        <f t="shared" ca="1" si="10"/>
        <v>133.28128926186497</v>
      </c>
      <c r="R30" s="554"/>
      <c r="S30" s="555"/>
      <c r="T30" s="554" t="str">
        <f t="shared" si="9"/>
        <v/>
      </c>
    </row>
    <row r="31" spans="1:22" s="9" customFormat="1" ht="9.9499999999999993" customHeight="1">
      <c r="A31" s="293">
        <f t="shared" ref="A31:A43" si="12">IF(B31="","",A30+1)</f>
        <v>10</v>
      </c>
      <c r="B31" s="128" t="str">
        <f>Διαμερίσματα!B15</f>
        <v>Β3</v>
      </c>
      <c r="C31" s="128" t="str">
        <f>Διαμερίσματα!I15</f>
        <v>Ιδιοκτήτης-10</v>
      </c>
      <c r="D31" s="552"/>
      <c r="E31" s="8" t="str">
        <f>IF(ΣΤΟΙΧΕΙΑ!D50=0,"",ΣΤΟΙΧΕΙΑ!D50)</f>
        <v/>
      </c>
      <c r="F31" s="8">
        <f ca="1">IF(ΣΤΟΙΧΕΙΑ!E50=0,"",ΣΤΟΙΧΕΙΑ!E50)</f>
        <v>236.65566490196161</v>
      </c>
      <c r="G31" s="8" t="str">
        <f>IF(ΣΤΟΙΧΕΙΑ!F50=0,"",ΣΤΟΙΧΕΙΑ!F50)</f>
        <v/>
      </c>
      <c r="H31" s="8" t="str">
        <f>IF(ΣΤΟΙΧΕΙΑ!G50=0,"",ΣΤΟΙΧΕΙΑ!G50)</f>
        <v/>
      </c>
      <c r="I31" s="8" t="str">
        <f>IF(ΣΤΟΙΧΕΙΑ!H50=0,"",ΣΤΟΙΧΕΙΑ!H50)</f>
        <v/>
      </c>
      <c r="J31" s="8" t="str">
        <f>IF(ΣΤΟΙΧΕΙΑ!I50=0,"",ΣΤΟΙΧΕΙΑ!I50)</f>
        <v/>
      </c>
      <c r="K31" s="8" t="str">
        <f>IF(ΣΤΟΙΧΕΙΑ!J50=0,"",ΣΤΟΙΧΕΙΑ!J50)</f>
        <v/>
      </c>
      <c r="L31" s="8" t="str">
        <f>IF(ΣΤΟΙΧΕΙΑ!K50=0,"",ΣΤΟΙΧΕΙΑ!K50)</f>
        <v/>
      </c>
      <c r="M31" s="8" t="str">
        <f>IF(ΣΤΟΙΧΕΙΑ!L50=0,"",ΣΤΟΙΧΕΙΑ!L50)</f>
        <v/>
      </c>
      <c r="N31" s="8" t="str">
        <f>IF(ΣΤΟΙΧΕΙΑ!M50=0,"",ΣΤΟΙΧΕΙΑ!M50)</f>
        <v/>
      </c>
      <c r="O31" s="8" t="str">
        <f>IF(ΣΤΟΙΧΕΙΑ!N50=0,"",ΣΤΟΙΧΕΙΑ!N50)</f>
        <v/>
      </c>
      <c r="P31" s="8" t="str">
        <f>IF(ΣΤΟΙΧΕΙΑ!O50=0,"",ΣΤΟΙΧΕΙΑ!O50)</f>
        <v/>
      </c>
      <c r="Q31" s="553">
        <f t="shared" ref="Q31:Q43" ca="1" si="13">SUM(E31:P31)</f>
        <v>236.65566490196161</v>
      </c>
      <c r="R31" s="554"/>
      <c r="S31" s="555"/>
      <c r="T31" s="554" t="str">
        <f t="shared" ref="T31:T43" si="14">IF(R31-S31=0,"",R31-S31)</f>
        <v/>
      </c>
    </row>
    <row r="32" spans="1:22" s="9" customFormat="1" ht="9.9499999999999993" customHeight="1">
      <c r="A32" s="293">
        <f t="shared" si="12"/>
        <v>11</v>
      </c>
      <c r="B32" s="128" t="str">
        <f>Διαμερίσματα!B16</f>
        <v>Β4</v>
      </c>
      <c r="C32" s="128" t="str">
        <f>Διαμερίσματα!I16</f>
        <v>Ιδιοκτήτης-11</v>
      </c>
      <c r="D32" s="552"/>
      <c r="E32" s="8" t="str">
        <f>IF(ΣΤΟΙΧΕΙΑ!D51=0,"",ΣΤΟΙΧΕΙΑ!D51)</f>
        <v/>
      </c>
      <c r="F32" s="8" t="str">
        <f ca="1">IF(ΣΤΟΙΧΕΙΑ!E51=0,"",ΣΤΟΙΧΕΙΑ!E51)</f>
        <v/>
      </c>
      <c r="G32" s="8" t="str">
        <f>IF(ΣΤΟΙΧΕΙΑ!F51=0,"",ΣΤΟΙΧΕΙΑ!F51)</f>
        <v/>
      </c>
      <c r="H32" s="8" t="str">
        <f>IF(ΣΤΟΙΧΕΙΑ!G51=0,"",ΣΤΟΙΧΕΙΑ!G51)</f>
        <v/>
      </c>
      <c r="I32" s="8" t="str">
        <f>IF(ΣΤΟΙΧΕΙΑ!H51=0,"",ΣΤΟΙΧΕΙΑ!H51)</f>
        <v/>
      </c>
      <c r="J32" s="8" t="str">
        <f>IF(ΣΤΟΙΧΕΙΑ!I51=0,"",ΣΤΟΙΧΕΙΑ!I51)</f>
        <v/>
      </c>
      <c r="K32" s="8" t="str">
        <f>IF(ΣΤΟΙΧΕΙΑ!J51=0,"",ΣΤΟΙΧΕΙΑ!J51)</f>
        <v/>
      </c>
      <c r="L32" s="8" t="str">
        <f>IF(ΣΤΟΙΧΕΙΑ!K51=0,"",ΣΤΟΙΧΕΙΑ!K51)</f>
        <v/>
      </c>
      <c r="M32" s="8" t="str">
        <f>IF(ΣΤΟΙΧΕΙΑ!L51=0,"",ΣΤΟΙΧΕΙΑ!L51)</f>
        <v/>
      </c>
      <c r="N32" s="8" t="str">
        <f>IF(ΣΤΟΙΧΕΙΑ!M51=0,"",ΣΤΟΙΧΕΙΑ!M51)</f>
        <v/>
      </c>
      <c r="O32" s="8" t="str">
        <f>IF(ΣΤΟΙΧΕΙΑ!N51=0,"",ΣΤΟΙΧΕΙΑ!N51)</f>
        <v/>
      </c>
      <c r="P32" s="8" t="str">
        <f>IF(ΣΤΟΙΧΕΙΑ!O51=0,"",ΣΤΟΙΧΕΙΑ!O51)</f>
        <v/>
      </c>
      <c r="Q32" s="553">
        <f t="shared" ca="1" si="13"/>
        <v>0</v>
      </c>
      <c r="R32" s="554"/>
      <c r="S32" s="555"/>
      <c r="T32" s="554" t="str">
        <f t="shared" si="14"/>
        <v/>
      </c>
    </row>
    <row r="33" spans="1:20" s="9" customFormat="1" ht="9.9499999999999993" customHeight="1">
      <c r="A33" s="293">
        <f t="shared" si="12"/>
        <v>12</v>
      </c>
      <c r="B33" s="128" t="str">
        <f>Διαμερίσματα!B17</f>
        <v>Γ1</v>
      </c>
      <c r="C33" s="128" t="str">
        <f>Διαμερίσματα!I17</f>
        <v>Ιδιοκτήτης-12</v>
      </c>
      <c r="D33" s="552"/>
      <c r="E33" s="8" t="str">
        <f>IF(ΣΤΟΙΧΕΙΑ!D52=0,"",ΣΤΟΙΧΕΙΑ!D52)</f>
        <v/>
      </c>
      <c r="F33" s="8">
        <f ca="1">IF(ΣΤΟΙΧΕΙΑ!E52=0,"",ΣΤΟΙΧΕΙΑ!E52)</f>
        <v>26.341334434909303</v>
      </c>
      <c r="G33" s="8" t="str">
        <f>IF(ΣΤΟΙΧΕΙΑ!F52=0,"",ΣΤΟΙΧΕΙΑ!F52)</f>
        <v/>
      </c>
      <c r="H33" s="8" t="str">
        <f>IF(ΣΤΟΙΧΕΙΑ!G52=0,"",ΣΤΟΙΧΕΙΑ!G52)</f>
        <v/>
      </c>
      <c r="I33" s="8" t="str">
        <f>IF(ΣΤΟΙΧΕΙΑ!H52=0,"",ΣΤΟΙΧΕΙΑ!H52)</f>
        <v/>
      </c>
      <c r="J33" s="8" t="str">
        <f>IF(ΣΤΟΙΧΕΙΑ!I52=0,"",ΣΤΟΙΧΕΙΑ!I52)</f>
        <v/>
      </c>
      <c r="K33" s="8" t="str">
        <f>IF(ΣΤΟΙΧΕΙΑ!J52=0,"",ΣΤΟΙΧΕΙΑ!J52)</f>
        <v/>
      </c>
      <c r="L33" s="8" t="str">
        <f>IF(ΣΤΟΙΧΕΙΑ!K52=0,"",ΣΤΟΙΧΕΙΑ!K52)</f>
        <v/>
      </c>
      <c r="M33" s="8" t="str">
        <f>IF(ΣΤΟΙΧΕΙΑ!L52=0,"",ΣΤΟΙΧΕΙΑ!L52)</f>
        <v/>
      </c>
      <c r="N33" s="8" t="str">
        <f>IF(ΣΤΟΙΧΕΙΑ!M52=0,"",ΣΤΟΙΧΕΙΑ!M52)</f>
        <v/>
      </c>
      <c r="O33" s="8" t="str">
        <f>IF(ΣΤΟΙΧΕΙΑ!N52=0,"",ΣΤΟΙΧΕΙΑ!N52)</f>
        <v/>
      </c>
      <c r="P33" s="8" t="str">
        <f>IF(ΣΤΟΙΧΕΙΑ!O52=0,"",ΣΤΟΙΧΕΙΑ!O52)</f>
        <v/>
      </c>
      <c r="Q33" s="553">
        <f t="shared" ca="1" si="13"/>
        <v>26.341334434909303</v>
      </c>
      <c r="R33" s="554"/>
      <c r="S33" s="555"/>
      <c r="T33" s="554" t="str">
        <f t="shared" si="14"/>
        <v/>
      </c>
    </row>
    <row r="34" spans="1:20" s="9" customFormat="1" ht="9.9499999999999993" customHeight="1">
      <c r="A34" s="293">
        <f t="shared" si="12"/>
        <v>13</v>
      </c>
      <c r="B34" s="128" t="str">
        <f>Διαμερίσματα!B18</f>
        <v>Γ2</v>
      </c>
      <c r="C34" s="128" t="str">
        <f>Διαμερίσματα!I18</f>
        <v>Ιδιοκτήτης-13</v>
      </c>
      <c r="D34" s="552"/>
      <c r="E34" s="8" t="str">
        <f>IF(ΣΤΟΙΧΕΙΑ!D53=0,"",ΣΤΟΙΧΕΙΑ!D53)</f>
        <v/>
      </c>
      <c r="F34" s="8">
        <f ca="1">IF(ΣΤΟΙΧΕΙΑ!E53=0,"",ΣΤΟΙΧΕΙΑ!E53)</f>
        <v>26.37122660956501</v>
      </c>
      <c r="G34" s="8" t="str">
        <f>IF(ΣΤΟΙΧΕΙΑ!F53=0,"",ΣΤΟΙΧΕΙΑ!F53)</f>
        <v/>
      </c>
      <c r="H34" s="8" t="str">
        <f>IF(ΣΤΟΙΧΕΙΑ!G53=0,"",ΣΤΟΙΧΕΙΑ!G53)</f>
        <v/>
      </c>
      <c r="I34" s="8" t="str">
        <f>IF(ΣΤΟΙΧΕΙΑ!H53=0,"",ΣΤΟΙΧΕΙΑ!H53)</f>
        <v/>
      </c>
      <c r="J34" s="8" t="str">
        <f>IF(ΣΤΟΙΧΕΙΑ!I53=0,"",ΣΤΟΙΧΕΙΑ!I53)</f>
        <v/>
      </c>
      <c r="K34" s="8" t="str">
        <f>IF(ΣΤΟΙΧΕΙΑ!J53=0,"",ΣΤΟΙΧΕΙΑ!J53)</f>
        <v/>
      </c>
      <c r="L34" s="8" t="str">
        <f>IF(ΣΤΟΙΧΕΙΑ!K53=0,"",ΣΤΟΙΧΕΙΑ!K53)</f>
        <v/>
      </c>
      <c r="M34" s="8" t="str">
        <f>IF(ΣΤΟΙΧΕΙΑ!L53=0,"",ΣΤΟΙΧΕΙΑ!L53)</f>
        <v/>
      </c>
      <c r="N34" s="8" t="str">
        <f>IF(ΣΤΟΙΧΕΙΑ!M53=0,"",ΣΤΟΙΧΕΙΑ!M53)</f>
        <v/>
      </c>
      <c r="O34" s="8" t="str">
        <f>IF(ΣΤΟΙΧΕΙΑ!N53=0,"",ΣΤΟΙΧΕΙΑ!N53)</f>
        <v/>
      </c>
      <c r="P34" s="8" t="str">
        <f>IF(ΣΤΟΙΧΕΙΑ!O53=0,"",ΣΤΟΙΧΕΙΑ!O53)</f>
        <v/>
      </c>
      <c r="Q34" s="553">
        <f t="shared" ca="1" si="13"/>
        <v>26.37122660956501</v>
      </c>
      <c r="R34" s="554"/>
      <c r="S34" s="555"/>
      <c r="T34" s="554" t="str">
        <f t="shared" si="14"/>
        <v/>
      </c>
    </row>
    <row r="35" spans="1:20" s="9" customFormat="1" ht="9.9499999999999993" customHeight="1">
      <c r="A35" s="293">
        <f t="shared" si="12"/>
        <v>14</v>
      </c>
      <c r="B35" s="128" t="str">
        <f>Διαμερίσματα!B19</f>
        <v>Γ3</v>
      </c>
      <c r="C35" s="128" t="str">
        <f>Διαμερίσματα!I19</f>
        <v>Ιδιοκτήτης-14</v>
      </c>
      <c r="D35" s="552"/>
      <c r="E35" s="8" t="str">
        <f>IF(ΣΤΟΙΧΕΙΑ!D54=0,"",ΣΤΟΙΧΕΙΑ!D54)</f>
        <v/>
      </c>
      <c r="F35" s="8">
        <f ca="1">IF(ΣΤΟΙΧΕΙΑ!E54=0,"",ΣΤΟΙΧΕΙΑ!E54)</f>
        <v>26.37122660956501</v>
      </c>
      <c r="G35" s="8" t="str">
        <f>IF(ΣΤΟΙΧΕΙΑ!F54=0,"",ΣΤΟΙΧΕΙΑ!F54)</f>
        <v/>
      </c>
      <c r="H35" s="8" t="str">
        <f>IF(ΣΤΟΙΧΕΙΑ!G54=0,"",ΣΤΟΙΧΕΙΑ!G54)</f>
        <v/>
      </c>
      <c r="I35" s="8" t="str">
        <f>IF(ΣΤΟΙΧΕΙΑ!H54=0,"",ΣΤΟΙΧΕΙΑ!H54)</f>
        <v/>
      </c>
      <c r="J35" s="8" t="str">
        <f>IF(ΣΤΟΙΧΕΙΑ!I54=0,"",ΣΤΟΙΧΕΙΑ!I54)</f>
        <v/>
      </c>
      <c r="K35" s="8" t="str">
        <f>IF(ΣΤΟΙΧΕΙΑ!J54=0,"",ΣΤΟΙΧΕΙΑ!J54)</f>
        <v/>
      </c>
      <c r="L35" s="8" t="str">
        <f>IF(ΣΤΟΙΧΕΙΑ!K54=0,"",ΣΤΟΙΧΕΙΑ!K54)</f>
        <v/>
      </c>
      <c r="M35" s="8" t="str">
        <f>IF(ΣΤΟΙΧΕΙΑ!L54=0,"",ΣΤΟΙΧΕΙΑ!L54)</f>
        <v/>
      </c>
      <c r="N35" s="8" t="str">
        <f>IF(ΣΤΟΙΧΕΙΑ!M54=0,"",ΣΤΟΙΧΕΙΑ!M54)</f>
        <v/>
      </c>
      <c r="O35" s="8" t="str">
        <f>IF(ΣΤΟΙΧΕΙΑ!N54=0,"",ΣΤΟΙΧΕΙΑ!N54)</f>
        <v/>
      </c>
      <c r="P35" s="8" t="str">
        <f>IF(ΣΤΟΙΧΕΙΑ!O54=0,"",ΣΤΟΙΧΕΙΑ!O54)</f>
        <v/>
      </c>
      <c r="Q35" s="553">
        <f t="shared" ca="1" si="13"/>
        <v>26.37122660956501</v>
      </c>
      <c r="R35" s="554"/>
      <c r="S35" s="555"/>
      <c r="T35" s="554" t="str">
        <f t="shared" si="14"/>
        <v/>
      </c>
    </row>
    <row r="36" spans="1:20" s="9" customFormat="1" ht="9.9499999999999993" customHeight="1">
      <c r="A36" s="293">
        <f t="shared" si="12"/>
        <v>15</v>
      </c>
      <c r="B36" s="128" t="str">
        <f>Διαμερίσματα!B20</f>
        <v>Γ4</v>
      </c>
      <c r="C36" s="128" t="str">
        <f>Διαμερίσματα!I20</f>
        <v>Ιδιοκτήτης-15</v>
      </c>
      <c r="D36" s="552"/>
      <c r="E36" s="8" t="str">
        <f>IF(ΣΤΟΙΧΕΙΑ!D55=0,"",ΣΤΟΙΧΕΙΑ!D55)</f>
        <v/>
      </c>
      <c r="F36" s="8">
        <f ca="1">IF(ΣΤΟΙΧΕΙΑ!E55=0,"",ΣΤΟΙΧΕΙΑ!E55)</f>
        <v>26.37122660956501</v>
      </c>
      <c r="G36" s="8" t="str">
        <f>IF(ΣΤΟΙΧΕΙΑ!F55=0,"",ΣΤΟΙΧΕΙΑ!F55)</f>
        <v/>
      </c>
      <c r="H36" s="8" t="str">
        <f>IF(ΣΤΟΙΧΕΙΑ!G55=0,"",ΣΤΟΙΧΕΙΑ!G55)</f>
        <v/>
      </c>
      <c r="I36" s="8" t="str">
        <f>IF(ΣΤΟΙΧΕΙΑ!H55=0,"",ΣΤΟΙΧΕΙΑ!H55)</f>
        <v/>
      </c>
      <c r="J36" s="8" t="str">
        <f>IF(ΣΤΟΙΧΕΙΑ!I55=0,"",ΣΤΟΙΧΕΙΑ!I55)</f>
        <v/>
      </c>
      <c r="K36" s="8" t="str">
        <f>IF(ΣΤΟΙΧΕΙΑ!J55=0,"",ΣΤΟΙΧΕΙΑ!J55)</f>
        <v/>
      </c>
      <c r="L36" s="8" t="str">
        <f>IF(ΣΤΟΙΧΕΙΑ!K55=0,"",ΣΤΟΙΧΕΙΑ!K55)</f>
        <v/>
      </c>
      <c r="M36" s="8" t="str">
        <f>IF(ΣΤΟΙΧΕΙΑ!L55=0,"",ΣΤΟΙΧΕΙΑ!L55)</f>
        <v/>
      </c>
      <c r="N36" s="8" t="str">
        <f>IF(ΣΤΟΙΧΕΙΑ!M55=0,"",ΣΤΟΙΧΕΙΑ!M55)</f>
        <v/>
      </c>
      <c r="O36" s="8" t="str">
        <f>IF(ΣΤΟΙΧΕΙΑ!N55=0,"",ΣΤΟΙΧΕΙΑ!N55)</f>
        <v/>
      </c>
      <c r="P36" s="8" t="str">
        <f>IF(ΣΤΟΙΧΕΙΑ!O55=0,"",ΣΤΟΙΧΕΙΑ!O55)</f>
        <v/>
      </c>
      <c r="Q36" s="553">
        <f t="shared" ca="1" si="13"/>
        <v>26.37122660956501</v>
      </c>
      <c r="R36" s="554"/>
      <c r="S36" s="555"/>
      <c r="T36" s="554" t="str">
        <f t="shared" si="14"/>
        <v/>
      </c>
    </row>
    <row r="37" spans="1:20" s="9" customFormat="1" ht="9.9499999999999993" customHeight="1">
      <c r="A37" s="293">
        <f t="shared" si="12"/>
        <v>16</v>
      </c>
      <c r="B37" s="128" t="str">
        <f>Διαμερίσματα!B21</f>
        <v>Δ1</v>
      </c>
      <c r="C37" s="128" t="str">
        <f>Διαμερίσματα!I21</f>
        <v>Ιδιοκτήτης-16</v>
      </c>
      <c r="D37" s="552"/>
      <c r="E37" s="8" t="str">
        <f>IF(ΣΤΟΙΧΕΙΑ!D56=0,"",ΣΤΟΙΧΕΙΑ!D56)</f>
        <v/>
      </c>
      <c r="F37" s="8">
        <f ca="1">IF(ΣΤΟΙΧΕΙΑ!E56=0,"",ΣΤΟΙΧΕΙΑ!E56)</f>
        <v>26.37122660956501</v>
      </c>
      <c r="G37" s="8" t="str">
        <f>IF(ΣΤΟΙΧΕΙΑ!F56=0,"",ΣΤΟΙΧΕΙΑ!F56)</f>
        <v/>
      </c>
      <c r="H37" s="8" t="str">
        <f>IF(ΣΤΟΙΧΕΙΑ!G56=0,"",ΣΤΟΙΧΕΙΑ!G56)</f>
        <v/>
      </c>
      <c r="I37" s="8" t="str">
        <f>IF(ΣΤΟΙΧΕΙΑ!H56=0,"",ΣΤΟΙΧΕΙΑ!H56)</f>
        <v/>
      </c>
      <c r="J37" s="8" t="str">
        <f>IF(ΣΤΟΙΧΕΙΑ!I56=0,"",ΣΤΟΙΧΕΙΑ!I56)</f>
        <v/>
      </c>
      <c r="K37" s="8" t="str">
        <f>IF(ΣΤΟΙΧΕΙΑ!J56=0,"",ΣΤΟΙΧΕΙΑ!J56)</f>
        <v/>
      </c>
      <c r="L37" s="8" t="str">
        <f>IF(ΣΤΟΙΧΕΙΑ!K56=0,"",ΣΤΟΙΧΕΙΑ!K56)</f>
        <v/>
      </c>
      <c r="M37" s="8" t="str">
        <f>IF(ΣΤΟΙΧΕΙΑ!L56=0,"",ΣΤΟΙΧΕΙΑ!L56)</f>
        <v/>
      </c>
      <c r="N37" s="8" t="str">
        <f>IF(ΣΤΟΙΧΕΙΑ!M56=0,"",ΣΤΟΙΧΕΙΑ!M56)</f>
        <v/>
      </c>
      <c r="O37" s="8" t="str">
        <f>IF(ΣΤΟΙΧΕΙΑ!N56=0,"",ΣΤΟΙΧΕΙΑ!N56)</f>
        <v/>
      </c>
      <c r="P37" s="8" t="str">
        <f>IF(ΣΤΟΙΧΕΙΑ!O56=0,"",ΣΤΟΙΧΕΙΑ!O56)</f>
        <v/>
      </c>
      <c r="Q37" s="553">
        <f t="shared" ca="1" si="13"/>
        <v>26.37122660956501</v>
      </c>
      <c r="R37" s="554"/>
      <c r="S37" s="555"/>
      <c r="T37" s="554" t="str">
        <f t="shared" si="14"/>
        <v/>
      </c>
    </row>
    <row r="38" spans="1:20" s="9" customFormat="1" ht="9.9499999999999993" customHeight="1">
      <c r="A38" s="293">
        <f t="shared" si="12"/>
        <v>17</v>
      </c>
      <c r="B38" s="128" t="str">
        <f>Διαμερίσματα!B22</f>
        <v>Δ2</v>
      </c>
      <c r="C38" s="128" t="str">
        <f>Διαμερίσματα!I22</f>
        <v>Ιδιοκτήτης-17</v>
      </c>
      <c r="D38" s="552"/>
      <c r="E38" s="8" t="str">
        <f>IF(ΣΤΟΙΧΕΙΑ!D57=0,"",ΣΤΟΙΧΕΙΑ!D57)</f>
        <v/>
      </c>
      <c r="F38" s="8">
        <f ca="1">IF(ΣΤΟΙΧΕΙΑ!E57=0,"",ΣΤΟΙΧΕΙΑ!E57)</f>
        <v>26.37122660956501</v>
      </c>
      <c r="G38" s="8" t="str">
        <f>IF(ΣΤΟΙΧΕΙΑ!F57=0,"",ΣΤΟΙΧΕΙΑ!F57)</f>
        <v/>
      </c>
      <c r="H38" s="8" t="str">
        <f>IF(ΣΤΟΙΧΕΙΑ!G57=0,"",ΣΤΟΙΧΕΙΑ!G57)</f>
        <v/>
      </c>
      <c r="I38" s="8" t="str">
        <f>IF(ΣΤΟΙΧΕΙΑ!H57=0,"",ΣΤΟΙΧΕΙΑ!H57)</f>
        <v/>
      </c>
      <c r="J38" s="8" t="str">
        <f>IF(ΣΤΟΙΧΕΙΑ!I57=0,"",ΣΤΟΙΧΕΙΑ!I57)</f>
        <v/>
      </c>
      <c r="K38" s="8" t="str">
        <f>IF(ΣΤΟΙΧΕΙΑ!J57=0,"",ΣΤΟΙΧΕΙΑ!J57)</f>
        <v/>
      </c>
      <c r="L38" s="8" t="str">
        <f>IF(ΣΤΟΙΧΕΙΑ!K57=0,"",ΣΤΟΙΧΕΙΑ!K57)</f>
        <v/>
      </c>
      <c r="M38" s="8" t="str">
        <f>IF(ΣΤΟΙΧΕΙΑ!L57=0,"",ΣΤΟΙΧΕΙΑ!L57)</f>
        <v/>
      </c>
      <c r="N38" s="8" t="str">
        <f>IF(ΣΤΟΙΧΕΙΑ!M57=0,"",ΣΤΟΙΧΕΙΑ!M57)</f>
        <v/>
      </c>
      <c r="O38" s="8" t="str">
        <f>IF(ΣΤΟΙΧΕΙΑ!N57=0,"",ΣΤΟΙΧΕΙΑ!N57)</f>
        <v/>
      </c>
      <c r="P38" s="8" t="str">
        <f>IF(ΣΤΟΙΧΕΙΑ!O57=0,"",ΣΤΟΙΧΕΙΑ!O57)</f>
        <v/>
      </c>
      <c r="Q38" s="553">
        <f t="shared" ca="1" si="13"/>
        <v>26.37122660956501</v>
      </c>
      <c r="R38" s="554"/>
      <c r="S38" s="555"/>
      <c r="T38" s="554" t="str">
        <f t="shared" si="14"/>
        <v/>
      </c>
    </row>
    <row r="39" spans="1:20" s="9" customFormat="1" ht="9.9499999999999993" customHeight="1">
      <c r="A39" s="293">
        <f t="shared" si="12"/>
        <v>18</v>
      </c>
      <c r="B39" s="128" t="str">
        <f>Διαμερίσματα!B23</f>
        <v>Δ3</v>
      </c>
      <c r="C39" s="128" t="str">
        <f>Διαμερίσματα!I23</f>
        <v>Ιδιοκτήτης-18</v>
      </c>
      <c r="D39" s="552"/>
      <c r="E39" s="8" t="str">
        <f>IF(ΣΤΟΙΧΕΙΑ!D58=0,"",ΣΤΟΙΧΕΙΑ!D58)</f>
        <v/>
      </c>
      <c r="F39" s="8">
        <f ca="1">IF(ΣΤΟΙΧΕΙΑ!E58=0,"",ΣΤΟΙΧΕΙΑ!E58)</f>
        <v>26.518445453577037</v>
      </c>
      <c r="G39" s="8" t="str">
        <f>IF(ΣΤΟΙΧΕΙΑ!F58=0,"",ΣΤΟΙΧΕΙΑ!F58)</f>
        <v/>
      </c>
      <c r="H39" s="8" t="str">
        <f>IF(ΣΤΟΙΧΕΙΑ!G58=0,"",ΣΤΟΙΧΕΙΑ!G58)</f>
        <v/>
      </c>
      <c r="I39" s="8" t="str">
        <f>IF(ΣΤΟΙΧΕΙΑ!H58=0,"",ΣΤΟΙΧΕΙΑ!H58)</f>
        <v/>
      </c>
      <c r="J39" s="8" t="str">
        <f>IF(ΣΤΟΙΧΕΙΑ!I58=0,"",ΣΤΟΙΧΕΙΑ!I58)</f>
        <v/>
      </c>
      <c r="K39" s="8" t="str">
        <f>IF(ΣΤΟΙΧΕΙΑ!J58=0,"",ΣΤΟΙΧΕΙΑ!J58)</f>
        <v/>
      </c>
      <c r="L39" s="8" t="str">
        <f>IF(ΣΤΟΙΧΕΙΑ!K58=0,"",ΣΤΟΙΧΕΙΑ!K58)</f>
        <v/>
      </c>
      <c r="M39" s="8" t="str">
        <f>IF(ΣΤΟΙΧΕΙΑ!L58=0,"",ΣΤΟΙΧΕΙΑ!L58)</f>
        <v/>
      </c>
      <c r="N39" s="8" t="str">
        <f>IF(ΣΤΟΙΧΕΙΑ!M58=0,"",ΣΤΟΙΧΕΙΑ!M58)</f>
        <v/>
      </c>
      <c r="O39" s="8" t="str">
        <f>IF(ΣΤΟΙΧΕΙΑ!N58=0,"",ΣΤΟΙΧΕΙΑ!N58)</f>
        <v/>
      </c>
      <c r="P39" s="8" t="str">
        <f>IF(ΣΤΟΙΧΕΙΑ!O58=0,"",ΣΤΟΙΧΕΙΑ!O58)</f>
        <v/>
      </c>
      <c r="Q39" s="553">
        <f t="shared" ca="1" si="13"/>
        <v>26.518445453577037</v>
      </c>
      <c r="R39" s="554"/>
      <c r="S39" s="555"/>
      <c r="T39" s="554" t="str">
        <f t="shared" si="14"/>
        <v/>
      </c>
    </row>
    <row r="40" spans="1:20" s="9" customFormat="1" ht="9.9499999999999993" customHeight="1">
      <c r="A40" s="293">
        <f t="shared" si="12"/>
        <v>19</v>
      </c>
      <c r="B40" s="128" t="str">
        <f>Διαμερίσματα!B24</f>
        <v>Δ4</v>
      </c>
      <c r="C40" s="128" t="str">
        <f>Διαμερίσματα!I24</f>
        <v>Ιδιοκτήτης-19</v>
      </c>
      <c r="D40" s="552"/>
      <c r="E40" s="8" t="str">
        <f>IF(ΣΤΟΙΧΕΙΑ!D59=0,"",ΣΤΟΙΧΕΙΑ!D59)</f>
        <v/>
      </c>
      <c r="F40" s="8">
        <f ca="1">IF(ΣΤΟΙΧΕΙΑ!E59=0,"",ΣΤΟΙΧΕΙΑ!E59)</f>
        <v>26.37122660956501</v>
      </c>
      <c r="G40" s="8" t="str">
        <f>IF(ΣΤΟΙΧΕΙΑ!F59=0,"",ΣΤΟΙΧΕΙΑ!F59)</f>
        <v/>
      </c>
      <c r="H40" s="8" t="str">
        <f>IF(ΣΤΟΙΧΕΙΑ!G59=0,"",ΣΤΟΙΧΕΙΑ!G59)</f>
        <v/>
      </c>
      <c r="I40" s="8" t="str">
        <f>IF(ΣΤΟΙΧΕΙΑ!H59=0,"",ΣΤΟΙΧΕΙΑ!H59)</f>
        <v/>
      </c>
      <c r="J40" s="8" t="str">
        <f>IF(ΣΤΟΙΧΕΙΑ!I59=0,"",ΣΤΟΙΧΕΙΑ!I59)</f>
        <v/>
      </c>
      <c r="K40" s="8" t="str">
        <f>IF(ΣΤΟΙΧΕΙΑ!J59=0,"",ΣΤΟΙΧΕΙΑ!J59)</f>
        <v/>
      </c>
      <c r="L40" s="8" t="str">
        <f>IF(ΣΤΟΙΧΕΙΑ!K59=0,"",ΣΤΟΙΧΕΙΑ!K59)</f>
        <v/>
      </c>
      <c r="M40" s="8" t="str">
        <f>IF(ΣΤΟΙΧΕΙΑ!L59=0,"",ΣΤΟΙΧΕΙΑ!L59)</f>
        <v/>
      </c>
      <c r="N40" s="8" t="str">
        <f>IF(ΣΤΟΙΧΕΙΑ!M59=0,"",ΣΤΟΙΧΕΙΑ!M59)</f>
        <v/>
      </c>
      <c r="O40" s="8" t="str">
        <f>IF(ΣΤΟΙΧΕΙΑ!N59=0,"",ΣΤΟΙΧΕΙΑ!N59)</f>
        <v/>
      </c>
      <c r="P40" s="8" t="str">
        <f>IF(ΣΤΟΙΧΕΙΑ!O59=0,"",ΣΤΟΙΧΕΙΑ!O59)</f>
        <v/>
      </c>
      <c r="Q40" s="553">
        <f t="shared" ca="1" si="13"/>
        <v>26.37122660956501</v>
      </c>
      <c r="R40" s="554"/>
      <c r="S40" s="555"/>
      <c r="T40" s="554" t="str">
        <f t="shared" si="14"/>
        <v/>
      </c>
    </row>
    <row r="41" spans="1:20" s="9" customFormat="1" ht="9.9499999999999993" customHeight="1">
      <c r="A41" s="293">
        <f t="shared" si="12"/>
        <v>20</v>
      </c>
      <c r="B41" s="128" t="str">
        <f>Διαμερίσματα!B25</f>
        <v>Ε1</v>
      </c>
      <c r="C41" s="128" t="str">
        <f>Διαμερίσματα!I25</f>
        <v>Ιδιοκτήτης-20</v>
      </c>
      <c r="D41" s="552"/>
      <c r="E41" s="8" t="str">
        <f>IF(ΣΤΟΙΧΕΙΑ!D60=0,"",ΣΤΟΙΧΕΙΑ!D60)</f>
        <v/>
      </c>
      <c r="F41" s="8">
        <f ca="1">IF(ΣΤΟΙΧΕΙΑ!E60=0,"",ΣΤΟΙΧΕΙΑ!E60)</f>
        <v>26.37122660956501</v>
      </c>
      <c r="G41" s="8" t="str">
        <f>IF(ΣΤΟΙΧΕΙΑ!F60=0,"",ΣΤΟΙΧΕΙΑ!F60)</f>
        <v/>
      </c>
      <c r="H41" s="8" t="str">
        <f>IF(ΣΤΟΙΧΕΙΑ!G60=0,"",ΣΤΟΙΧΕΙΑ!G60)</f>
        <v/>
      </c>
      <c r="I41" s="8" t="str">
        <f>IF(ΣΤΟΙΧΕΙΑ!H60=0,"",ΣΤΟΙΧΕΙΑ!H60)</f>
        <v/>
      </c>
      <c r="J41" s="8" t="str">
        <f>IF(ΣΤΟΙΧΕΙΑ!I60=0,"",ΣΤΟΙΧΕΙΑ!I60)</f>
        <v/>
      </c>
      <c r="K41" s="8" t="str">
        <f>IF(ΣΤΟΙΧΕΙΑ!J60=0,"",ΣΤΟΙΧΕΙΑ!J60)</f>
        <v/>
      </c>
      <c r="L41" s="8" t="str">
        <f>IF(ΣΤΟΙΧΕΙΑ!K60=0,"",ΣΤΟΙΧΕΙΑ!K60)</f>
        <v/>
      </c>
      <c r="M41" s="8" t="str">
        <f>IF(ΣΤΟΙΧΕΙΑ!L60=0,"",ΣΤΟΙΧΕΙΑ!L60)</f>
        <v/>
      </c>
      <c r="N41" s="8" t="str">
        <f>IF(ΣΤΟΙΧΕΙΑ!M60=0,"",ΣΤΟΙΧΕΙΑ!M60)</f>
        <v/>
      </c>
      <c r="O41" s="8" t="str">
        <f>IF(ΣΤΟΙΧΕΙΑ!N60=0,"",ΣΤΟΙΧΕΙΑ!N60)</f>
        <v/>
      </c>
      <c r="P41" s="8" t="str">
        <f>IF(ΣΤΟΙΧΕΙΑ!O60=0,"",ΣΤΟΙΧΕΙΑ!O60)</f>
        <v/>
      </c>
      <c r="Q41" s="553">
        <f t="shared" ca="1" si="13"/>
        <v>26.37122660956501</v>
      </c>
      <c r="R41" s="554"/>
      <c r="S41" s="555"/>
      <c r="T41" s="554" t="str">
        <f t="shared" si="14"/>
        <v/>
      </c>
    </row>
    <row r="42" spans="1:20" s="9" customFormat="1" ht="9.9499999999999993" customHeight="1">
      <c r="A42" s="293">
        <f t="shared" si="12"/>
        <v>21</v>
      </c>
      <c r="B42" s="128" t="str">
        <f>Διαμερίσματα!B26</f>
        <v>Ε2</v>
      </c>
      <c r="C42" s="128" t="str">
        <f>Διαμερίσματα!I26</f>
        <v>Ιδιοκτήτης-21</v>
      </c>
      <c r="D42" s="552"/>
      <c r="E42" s="8" t="str">
        <f>IF(ΣΤΟΙΧΕΙΑ!D61=0,"",ΣΤΟΙΧΕΙΑ!D61)</f>
        <v/>
      </c>
      <c r="F42" s="8">
        <f ca="1">IF(ΣΤΟΙΧΕΙΑ!E61=0,"",ΣΤΟΙΧΕΙΑ!E61)</f>
        <v>26.37122660956501</v>
      </c>
      <c r="G42" s="8" t="str">
        <f>IF(ΣΤΟΙΧΕΙΑ!F61=0,"",ΣΤΟΙΧΕΙΑ!F61)</f>
        <v/>
      </c>
      <c r="H42" s="8" t="str">
        <f>IF(ΣΤΟΙΧΕΙΑ!G61=0,"",ΣΤΟΙΧΕΙΑ!G61)</f>
        <v/>
      </c>
      <c r="I42" s="8" t="str">
        <f>IF(ΣΤΟΙΧΕΙΑ!H61=0,"",ΣΤΟΙΧΕΙΑ!H61)</f>
        <v/>
      </c>
      <c r="J42" s="8" t="str">
        <f>IF(ΣΤΟΙΧΕΙΑ!I61=0,"",ΣΤΟΙΧΕΙΑ!I61)</f>
        <v/>
      </c>
      <c r="K42" s="8" t="str">
        <f>IF(ΣΤΟΙΧΕΙΑ!J61=0,"",ΣΤΟΙΧΕΙΑ!J61)</f>
        <v/>
      </c>
      <c r="L42" s="8" t="str">
        <f>IF(ΣΤΟΙΧΕΙΑ!K61=0,"",ΣΤΟΙΧΕΙΑ!K61)</f>
        <v/>
      </c>
      <c r="M42" s="8" t="str">
        <f>IF(ΣΤΟΙΧΕΙΑ!L61=0,"",ΣΤΟΙΧΕΙΑ!L61)</f>
        <v/>
      </c>
      <c r="N42" s="8" t="str">
        <f>IF(ΣΤΟΙΧΕΙΑ!M61=0,"",ΣΤΟΙΧΕΙΑ!M61)</f>
        <v/>
      </c>
      <c r="O42" s="8" t="str">
        <f>IF(ΣΤΟΙΧΕΙΑ!N61=0,"",ΣΤΟΙΧΕΙΑ!N61)</f>
        <v/>
      </c>
      <c r="P42" s="8" t="str">
        <f>IF(ΣΤΟΙΧΕΙΑ!O61=0,"",ΣΤΟΙΧΕΙΑ!O61)</f>
        <v/>
      </c>
      <c r="Q42" s="553">
        <f t="shared" ca="1" si="13"/>
        <v>26.37122660956501</v>
      </c>
      <c r="R42" s="554"/>
      <c r="S42" s="555"/>
      <c r="T42" s="554" t="str">
        <f t="shared" si="14"/>
        <v/>
      </c>
    </row>
    <row r="43" spans="1:20" s="9" customFormat="1" ht="9.9499999999999993" customHeight="1">
      <c r="A43" s="293">
        <f t="shared" si="12"/>
        <v>22</v>
      </c>
      <c r="B43" s="128" t="str">
        <f>Διαμερίσματα!B27</f>
        <v>Ε3</v>
      </c>
      <c r="C43" s="128" t="str">
        <f>Διαμερίσματα!I27</f>
        <v>Ιδιοκτήτης-22</v>
      </c>
      <c r="D43" s="552"/>
      <c r="E43" s="8" t="str">
        <f>IF(ΣΤΟΙΧΕΙΑ!D62=0,"",ΣΤΟΙΧΕΙΑ!D62)</f>
        <v/>
      </c>
      <c r="F43" s="8" t="str">
        <f ca="1">IF(ΣΤΟΙΧΕΙΑ!E62=0,"",ΣΤΟΙΧΕΙΑ!E62)</f>
        <v/>
      </c>
      <c r="G43" s="8" t="str">
        <f>IF(ΣΤΟΙΧΕΙΑ!F62=0,"",ΣΤΟΙΧΕΙΑ!F62)</f>
        <v/>
      </c>
      <c r="H43" s="8" t="str">
        <f>IF(ΣΤΟΙΧΕΙΑ!G62=0,"",ΣΤΟΙΧΕΙΑ!G62)</f>
        <v/>
      </c>
      <c r="I43" s="8" t="str">
        <f>IF(ΣΤΟΙΧΕΙΑ!H62=0,"",ΣΤΟΙΧΕΙΑ!H62)</f>
        <v/>
      </c>
      <c r="J43" s="8" t="str">
        <f>IF(ΣΤΟΙΧΕΙΑ!I62=0,"",ΣΤΟΙΧΕΙΑ!I62)</f>
        <v/>
      </c>
      <c r="K43" s="8" t="str">
        <f>IF(ΣΤΟΙΧΕΙΑ!J62=0,"",ΣΤΟΙΧΕΙΑ!J62)</f>
        <v/>
      </c>
      <c r="L43" s="8" t="str">
        <f>IF(ΣΤΟΙΧΕΙΑ!K62=0,"",ΣΤΟΙΧΕΙΑ!K62)</f>
        <v/>
      </c>
      <c r="M43" s="8" t="str">
        <f>IF(ΣΤΟΙΧΕΙΑ!L62=0,"",ΣΤΟΙΧΕΙΑ!L62)</f>
        <v/>
      </c>
      <c r="N43" s="8" t="str">
        <f>IF(ΣΤΟΙΧΕΙΑ!M62=0,"",ΣΤΟΙΧΕΙΑ!M62)</f>
        <v/>
      </c>
      <c r="O43" s="8" t="str">
        <f>IF(ΣΤΟΙΧΕΙΑ!N62=0,"",ΣΤΟΙΧΕΙΑ!N62)</f>
        <v/>
      </c>
      <c r="P43" s="8" t="str">
        <f>IF(ΣΤΟΙΧΕΙΑ!O62=0,"",ΣΤΟΙΧΕΙΑ!O62)</f>
        <v/>
      </c>
      <c r="Q43" s="553">
        <f t="shared" ca="1" si="13"/>
        <v>0</v>
      </c>
      <c r="R43" s="554"/>
      <c r="S43" s="555"/>
      <c r="T43" s="554" t="str">
        <f t="shared" si="14"/>
        <v/>
      </c>
    </row>
    <row r="44" spans="1:20">
      <c r="A44" s="896" t="str">
        <f>A17</f>
        <v>Σ Υ Ν Ο Λ Α</v>
      </c>
      <c r="B44" s="897"/>
      <c r="C44" s="898"/>
      <c r="D44" s="360">
        <f t="shared" ref="D44:T44" si="15">SUM(D22:D43)</f>
        <v>0</v>
      </c>
      <c r="E44" s="361">
        <f t="shared" si="15"/>
        <v>0</v>
      </c>
      <c r="F44" s="361">
        <f t="shared" ca="1" si="15"/>
        <v>1479.9999999999995</v>
      </c>
      <c r="G44" s="361">
        <f t="shared" si="15"/>
        <v>0</v>
      </c>
      <c r="H44" s="361">
        <f t="shared" si="15"/>
        <v>0</v>
      </c>
      <c r="I44" s="361">
        <f t="shared" si="15"/>
        <v>0</v>
      </c>
      <c r="J44" s="361">
        <f t="shared" si="15"/>
        <v>0</v>
      </c>
      <c r="K44" s="361">
        <f t="shared" si="15"/>
        <v>0</v>
      </c>
      <c r="L44" s="361">
        <f t="shared" si="15"/>
        <v>0</v>
      </c>
      <c r="M44" s="361">
        <f t="shared" si="15"/>
        <v>0</v>
      </c>
      <c r="N44" s="361">
        <f t="shared" si="15"/>
        <v>0</v>
      </c>
      <c r="O44" s="361">
        <f t="shared" si="15"/>
        <v>0</v>
      </c>
      <c r="P44" s="361">
        <f t="shared" si="15"/>
        <v>0</v>
      </c>
      <c r="Q44" s="362">
        <f t="shared" ca="1" si="15"/>
        <v>1479.9999999999995</v>
      </c>
      <c r="R44" s="371">
        <f t="shared" si="15"/>
        <v>0</v>
      </c>
      <c r="S44" s="372">
        <f t="shared" si="15"/>
        <v>0</v>
      </c>
      <c r="T44" s="371">
        <f t="shared" si="15"/>
        <v>0</v>
      </c>
    </row>
    <row r="46" spans="1:20">
      <c r="A46" s="899" t="s">
        <v>225</v>
      </c>
      <c r="B46" s="899"/>
      <c r="C46" s="899"/>
      <c r="D46" s="899"/>
      <c r="E46" s="899"/>
      <c r="F46" s="899"/>
      <c r="G46" s="899"/>
    </row>
    <row r="47" spans="1:20">
      <c r="A47" s="899"/>
      <c r="B47" s="899"/>
      <c r="C47" s="899"/>
      <c r="D47" s="899"/>
      <c r="E47" s="899"/>
      <c r="F47" s="899"/>
      <c r="G47" s="899"/>
    </row>
    <row r="48" spans="1:20">
      <c r="A48" s="899"/>
      <c r="B48" s="899"/>
      <c r="C48" s="899"/>
      <c r="D48" s="899"/>
      <c r="E48" s="899"/>
      <c r="F48" s="899"/>
      <c r="G48" s="899"/>
      <c r="H48" s="373"/>
      <c r="I48" s="373"/>
      <c r="J48" s="373"/>
      <c r="K48" s="373"/>
      <c r="L48" s="373"/>
      <c r="M48" s="373"/>
      <c r="N48" s="373"/>
      <c r="O48" s="373"/>
      <c r="P48" s="892" t="s">
        <v>418</v>
      </c>
      <c r="Q48" s="892"/>
      <c r="R48" s="892"/>
      <c r="S48" s="892"/>
      <c r="T48" s="892"/>
    </row>
    <row r="49" spans="1:20">
      <c r="A49" s="899"/>
      <c r="B49" s="899"/>
      <c r="C49" s="899"/>
      <c r="D49" s="899"/>
      <c r="E49" s="899"/>
      <c r="F49" s="899"/>
      <c r="G49" s="899"/>
      <c r="H49" s="373"/>
      <c r="I49" s="373"/>
      <c r="J49" s="373"/>
      <c r="K49" s="373"/>
      <c r="L49" s="373"/>
      <c r="M49" s="373"/>
      <c r="N49" s="373"/>
      <c r="O49" s="373"/>
      <c r="P49" s="373"/>
      <c r="Q49" s="375"/>
      <c r="R49" s="376"/>
      <c r="S49" s="375"/>
      <c r="T49" s="376"/>
    </row>
    <row r="50" spans="1:20">
      <c r="A50" s="899"/>
      <c r="B50" s="899"/>
      <c r="C50" s="899"/>
      <c r="D50" s="899"/>
      <c r="E50" s="899"/>
      <c r="F50" s="899"/>
      <c r="G50" s="899"/>
      <c r="H50" s="373"/>
      <c r="I50" s="373"/>
      <c r="J50" s="373"/>
      <c r="K50" s="373"/>
      <c r="L50" s="373"/>
      <c r="M50" s="373"/>
      <c r="N50" s="373"/>
      <c r="O50" s="373"/>
      <c r="P50" s="373"/>
      <c r="Q50" s="375"/>
      <c r="R50" s="376"/>
      <c r="S50" s="375"/>
      <c r="T50" s="376"/>
    </row>
    <row r="51" spans="1:20">
      <c r="A51" s="373"/>
      <c r="B51" s="373"/>
      <c r="C51" s="373"/>
      <c r="D51" s="374"/>
      <c r="E51" s="373"/>
      <c r="F51" s="373"/>
      <c r="G51" s="373"/>
      <c r="H51" s="373"/>
      <c r="I51" s="373"/>
      <c r="J51" s="373"/>
      <c r="K51" s="373"/>
      <c r="L51" s="373"/>
      <c r="M51" s="373"/>
      <c r="N51" s="373"/>
      <c r="O51" s="373"/>
      <c r="P51" s="373"/>
      <c r="Q51" s="375"/>
      <c r="R51" s="376"/>
      <c r="S51" s="375"/>
      <c r="T51" s="376"/>
    </row>
    <row r="52" spans="1:20">
      <c r="A52" s="373"/>
      <c r="B52" s="373"/>
      <c r="C52" s="373"/>
      <c r="D52" s="374"/>
      <c r="E52" s="373"/>
      <c r="F52" s="373"/>
      <c r="G52" s="373"/>
      <c r="H52" s="373"/>
      <c r="I52" s="373"/>
      <c r="J52" s="373"/>
      <c r="K52" s="373"/>
      <c r="L52" s="373"/>
      <c r="M52" s="373"/>
      <c r="N52" s="373"/>
      <c r="O52" s="373"/>
      <c r="P52" s="373"/>
      <c r="Q52" s="375"/>
      <c r="R52" s="376"/>
      <c r="S52" s="375"/>
      <c r="T52" s="376"/>
    </row>
    <row r="53" spans="1:20">
      <c r="A53" s="373"/>
      <c r="B53" s="373"/>
      <c r="C53" s="373"/>
      <c r="D53" s="374"/>
      <c r="E53" s="373"/>
      <c r="F53" s="373"/>
      <c r="G53" s="373"/>
      <c r="H53" s="373"/>
      <c r="I53" s="373"/>
      <c r="J53" s="373"/>
      <c r="K53" s="373"/>
      <c r="L53" s="373"/>
      <c r="M53" s="373"/>
      <c r="N53" s="373"/>
      <c r="O53" s="373"/>
      <c r="P53" s="373"/>
      <c r="Q53" s="375"/>
      <c r="R53" s="376"/>
      <c r="S53" s="375"/>
      <c r="T53" s="376"/>
    </row>
    <row r="54" spans="1:20">
      <c r="A54" s="373"/>
      <c r="B54" s="373"/>
      <c r="C54" s="373"/>
      <c r="D54" s="374"/>
      <c r="E54" s="373"/>
      <c r="F54" s="373"/>
      <c r="G54" s="373"/>
      <c r="H54" s="373"/>
      <c r="I54" s="373"/>
      <c r="J54" s="373"/>
      <c r="K54" s="373"/>
      <c r="L54" s="373"/>
      <c r="M54" s="373"/>
      <c r="N54" s="373"/>
      <c r="O54" s="373"/>
      <c r="P54" s="373"/>
      <c r="Q54" s="375"/>
      <c r="R54" s="376"/>
      <c r="S54" s="375"/>
      <c r="T54" s="376"/>
    </row>
    <row r="55" spans="1:20">
      <c r="A55" s="373"/>
      <c r="B55" s="373"/>
      <c r="C55" s="373"/>
      <c r="D55" s="374"/>
      <c r="E55" s="373"/>
      <c r="F55" s="373"/>
      <c r="G55" s="373"/>
      <c r="H55" s="373"/>
      <c r="I55" s="373"/>
      <c r="J55" s="373"/>
      <c r="K55" s="373"/>
      <c r="L55" s="373"/>
      <c r="M55" s="373"/>
      <c r="N55" s="373"/>
      <c r="O55" s="373"/>
      <c r="P55" s="373"/>
      <c r="Q55" s="375"/>
      <c r="R55" s="376"/>
      <c r="S55" s="375"/>
      <c r="T55" s="376"/>
    </row>
    <row r="56" spans="1:20">
      <c r="A56" s="373"/>
      <c r="B56" s="373"/>
      <c r="C56" s="373"/>
      <c r="D56" s="374"/>
      <c r="E56" s="373"/>
      <c r="F56" s="373"/>
      <c r="G56" s="373"/>
      <c r="H56" s="373"/>
      <c r="I56" s="373"/>
      <c r="J56" s="373"/>
      <c r="K56" s="373"/>
      <c r="L56" s="373"/>
      <c r="M56" s="373"/>
      <c r="N56" s="373"/>
      <c r="O56" s="373"/>
      <c r="P56" s="373"/>
      <c r="Q56" s="375"/>
      <c r="R56" s="376"/>
      <c r="S56" s="375"/>
      <c r="T56" s="376"/>
    </row>
    <row r="57" spans="1:20">
      <c r="A57" s="373"/>
      <c r="B57" s="373"/>
      <c r="C57" s="373"/>
      <c r="D57" s="374"/>
      <c r="E57" s="373"/>
      <c r="F57" s="373"/>
      <c r="G57" s="373"/>
      <c r="H57" s="373"/>
      <c r="I57" s="373"/>
      <c r="J57" s="373"/>
      <c r="K57" s="373"/>
      <c r="L57" s="373"/>
      <c r="M57" s="373"/>
      <c r="N57" s="373"/>
      <c r="O57" s="373"/>
      <c r="P57" s="373"/>
      <c r="Q57" s="375"/>
      <c r="R57" s="376"/>
      <c r="S57" s="375"/>
      <c r="T57" s="376"/>
    </row>
    <row r="58" spans="1:20">
      <c r="A58" s="373"/>
      <c r="B58" s="373"/>
      <c r="C58" s="373"/>
      <c r="D58" s="374"/>
      <c r="E58" s="373"/>
      <c r="F58" s="373"/>
      <c r="G58" s="373"/>
      <c r="H58" s="373"/>
      <c r="I58" s="373"/>
      <c r="J58" s="373"/>
      <c r="K58" s="373"/>
      <c r="L58" s="373"/>
      <c r="M58" s="373"/>
      <c r="N58" s="373"/>
      <c r="O58" s="373"/>
      <c r="P58" s="373"/>
      <c r="Q58" s="375"/>
      <c r="R58" s="376"/>
      <c r="S58" s="375"/>
      <c r="T58" s="376"/>
    </row>
    <row r="59" spans="1:20">
      <c r="A59" s="373"/>
      <c r="B59" s="373"/>
      <c r="C59" s="373"/>
      <c r="D59" s="374"/>
      <c r="E59" s="373"/>
      <c r="F59" s="373"/>
      <c r="G59" s="373"/>
      <c r="H59" s="373"/>
      <c r="I59" s="373"/>
      <c r="J59" s="373"/>
      <c r="K59" s="373"/>
      <c r="L59" s="373"/>
      <c r="M59" s="373"/>
      <c r="N59" s="373"/>
      <c r="O59" s="373"/>
      <c r="P59" s="373"/>
      <c r="Q59" s="375"/>
      <c r="R59" s="376"/>
      <c r="S59" s="375"/>
      <c r="T59" s="376"/>
    </row>
    <row r="60" spans="1:20">
      <c r="A60" s="373"/>
      <c r="B60" s="373"/>
      <c r="C60" s="373"/>
      <c r="D60" s="374"/>
      <c r="E60" s="373"/>
      <c r="F60" s="373"/>
      <c r="G60" s="373"/>
      <c r="H60" s="373"/>
      <c r="I60" s="373"/>
      <c r="J60" s="373"/>
      <c r="K60" s="373"/>
      <c r="L60" s="373"/>
      <c r="M60" s="373"/>
      <c r="N60" s="373"/>
      <c r="O60" s="373"/>
      <c r="P60" s="373"/>
      <c r="Q60" s="375"/>
      <c r="R60" s="376"/>
      <c r="S60" s="375"/>
      <c r="T60" s="376"/>
    </row>
    <row r="61" spans="1:20">
      <c r="A61" s="373"/>
      <c r="B61" s="373"/>
      <c r="C61" s="373"/>
      <c r="D61" s="374"/>
      <c r="E61" s="373"/>
      <c r="F61" s="373"/>
      <c r="G61" s="373"/>
      <c r="H61" s="373"/>
      <c r="I61" s="373"/>
      <c r="J61" s="373"/>
      <c r="K61" s="373"/>
      <c r="L61" s="373"/>
      <c r="M61" s="373"/>
      <c r="N61" s="373"/>
      <c r="O61" s="373"/>
      <c r="P61" s="373"/>
      <c r="Q61" s="375"/>
      <c r="R61" s="376"/>
      <c r="S61" s="375"/>
      <c r="T61" s="376"/>
    </row>
    <row r="62" spans="1:20">
      <c r="A62" s="373"/>
      <c r="B62" s="373"/>
      <c r="C62" s="373"/>
      <c r="D62" s="374"/>
      <c r="E62" s="373"/>
      <c r="F62" s="373"/>
      <c r="G62" s="373"/>
      <c r="H62" s="373"/>
      <c r="I62" s="373"/>
      <c r="J62" s="373"/>
      <c r="K62" s="373"/>
      <c r="L62" s="373"/>
      <c r="M62" s="373"/>
      <c r="N62" s="373"/>
      <c r="O62" s="373"/>
      <c r="P62" s="373"/>
      <c r="Q62" s="375"/>
      <c r="R62" s="376"/>
      <c r="S62" s="375"/>
      <c r="T62" s="376"/>
    </row>
    <row r="63" spans="1:20">
      <c r="A63" s="373"/>
      <c r="B63" s="373"/>
      <c r="C63" s="373"/>
      <c r="D63" s="374"/>
      <c r="E63" s="373"/>
      <c r="F63" s="373"/>
      <c r="G63" s="373"/>
      <c r="H63" s="373"/>
      <c r="I63" s="373"/>
      <c r="J63" s="373"/>
      <c r="K63" s="373"/>
      <c r="L63" s="373"/>
      <c r="M63" s="373"/>
      <c r="N63" s="373"/>
      <c r="O63" s="373"/>
      <c r="P63" s="373"/>
      <c r="Q63" s="375"/>
      <c r="R63" s="376"/>
      <c r="S63" s="375"/>
      <c r="T63" s="376"/>
    </row>
    <row r="64" spans="1:20">
      <c r="A64" s="373"/>
      <c r="B64" s="373"/>
      <c r="C64" s="373"/>
      <c r="D64" s="374"/>
      <c r="E64" s="373"/>
      <c r="F64" s="373"/>
      <c r="G64" s="373"/>
      <c r="H64" s="373"/>
      <c r="I64" s="373"/>
      <c r="J64" s="373"/>
      <c r="K64" s="373"/>
      <c r="L64" s="373"/>
      <c r="M64" s="373"/>
      <c r="N64" s="373"/>
      <c r="O64" s="373"/>
      <c r="P64" s="373"/>
      <c r="Q64" s="375"/>
      <c r="R64" s="376"/>
      <c r="S64" s="375"/>
      <c r="T64" s="376"/>
    </row>
    <row r="65" spans="1:20">
      <c r="A65" s="373"/>
      <c r="B65" s="373"/>
      <c r="C65" s="373"/>
      <c r="D65" s="374"/>
      <c r="E65" s="373"/>
      <c r="F65" s="373"/>
      <c r="G65" s="373"/>
      <c r="H65" s="373"/>
      <c r="I65" s="373"/>
      <c r="J65" s="373"/>
      <c r="K65" s="373"/>
      <c r="L65" s="373"/>
      <c r="M65" s="373"/>
      <c r="N65" s="373"/>
      <c r="O65" s="373"/>
      <c r="P65" s="373"/>
      <c r="Q65" s="375"/>
      <c r="R65" s="376"/>
      <c r="S65" s="375"/>
      <c r="T65" s="376"/>
    </row>
    <row r="66" spans="1:20">
      <c r="A66" s="373"/>
      <c r="B66" s="373"/>
      <c r="C66" s="373"/>
      <c r="D66" s="374"/>
      <c r="E66" s="373"/>
      <c r="F66" s="373"/>
      <c r="G66" s="373"/>
      <c r="H66" s="373"/>
      <c r="I66" s="373"/>
      <c r="J66" s="373"/>
      <c r="K66" s="373"/>
      <c r="L66" s="373"/>
      <c r="M66" s="373"/>
      <c r="N66" s="373"/>
      <c r="O66" s="373"/>
      <c r="P66" s="373"/>
      <c r="Q66" s="375"/>
      <c r="R66" s="376"/>
      <c r="S66" s="375"/>
      <c r="T66" s="376"/>
    </row>
    <row r="67" spans="1:20">
      <c r="A67" s="373"/>
      <c r="B67" s="373"/>
      <c r="C67" s="373"/>
      <c r="D67" s="374"/>
      <c r="E67" s="373"/>
      <c r="F67" s="373"/>
      <c r="G67" s="373"/>
      <c r="H67" s="373"/>
      <c r="I67" s="373"/>
      <c r="J67" s="373"/>
      <c r="K67" s="373"/>
      <c r="L67" s="373"/>
      <c r="M67" s="373"/>
      <c r="N67" s="373"/>
      <c r="O67" s="373"/>
      <c r="P67" s="373"/>
      <c r="Q67" s="375"/>
      <c r="R67" s="376"/>
      <c r="S67" s="375"/>
      <c r="T67" s="376"/>
    </row>
    <row r="68" spans="1:20">
      <c r="A68" s="373"/>
      <c r="B68" s="373"/>
      <c r="C68" s="373"/>
      <c r="D68" s="374"/>
      <c r="E68" s="373"/>
      <c r="F68" s="373"/>
      <c r="G68" s="373"/>
      <c r="H68" s="373"/>
      <c r="I68" s="373"/>
      <c r="J68" s="373"/>
      <c r="K68" s="373"/>
      <c r="L68" s="373"/>
      <c r="M68" s="373"/>
      <c r="N68" s="373"/>
      <c r="O68" s="373"/>
      <c r="P68" s="373"/>
      <c r="Q68" s="375"/>
      <c r="R68" s="376"/>
      <c r="S68" s="375"/>
      <c r="T68" s="376"/>
    </row>
    <row r="69" spans="1:20">
      <c r="A69" s="373"/>
      <c r="B69" s="373"/>
      <c r="C69" s="373"/>
      <c r="D69" s="374"/>
      <c r="E69" s="373"/>
      <c r="F69" s="373"/>
      <c r="G69" s="373"/>
      <c r="H69" s="373"/>
      <c r="I69" s="373"/>
      <c r="J69" s="373"/>
      <c r="K69" s="373"/>
      <c r="L69" s="373"/>
      <c r="M69" s="373"/>
      <c r="N69" s="373"/>
      <c r="O69" s="373"/>
      <c r="P69" s="373"/>
      <c r="Q69" s="375"/>
      <c r="R69" s="376"/>
      <c r="S69" s="375"/>
      <c r="T69" s="376"/>
    </row>
    <row r="70" spans="1:20">
      <c r="A70" s="373"/>
      <c r="B70" s="373"/>
      <c r="C70" s="373"/>
      <c r="D70" s="374"/>
      <c r="E70" s="373"/>
      <c r="F70" s="373"/>
      <c r="G70" s="373"/>
      <c r="H70" s="373"/>
      <c r="I70" s="373"/>
      <c r="J70" s="373"/>
      <c r="K70" s="373"/>
      <c r="L70" s="373"/>
      <c r="M70" s="373"/>
      <c r="N70" s="373"/>
      <c r="O70" s="373"/>
      <c r="P70" s="373"/>
      <c r="Q70" s="375"/>
      <c r="R70" s="376"/>
      <c r="S70" s="375"/>
      <c r="T70" s="376"/>
    </row>
    <row r="71" spans="1:20">
      <c r="A71" s="373"/>
      <c r="B71" s="373"/>
      <c r="C71" s="373"/>
      <c r="D71" s="374"/>
      <c r="E71" s="373"/>
      <c r="F71" s="373"/>
      <c r="G71" s="373"/>
      <c r="H71" s="373"/>
      <c r="I71" s="373"/>
      <c r="J71" s="373"/>
      <c r="K71" s="373"/>
      <c r="L71" s="373"/>
      <c r="M71" s="373"/>
      <c r="N71" s="373"/>
      <c r="O71" s="373"/>
      <c r="P71" s="373"/>
      <c r="Q71" s="375"/>
      <c r="R71" s="376"/>
      <c r="S71" s="375"/>
      <c r="T71" s="376"/>
    </row>
    <row r="72" spans="1:20">
      <c r="A72" s="373"/>
      <c r="B72" s="373"/>
      <c r="C72" s="373"/>
      <c r="D72" s="374"/>
      <c r="E72" s="373"/>
      <c r="F72" s="373"/>
      <c r="G72" s="373"/>
      <c r="H72" s="373"/>
      <c r="I72" s="373"/>
      <c r="J72" s="373"/>
      <c r="K72" s="373"/>
      <c r="L72" s="373"/>
      <c r="M72" s="373"/>
      <c r="N72" s="373"/>
      <c r="O72" s="373"/>
      <c r="P72" s="373"/>
      <c r="Q72" s="375"/>
      <c r="R72" s="376"/>
      <c r="S72" s="375"/>
      <c r="T72" s="376"/>
    </row>
    <row r="73" spans="1:20">
      <c r="A73" s="373"/>
      <c r="B73" s="373"/>
      <c r="C73" s="373"/>
      <c r="D73" s="374"/>
      <c r="E73" s="373"/>
      <c r="F73" s="373"/>
      <c r="G73" s="373"/>
      <c r="H73" s="373"/>
      <c r="I73" s="373"/>
      <c r="J73" s="373"/>
      <c r="K73" s="373"/>
      <c r="L73" s="373"/>
      <c r="M73" s="373"/>
      <c r="N73" s="373"/>
      <c r="O73" s="373"/>
      <c r="P73" s="373"/>
      <c r="Q73" s="375"/>
      <c r="R73" s="376"/>
      <c r="S73" s="375"/>
      <c r="T73" s="376"/>
    </row>
    <row r="74" spans="1:20">
      <c r="A74" s="373"/>
      <c r="B74" s="373"/>
      <c r="C74" s="373"/>
      <c r="D74" s="374"/>
      <c r="E74" s="373"/>
      <c r="F74" s="373"/>
      <c r="G74" s="373"/>
      <c r="H74" s="373"/>
      <c r="I74" s="373"/>
      <c r="J74" s="373"/>
      <c r="K74" s="373"/>
      <c r="L74" s="373"/>
      <c r="M74" s="373"/>
      <c r="N74" s="373"/>
      <c r="O74" s="373"/>
      <c r="P74" s="373"/>
      <c r="Q74" s="375"/>
      <c r="R74" s="376"/>
      <c r="S74" s="375"/>
      <c r="T74" s="376"/>
    </row>
    <row r="75" spans="1:20">
      <c r="A75" s="373"/>
      <c r="B75" s="373"/>
      <c r="C75" s="373"/>
      <c r="D75" s="374"/>
      <c r="E75" s="373"/>
      <c r="F75" s="373"/>
      <c r="G75" s="373"/>
      <c r="H75" s="373"/>
      <c r="I75" s="373"/>
      <c r="J75" s="373"/>
      <c r="K75" s="373"/>
      <c r="L75" s="373"/>
      <c r="M75" s="373"/>
      <c r="N75" s="373"/>
      <c r="O75" s="373"/>
      <c r="P75" s="373"/>
      <c r="Q75" s="375"/>
      <c r="R75" s="376"/>
      <c r="S75" s="375"/>
      <c r="T75" s="376"/>
    </row>
    <row r="76" spans="1:20">
      <c r="A76" s="373"/>
      <c r="B76" s="373"/>
      <c r="C76" s="373"/>
      <c r="D76" s="374"/>
      <c r="E76" s="373"/>
      <c r="F76" s="373"/>
      <c r="G76" s="373"/>
      <c r="H76" s="373"/>
      <c r="I76" s="373"/>
      <c r="J76" s="373"/>
      <c r="K76" s="373"/>
      <c r="L76" s="373"/>
      <c r="M76" s="373"/>
      <c r="N76" s="373"/>
      <c r="O76" s="373"/>
      <c r="P76" s="373"/>
      <c r="Q76" s="375"/>
      <c r="R76" s="376"/>
      <c r="S76" s="375"/>
      <c r="T76" s="376"/>
    </row>
    <row r="77" spans="1:20">
      <c r="A77" s="373"/>
      <c r="B77" s="373"/>
      <c r="C77" s="373"/>
      <c r="D77" s="374"/>
      <c r="E77" s="373"/>
      <c r="F77" s="373"/>
      <c r="G77" s="373"/>
      <c r="H77" s="373"/>
      <c r="I77" s="373"/>
      <c r="J77" s="373"/>
      <c r="K77" s="373"/>
      <c r="L77" s="373"/>
      <c r="M77" s="373"/>
      <c r="N77" s="373"/>
      <c r="O77" s="373"/>
      <c r="P77" s="373"/>
      <c r="Q77" s="375"/>
      <c r="R77" s="376"/>
      <c r="S77" s="375"/>
      <c r="T77" s="376"/>
    </row>
    <row r="78" spans="1:20">
      <c r="A78" s="373"/>
      <c r="B78" s="373"/>
      <c r="C78" s="373"/>
      <c r="D78" s="374"/>
      <c r="E78" s="373"/>
      <c r="F78" s="373"/>
      <c r="G78" s="373"/>
      <c r="H78" s="373"/>
      <c r="I78" s="373"/>
      <c r="J78" s="373"/>
      <c r="K78" s="373"/>
      <c r="L78" s="373"/>
      <c r="M78" s="373"/>
      <c r="N78" s="373"/>
      <c r="O78" s="373"/>
      <c r="P78" s="373"/>
      <c r="Q78" s="375"/>
      <c r="R78" s="376"/>
      <c r="S78" s="375"/>
      <c r="T78" s="376"/>
    </row>
    <row r="79" spans="1:20">
      <c r="A79" s="373"/>
      <c r="B79" s="373"/>
      <c r="C79" s="373"/>
      <c r="D79" s="374"/>
      <c r="E79" s="373"/>
      <c r="F79" s="373"/>
      <c r="G79" s="373"/>
      <c r="H79" s="373"/>
      <c r="I79" s="373"/>
      <c r="J79" s="373"/>
      <c r="K79" s="373"/>
      <c r="L79" s="373"/>
      <c r="M79" s="373"/>
      <c r="N79" s="373"/>
      <c r="O79" s="373"/>
      <c r="P79" s="373"/>
      <c r="Q79" s="375"/>
      <c r="R79" s="376"/>
      <c r="S79" s="375"/>
      <c r="T79" s="376"/>
    </row>
    <row r="80" spans="1:20">
      <c r="A80" s="373"/>
      <c r="B80" s="373"/>
      <c r="C80" s="373"/>
      <c r="D80" s="374"/>
      <c r="E80" s="373"/>
      <c r="F80" s="373"/>
      <c r="G80" s="373"/>
      <c r="H80" s="373"/>
      <c r="I80" s="373"/>
      <c r="J80" s="373"/>
      <c r="K80" s="373"/>
      <c r="L80" s="373"/>
      <c r="M80" s="373"/>
      <c r="N80" s="373"/>
      <c r="O80" s="373"/>
      <c r="P80" s="373"/>
      <c r="Q80" s="375"/>
      <c r="R80" s="376"/>
      <c r="S80" s="375"/>
      <c r="T80" s="376"/>
    </row>
    <row r="81" spans="1:20">
      <c r="A81" s="373"/>
      <c r="B81" s="373"/>
      <c r="C81" s="373"/>
      <c r="D81" s="374"/>
      <c r="E81" s="373"/>
      <c r="F81" s="373"/>
      <c r="G81" s="373"/>
      <c r="H81" s="373"/>
      <c r="I81" s="373"/>
      <c r="J81" s="373"/>
      <c r="K81" s="373"/>
      <c r="L81" s="373"/>
      <c r="M81" s="373"/>
      <c r="N81" s="373"/>
      <c r="O81" s="373"/>
      <c r="P81" s="373"/>
      <c r="Q81" s="375"/>
      <c r="R81" s="376"/>
      <c r="S81" s="375"/>
      <c r="T81" s="376"/>
    </row>
    <row r="82" spans="1:20">
      <c r="A82" s="373"/>
      <c r="B82" s="373"/>
      <c r="C82" s="373"/>
      <c r="D82" s="374"/>
      <c r="E82" s="373"/>
      <c r="F82" s="373"/>
      <c r="G82" s="373"/>
      <c r="H82" s="373"/>
      <c r="I82" s="373"/>
      <c r="J82" s="373"/>
      <c r="K82" s="373"/>
      <c r="L82" s="373"/>
      <c r="M82" s="373"/>
      <c r="N82" s="373"/>
      <c r="O82" s="373"/>
      <c r="P82" s="373"/>
      <c r="Q82" s="375"/>
      <c r="R82" s="376"/>
      <c r="S82" s="375"/>
      <c r="T82" s="376"/>
    </row>
    <row r="83" spans="1:20">
      <c r="A83" s="373"/>
      <c r="B83" s="373"/>
      <c r="C83" s="373"/>
      <c r="D83" s="374"/>
      <c r="E83" s="373"/>
      <c r="F83" s="373"/>
      <c r="G83" s="373"/>
      <c r="H83" s="373"/>
      <c r="I83" s="373"/>
      <c r="J83" s="373"/>
      <c r="K83" s="373"/>
      <c r="L83" s="373"/>
      <c r="M83" s="373"/>
      <c r="N83" s="373"/>
      <c r="O83" s="373"/>
      <c r="P83" s="373"/>
      <c r="Q83" s="375"/>
      <c r="R83" s="376"/>
      <c r="S83" s="375"/>
      <c r="T83" s="376"/>
    </row>
    <row r="84" spans="1:20">
      <c r="A84" s="373"/>
      <c r="B84" s="373"/>
      <c r="C84" s="373"/>
      <c r="D84" s="374"/>
      <c r="E84" s="373"/>
      <c r="F84" s="373"/>
      <c r="G84" s="373"/>
      <c r="H84" s="373"/>
      <c r="I84" s="373"/>
      <c r="J84" s="373"/>
      <c r="K84" s="373"/>
      <c r="L84" s="373"/>
      <c r="M84" s="373"/>
      <c r="N84" s="373"/>
      <c r="O84" s="373"/>
      <c r="P84" s="373"/>
      <c r="Q84" s="375"/>
      <c r="R84" s="376"/>
      <c r="S84" s="375"/>
      <c r="T84" s="376"/>
    </row>
    <row r="85" spans="1:20">
      <c r="A85" s="373"/>
      <c r="B85" s="373"/>
      <c r="C85" s="373"/>
      <c r="D85" s="374"/>
      <c r="E85" s="373"/>
      <c r="F85" s="373"/>
      <c r="G85" s="373"/>
      <c r="H85" s="373"/>
      <c r="I85" s="373"/>
      <c r="J85" s="373"/>
      <c r="K85" s="373"/>
      <c r="L85" s="373"/>
      <c r="M85" s="373"/>
      <c r="N85" s="373"/>
      <c r="O85" s="373"/>
      <c r="P85" s="373"/>
      <c r="Q85" s="375"/>
      <c r="R85" s="376"/>
      <c r="S85" s="375"/>
      <c r="T85" s="376"/>
    </row>
  </sheetData>
  <sheetProtection password="E4A3" sheet="1" objects="1" scenarios="1"/>
  <mergeCells count="9">
    <mergeCell ref="P48:T48"/>
    <mergeCell ref="A1:D1"/>
    <mergeCell ref="E1:L1"/>
    <mergeCell ref="M1:T1"/>
    <mergeCell ref="A2:T2"/>
    <mergeCell ref="A17:C17"/>
    <mergeCell ref="A19:T19"/>
    <mergeCell ref="A44:C44"/>
    <mergeCell ref="A46:G50"/>
  </mergeCells>
  <hyperlinks>
    <hyperlink ref="A46:G46" location="ΠΛΟΗΓΗΣΗ!A1" display="Επιστροφή   στην   ΠΛΟΗΓΗΣΗ"/>
  </hyperlinks>
  <pageMargins left="0.19685039370078741" right="0.39370078740157483" top="0.19685039370078741" bottom="0.39370078740157483" header="0.31496062992125984" footer="0.31496062992125984"/>
  <pageSetup paperSize="9" orientation="landscape" r:id="rId1"/>
  <customProperties>
    <customPr name="DVSECTIONID" r:id="rId2"/>
  </customProperties>
  <drawing r:id="rId3"/>
</worksheet>
</file>

<file path=xl/worksheets/sheet30.xml><?xml version="1.0" encoding="utf-8"?>
<worksheet xmlns="http://schemas.openxmlformats.org/spreadsheetml/2006/main" xmlns:r="http://schemas.openxmlformats.org/officeDocument/2006/relationships">
  <sheetPr codeName="Φύλλο23">
    <tabColor theme="0" tint="-0.499984740745262"/>
  </sheetPr>
  <dimension ref="A1:C9"/>
  <sheetViews>
    <sheetView workbookViewId="0">
      <selection activeCell="C1" sqref="C1"/>
    </sheetView>
  </sheetViews>
  <sheetFormatPr defaultColWidth="9.140625" defaultRowHeight="12"/>
  <cols>
    <col min="1" max="1" width="138.5703125" style="9" customWidth="1"/>
    <col min="2" max="16384" width="9.140625" style="9"/>
  </cols>
  <sheetData>
    <row r="1" spans="1:3" ht="30" customHeight="1">
      <c r="A1" s="399" t="s">
        <v>461</v>
      </c>
    </row>
    <row r="2" spans="1:3" ht="347.25" customHeight="1">
      <c r="A2" s="400" t="s">
        <v>459</v>
      </c>
    </row>
    <row r="3" spans="1:3" ht="94.5" customHeight="1">
      <c r="A3" s="400" t="s">
        <v>460</v>
      </c>
    </row>
    <row r="4" spans="1:3" ht="33" customHeight="1">
      <c r="A4" s="400" t="s">
        <v>463</v>
      </c>
    </row>
    <row r="5" spans="1:3">
      <c r="A5" s="401" t="s">
        <v>462</v>
      </c>
    </row>
    <row r="6" spans="1:3" s="398" customFormat="1" ht="33.75">
      <c r="A6" s="247" t="s">
        <v>225</v>
      </c>
      <c r="B6" s="397"/>
      <c r="C6" s="397"/>
    </row>
    <row r="7" spans="1:3" ht="12" customHeight="1">
      <c r="A7" s="262"/>
      <c r="B7" s="262"/>
      <c r="C7" s="262"/>
    </row>
    <row r="8" spans="1:3" ht="12" customHeight="1">
      <c r="A8" s="262"/>
      <c r="B8" s="262"/>
      <c r="C8" s="262"/>
    </row>
    <row r="9" spans="1:3" ht="12" customHeight="1">
      <c r="A9" s="262"/>
      <c r="B9" s="262"/>
      <c r="C9" s="262"/>
    </row>
  </sheetData>
  <sheetProtection password="E4A3" sheet="1" objects="1" scenarios="1"/>
  <hyperlinks>
    <hyperlink ref="A6" location="ΠΛΟΗΓΗΣΗ!A1" display="Επιστροφή   στην   ΠΛΟΗΓΗΣΗ"/>
  </hyperlinks>
  <pageMargins left="0.39370078740157483" right="0.39370078740157483" top="0.39370078740157483" bottom="0.39370078740157483" header="0.31496062992125984" footer="0.31496062992125984"/>
  <pageSetup paperSize="9" orientation="landscape" r:id="rId1"/>
  <customProperties>
    <customPr name="DVSECTIONID" r:id="rId2"/>
  </customProperties>
</worksheet>
</file>

<file path=xl/worksheets/sheet31.xml><?xml version="1.0" encoding="utf-8"?>
<worksheet xmlns="http://schemas.openxmlformats.org/spreadsheetml/2006/main" xmlns:r="http://schemas.openxmlformats.org/officeDocument/2006/relationships">
  <sheetPr codeName="Φύλλο24">
    <tabColor theme="0" tint="-0.499984740745262"/>
  </sheetPr>
  <dimension ref="A1:W81"/>
  <sheetViews>
    <sheetView zoomScale="90" zoomScaleNormal="90" workbookViewId="0">
      <pane ySplit="2" topLeftCell="A3" activePane="bottomLeft" state="frozen"/>
      <selection pane="bottomLeft" activeCell="S9" sqref="S9"/>
    </sheetView>
  </sheetViews>
  <sheetFormatPr defaultColWidth="9.140625" defaultRowHeight="15"/>
  <cols>
    <col min="1" max="1" width="3.85546875" style="101" bestFit="1" customWidth="1"/>
    <col min="2" max="2" width="6.28515625" style="101" customWidth="1"/>
    <col min="3" max="3" width="6.85546875" style="101" customWidth="1"/>
    <col min="4" max="4" width="6.28515625" style="101" customWidth="1"/>
    <col min="5" max="5" width="3.7109375" style="101" customWidth="1"/>
    <col min="6" max="6" width="16.28515625" style="101" customWidth="1"/>
    <col min="7" max="7" width="9.140625" style="101" customWidth="1"/>
    <col min="8" max="8" width="10.28515625" style="101" customWidth="1"/>
    <col min="9" max="9" width="16.140625" style="101" customWidth="1"/>
    <col min="10" max="10" width="10.28515625" style="101" bestFit="1" customWidth="1"/>
    <col min="11" max="11" width="11.140625" style="101" bestFit="1" customWidth="1"/>
    <col min="12" max="14" width="6" style="101" bestFit="1" customWidth="1"/>
    <col min="15" max="15" width="4.7109375" style="101" bestFit="1" customWidth="1"/>
    <col min="16" max="16" width="6" style="101" bestFit="1" customWidth="1"/>
    <col min="17" max="17" width="12.140625" style="101" customWidth="1"/>
    <col min="18" max="16384" width="9.140625" style="101"/>
  </cols>
  <sheetData>
    <row r="1" spans="1:23" s="118" customFormat="1" ht="33.75">
      <c r="A1" s="909" t="s">
        <v>203</v>
      </c>
      <c r="B1" s="909"/>
      <c r="C1" s="909"/>
      <c r="D1" s="909"/>
      <c r="E1" s="909"/>
      <c r="F1" s="909"/>
      <c r="G1" s="909"/>
      <c r="H1" s="909"/>
      <c r="I1" s="909"/>
      <c r="J1" s="909"/>
      <c r="K1" s="909"/>
      <c r="L1" s="909"/>
      <c r="M1" s="909"/>
      <c r="N1" s="909"/>
      <c r="O1" s="909"/>
      <c r="P1" s="909"/>
      <c r="Q1" s="909"/>
      <c r="S1" s="908" t="s">
        <v>225</v>
      </c>
      <c r="T1" s="908"/>
      <c r="U1" s="908"/>
      <c r="V1" s="908"/>
      <c r="W1" s="908"/>
    </row>
    <row r="2" spans="1:23" s="117" customFormat="1" ht="26.25">
      <c r="A2" s="913">
        <v>40479</v>
      </c>
      <c r="B2" s="913"/>
      <c r="C2" s="913"/>
      <c r="D2" s="913"/>
      <c r="E2" s="913"/>
      <c r="F2" s="913"/>
      <c r="G2" s="913"/>
      <c r="H2" s="913"/>
      <c r="I2" s="913"/>
      <c r="J2" s="913"/>
      <c r="K2" s="913"/>
      <c r="L2" s="913"/>
      <c r="M2" s="913"/>
      <c r="N2" s="913"/>
      <c r="O2" s="913"/>
      <c r="P2" s="913"/>
      <c r="Q2" s="913"/>
      <c r="S2" s="908"/>
      <c r="T2" s="908"/>
      <c r="U2" s="908"/>
      <c r="V2" s="908"/>
      <c r="W2" s="908"/>
    </row>
    <row r="3" spans="1:23" s="116" customFormat="1" ht="18.75">
      <c r="A3" s="901" t="s">
        <v>172</v>
      </c>
      <c r="B3" s="901"/>
      <c r="C3" s="901"/>
      <c r="D3" s="901"/>
      <c r="E3" s="901"/>
      <c r="F3" s="901"/>
      <c r="G3" s="901"/>
      <c r="H3" s="901"/>
      <c r="I3" s="901"/>
      <c r="J3" s="901"/>
      <c r="K3" s="901"/>
      <c r="L3" s="901"/>
      <c r="M3" s="901"/>
      <c r="N3" s="901"/>
      <c r="O3" s="901"/>
      <c r="P3" s="901"/>
      <c r="Q3" s="901"/>
    </row>
    <row r="4" spans="1:23" s="99" customFormat="1">
      <c r="A4" s="244" t="s">
        <v>184</v>
      </c>
      <c r="B4" s="907">
        <v>39829</v>
      </c>
      <c r="C4" s="907"/>
      <c r="D4" s="907"/>
      <c r="E4" s="907"/>
      <c r="F4" s="109" t="s">
        <v>185</v>
      </c>
      <c r="G4" s="108">
        <v>0.75</v>
      </c>
      <c r="H4" s="903" t="s">
        <v>186</v>
      </c>
      <c r="I4" s="903"/>
      <c r="J4" s="903"/>
      <c r="K4" s="903"/>
      <c r="L4" s="111" t="s">
        <v>17</v>
      </c>
      <c r="M4" s="110" t="s">
        <v>187</v>
      </c>
      <c r="N4" s="912" t="s">
        <v>188</v>
      </c>
      <c r="O4" s="912"/>
      <c r="P4" s="912"/>
      <c r="Q4" s="912"/>
    </row>
    <row r="5" spans="1:23" s="99" customFormat="1">
      <c r="A5" s="914" t="s">
        <v>189</v>
      </c>
      <c r="B5" s="915"/>
      <c r="C5" s="915"/>
      <c r="D5" s="915"/>
      <c r="E5" s="915"/>
      <c r="F5" s="915"/>
      <c r="G5" s="911" t="s">
        <v>192</v>
      </c>
      <c r="H5" s="912"/>
      <c r="I5" s="912"/>
      <c r="J5" s="240" t="s">
        <v>191</v>
      </c>
      <c r="K5" s="112">
        <v>760</v>
      </c>
      <c r="L5" s="113" t="s">
        <v>190</v>
      </c>
      <c r="M5" s="915" t="s">
        <v>193</v>
      </c>
      <c r="N5" s="915"/>
      <c r="O5" s="915"/>
      <c r="P5" s="915"/>
      <c r="Q5" s="915"/>
    </row>
    <row r="6" spans="1:23" s="99" customFormat="1" ht="15" customHeight="1">
      <c r="A6" s="910" t="s">
        <v>194</v>
      </c>
      <c r="B6" s="910"/>
      <c r="C6" s="910"/>
      <c r="D6" s="911" t="s">
        <v>195</v>
      </c>
      <c r="E6" s="912"/>
      <c r="F6" s="912"/>
      <c r="G6" s="912"/>
      <c r="H6" s="912"/>
      <c r="I6" s="912"/>
      <c r="J6" s="912"/>
      <c r="K6" s="912"/>
      <c r="L6" s="912"/>
      <c r="M6" s="912"/>
      <c r="N6" s="912"/>
      <c r="O6" s="912"/>
      <c r="P6" s="912"/>
      <c r="Q6" s="912"/>
    </row>
    <row r="7" spans="1:23" s="114" customFormat="1" ht="9.9499999999999993" customHeight="1">
      <c r="A7" s="920"/>
      <c r="B7" s="920"/>
      <c r="C7" s="920"/>
      <c r="D7" s="920"/>
      <c r="E7" s="920"/>
      <c r="F7" s="920"/>
      <c r="G7" s="920"/>
      <c r="H7" s="920"/>
      <c r="I7" s="920"/>
      <c r="J7" s="920"/>
      <c r="K7" s="920"/>
      <c r="L7" s="920"/>
      <c r="M7" s="920"/>
      <c r="N7" s="920"/>
      <c r="O7" s="920"/>
      <c r="P7" s="920"/>
      <c r="Q7" s="920"/>
    </row>
    <row r="8" spans="1:23" s="116" customFormat="1" ht="18.75">
      <c r="A8" s="901" t="s">
        <v>171</v>
      </c>
      <c r="B8" s="901"/>
      <c r="C8" s="901"/>
      <c r="D8" s="901"/>
      <c r="E8" s="901"/>
      <c r="F8" s="901"/>
      <c r="G8" s="901"/>
      <c r="H8" s="901"/>
      <c r="I8" s="901"/>
      <c r="J8" s="901"/>
      <c r="K8" s="901"/>
      <c r="L8" s="901"/>
      <c r="M8" s="901"/>
      <c r="N8" s="901"/>
      <c r="O8" s="901"/>
      <c r="P8" s="901"/>
      <c r="Q8" s="901"/>
    </row>
    <row r="9" spans="1:23" s="120" customFormat="1" ht="15" customHeight="1">
      <c r="A9" s="403" t="s">
        <v>24</v>
      </c>
      <c r="B9" s="916" t="s">
        <v>201</v>
      </c>
      <c r="C9" s="916"/>
      <c r="D9" s="916"/>
      <c r="E9" s="916"/>
      <c r="F9" s="916"/>
      <c r="G9" s="916"/>
      <c r="H9" s="916"/>
      <c r="I9" s="916"/>
      <c r="J9" s="916"/>
      <c r="K9" s="917" t="s">
        <v>174</v>
      </c>
      <c r="L9" s="917"/>
      <c r="M9" s="918" t="s">
        <v>175</v>
      </c>
      <c r="N9" s="918"/>
      <c r="O9" s="918"/>
      <c r="P9" s="919" t="s">
        <v>176</v>
      </c>
      <c r="Q9" s="919"/>
    </row>
    <row r="10" spans="1:23" s="18" customFormat="1" ht="15" customHeight="1">
      <c r="A10" s="402">
        <v>1</v>
      </c>
      <c r="B10" s="905" t="s">
        <v>196</v>
      </c>
      <c r="C10" s="905"/>
      <c r="D10" s="905"/>
      <c r="E10" s="905"/>
      <c r="F10" s="905"/>
      <c r="G10" s="905"/>
      <c r="H10" s="905"/>
      <c r="I10" s="905"/>
      <c r="J10" s="905"/>
      <c r="K10" s="900">
        <v>540</v>
      </c>
      <c r="L10" s="900"/>
      <c r="M10" s="902"/>
      <c r="N10" s="902"/>
      <c r="O10" s="902"/>
      <c r="P10" s="904">
        <f t="shared" ref="P10" si="0">K10-M10</f>
        <v>540</v>
      </c>
      <c r="Q10" s="904"/>
    </row>
    <row r="11" spans="1:23" s="18" customFormat="1" ht="15" customHeight="1">
      <c r="A11" s="402">
        <f t="shared" ref="A11:A30" si="1">A10+1</f>
        <v>2</v>
      </c>
      <c r="B11" s="906" t="s">
        <v>208</v>
      </c>
      <c r="C11" s="906"/>
      <c r="D11" s="906"/>
      <c r="E11" s="906"/>
      <c r="F11" s="906"/>
      <c r="G11" s="906"/>
      <c r="H11" s="906"/>
      <c r="I11" s="906"/>
      <c r="J11" s="906"/>
      <c r="K11" s="900"/>
      <c r="L11" s="900"/>
      <c r="M11" s="902">
        <v>70</v>
      </c>
      <c r="N11" s="902"/>
      <c r="O11" s="902"/>
      <c r="P11" s="904">
        <f>P10+K11-M11</f>
        <v>470</v>
      </c>
      <c r="Q11" s="904"/>
    </row>
    <row r="12" spans="1:23" s="18" customFormat="1" ht="15" customHeight="1">
      <c r="A12" s="402">
        <f t="shared" si="1"/>
        <v>3</v>
      </c>
      <c r="B12" s="906" t="s">
        <v>209</v>
      </c>
      <c r="C12" s="906"/>
      <c r="D12" s="906"/>
      <c r="E12" s="906"/>
      <c r="F12" s="906"/>
      <c r="G12" s="906"/>
      <c r="H12" s="906"/>
      <c r="I12" s="906"/>
      <c r="J12" s="906"/>
      <c r="K12" s="900"/>
      <c r="L12" s="900"/>
      <c r="M12" s="902">
        <v>130</v>
      </c>
      <c r="N12" s="902"/>
      <c r="O12" s="902"/>
      <c r="P12" s="904">
        <f t="shared" ref="P12:P30" si="2">P11+K12-M12</f>
        <v>340</v>
      </c>
      <c r="Q12" s="904"/>
    </row>
    <row r="13" spans="1:23" s="18" customFormat="1" ht="15" customHeight="1">
      <c r="A13" s="402">
        <f t="shared" si="1"/>
        <v>4</v>
      </c>
      <c r="B13" s="906"/>
      <c r="C13" s="906"/>
      <c r="D13" s="906"/>
      <c r="E13" s="906"/>
      <c r="F13" s="906"/>
      <c r="G13" s="906"/>
      <c r="H13" s="906"/>
      <c r="I13" s="906"/>
      <c r="J13" s="906"/>
      <c r="K13" s="900"/>
      <c r="L13" s="900"/>
      <c r="M13" s="902"/>
      <c r="N13" s="902"/>
      <c r="O13" s="902"/>
      <c r="P13" s="904"/>
      <c r="Q13" s="904"/>
    </row>
    <row r="14" spans="1:23" s="18" customFormat="1" ht="15" customHeight="1">
      <c r="A14" s="402">
        <f t="shared" si="1"/>
        <v>5</v>
      </c>
      <c r="B14" s="906"/>
      <c r="C14" s="906"/>
      <c r="D14" s="906"/>
      <c r="E14" s="906"/>
      <c r="F14" s="906"/>
      <c r="G14" s="906"/>
      <c r="H14" s="906"/>
      <c r="I14" s="906"/>
      <c r="J14" s="906"/>
      <c r="K14" s="900"/>
      <c r="L14" s="900"/>
      <c r="M14" s="902"/>
      <c r="N14" s="902"/>
      <c r="O14" s="902"/>
      <c r="P14" s="904"/>
      <c r="Q14" s="904"/>
    </row>
    <row r="15" spans="1:23" s="18" customFormat="1" ht="15" customHeight="1">
      <c r="A15" s="402">
        <f t="shared" si="1"/>
        <v>6</v>
      </c>
      <c r="B15" s="906"/>
      <c r="C15" s="906"/>
      <c r="D15" s="906"/>
      <c r="E15" s="906"/>
      <c r="F15" s="906"/>
      <c r="G15" s="906"/>
      <c r="H15" s="906"/>
      <c r="I15" s="906"/>
      <c r="J15" s="906"/>
      <c r="K15" s="900"/>
      <c r="L15" s="900"/>
      <c r="M15" s="902"/>
      <c r="N15" s="902"/>
      <c r="O15" s="902"/>
      <c r="P15" s="904"/>
      <c r="Q15" s="904"/>
    </row>
    <row r="16" spans="1:23" s="18" customFormat="1" ht="15" customHeight="1">
      <c r="A16" s="402">
        <f t="shared" si="1"/>
        <v>7</v>
      </c>
      <c r="B16" s="906"/>
      <c r="C16" s="906"/>
      <c r="D16" s="906"/>
      <c r="E16" s="906"/>
      <c r="F16" s="906"/>
      <c r="G16" s="906"/>
      <c r="H16" s="906"/>
      <c r="I16" s="906"/>
      <c r="J16" s="906"/>
      <c r="K16" s="900"/>
      <c r="L16" s="900"/>
      <c r="M16" s="902"/>
      <c r="N16" s="902"/>
      <c r="O16" s="902"/>
      <c r="P16" s="904"/>
      <c r="Q16" s="904"/>
    </row>
    <row r="17" spans="1:17" s="18" customFormat="1" ht="15" customHeight="1">
      <c r="A17" s="402">
        <f t="shared" si="1"/>
        <v>8</v>
      </c>
      <c r="B17" s="906"/>
      <c r="C17" s="906"/>
      <c r="D17" s="906"/>
      <c r="E17" s="906"/>
      <c r="F17" s="906"/>
      <c r="G17" s="906"/>
      <c r="H17" s="906"/>
      <c r="I17" s="906"/>
      <c r="J17" s="906"/>
      <c r="K17" s="900"/>
      <c r="L17" s="900"/>
      <c r="M17" s="902"/>
      <c r="N17" s="902"/>
      <c r="O17" s="902"/>
      <c r="P17" s="904"/>
      <c r="Q17" s="904"/>
    </row>
    <row r="18" spans="1:17" s="18" customFormat="1" ht="15" customHeight="1">
      <c r="A18" s="402">
        <f t="shared" si="1"/>
        <v>9</v>
      </c>
      <c r="B18" s="906"/>
      <c r="C18" s="906"/>
      <c r="D18" s="906"/>
      <c r="E18" s="906"/>
      <c r="F18" s="906"/>
      <c r="G18" s="906"/>
      <c r="H18" s="906"/>
      <c r="I18" s="906"/>
      <c r="J18" s="906"/>
      <c r="K18" s="900"/>
      <c r="L18" s="900"/>
      <c r="M18" s="902"/>
      <c r="N18" s="902"/>
      <c r="O18" s="902"/>
      <c r="P18" s="904"/>
      <c r="Q18" s="904"/>
    </row>
    <row r="19" spans="1:17" s="18" customFormat="1" ht="15" customHeight="1">
      <c r="A19" s="402">
        <f t="shared" si="1"/>
        <v>10</v>
      </c>
      <c r="B19" s="905" t="s">
        <v>211</v>
      </c>
      <c r="C19" s="905"/>
      <c r="D19" s="905"/>
      <c r="E19" s="905"/>
      <c r="F19" s="905"/>
      <c r="G19" s="905"/>
      <c r="H19" s="905"/>
      <c r="I19" s="905"/>
      <c r="J19" s="905"/>
      <c r="K19" s="900">
        <v>300</v>
      </c>
      <c r="L19" s="900"/>
      <c r="M19" s="902"/>
      <c r="N19" s="902"/>
      <c r="O19" s="902"/>
      <c r="P19" s="904">
        <f>P12+K19-M19</f>
        <v>640</v>
      </c>
      <c r="Q19" s="904"/>
    </row>
    <row r="20" spans="1:17" s="18" customFormat="1" ht="15" customHeight="1">
      <c r="A20" s="402">
        <f t="shared" si="1"/>
        <v>11</v>
      </c>
      <c r="B20" s="905" t="s">
        <v>200</v>
      </c>
      <c r="C20" s="905"/>
      <c r="D20" s="905"/>
      <c r="E20" s="905"/>
      <c r="F20" s="905"/>
      <c r="G20" s="905"/>
      <c r="H20" s="905"/>
      <c r="I20" s="905"/>
      <c r="J20" s="905"/>
      <c r="K20" s="900">
        <v>160</v>
      </c>
      <c r="L20" s="900"/>
      <c r="M20" s="902"/>
      <c r="N20" s="902"/>
      <c r="O20" s="902"/>
      <c r="P20" s="904">
        <f t="shared" si="2"/>
        <v>800</v>
      </c>
      <c r="Q20" s="904"/>
    </row>
    <row r="21" spans="1:17" s="18" customFormat="1" ht="15" customHeight="1">
      <c r="A21" s="402">
        <f t="shared" si="1"/>
        <v>12</v>
      </c>
      <c r="B21" s="905"/>
      <c r="C21" s="905"/>
      <c r="D21" s="905"/>
      <c r="E21" s="905"/>
      <c r="F21" s="905"/>
      <c r="G21" s="905"/>
      <c r="H21" s="905"/>
      <c r="I21" s="905"/>
      <c r="J21" s="905"/>
      <c r="K21" s="900"/>
      <c r="L21" s="900"/>
      <c r="M21" s="902"/>
      <c r="N21" s="902"/>
      <c r="O21" s="902"/>
      <c r="P21" s="904"/>
      <c r="Q21" s="904"/>
    </row>
    <row r="22" spans="1:17" s="18" customFormat="1" ht="15" customHeight="1">
      <c r="A22" s="402">
        <f t="shared" si="1"/>
        <v>13</v>
      </c>
      <c r="B22" s="905"/>
      <c r="C22" s="905"/>
      <c r="D22" s="905"/>
      <c r="E22" s="905"/>
      <c r="F22" s="905"/>
      <c r="G22" s="905"/>
      <c r="H22" s="905"/>
      <c r="I22" s="905"/>
      <c r="J22" s="905"/>
      <c r="K22" s="900"/>
      <c r="L22" s="900"/>
      <c r="M22" s="902"/>
      <c r="N22" s="902"/>
      <c r="O22" s="902"/>
      <c r="P22" s="904"/>
      <c r="Q22" s="904"/>
    </row>
    <row r="23" spans="1:17" s="18" customFormat="1" ht="15" customHeight="1">
      <c r="A23" s="402">
        <f t="shared" si="1"/>
        <v>14</v>
      </c>
      <c r="B23" s="905"/>
      <c r="C23" s="905"/>
      <c r="D23" s="905"/>
      <c r="E23" s="905"/>
      <c r="F23" s="905"/>
      <c r="G23" s="905"/>
      <c r="H23" s="905"/>
      <c r="I23" s="905"/>
      <c r="J23" s="905"/>
      <c r="K23" s="900"/>
      <c r="L23" s="900"/>
      <c r="M23" s="902"/>
      <c r="N23" s="902"/>
      <c r="O23" s="902"/>
      <c r="P23" s="904"/>
      <c r="Q23" s="904"/>
    </row>
    <row r="24" spans="1:17" s="18" customFormat="1" ht="15" customHeight="1">
      <c r="A24" s="402">
        <f t="shared" si="1"/>
        <v>15</v>
      </c>
      <c r="B24" s="905"/>
      <c r="C24" s="905"/>
      <c r="D24" s="905"/>
      <c r="E24" s="905"/>
      <c r="F24" s="905"/>
      <c r="G24" s="905"/>
      <c r="H24" s="905"/>
      <c r="I24" s="905"/>
      <c r="J24" s="905"/>
      <c r="K24" s="900"/>
      <c r="L24" s="900"/>
      <c r="M24" s="902"/>
      <c r="N24" s="902"/>
      <c r="O24" s="902"/>
      <c r="P24" s="904"/>
      <c r="Q24" s="904"/>
    </row>
    <row r="25" spans="1:17" s="18" customFormat="1" ht="15" customHeight="1">
      <c r="A25" s="402">
        <f t="shared" si="1"/>
        <v>16</v>
      </c>
      <c r="B25" s="905"/>
      <c r="C25" s="905"/>
      <c r="D25" s="905"/>
      <c r="E25" s="905"/>
      <c r="F25" s="905"/>
      <c r="G25" s="905"/>
      <c r="H25" s="905"/>
      <c r="I25" s="905"/>
      <c r="J25" s="905"/>
      <c r="K25" s="900"/>
      <c r="L25" s="900"/>
      <c r="M25" s="902"/>
      <c r="N25" s="902"/>
      <c r="O25" s="902"/>
      <c r="P25" s="904"/>
      <c r="Q25" s="904"/>
    </row>
    <row r="26" spans="1:17" s="18" customFormat="1" ht="15" customHeight="1">
      <c r="A26" s="402">
        <f t="shared" si="1"/>
        <v>17</v>
      </c>
      <c r="B26" s="905"/>
      <c r="C26" s="905"/>
      <c r="D26" s="905"/>
      <c r="E26" s="905"/>
      <c r="F26" s="905"/>
      <c r="G26" s="905"/>
      <c r="H26" s="905"/>
      <c r="I26" s="905"/>
      <c r="J26" s="905"/>
      <c r="K26" s="900"/>
      <c r="L26" s="900"/>
      <c r="M26" s="902"/>
      <c r="N26" s="902"/>
      <c r="O26" s="902"/>
      <c r="P26" s="904"/>
      <c r="Q26" s="904"/>
    </row>
    <row r="27" spans="1:17" s="18" customFormat="1" ht="15" customHeight="1">
      <c r="A27" s="402">
        <f t="shared" si="1"/>
        <v>18</v>
      </c>
      <c r="B27" s="906" t="s">
        <v>198</v>
      </c>
      <c r="C27" s="906"/>
      <c r="D27" s="906"/>
      <c r="E27" s="906"/>
      <c r="F27" s="906"/>
      <c r="G27" s="906"/>
      <c r="H27" s="906"/>
      <c r="I27" s="906"/>
      <c r="J27" s="906"/>
      <c r="K27" s="900"/>
      <c r="L27" s="900"/>
      <c r="M27" s="902">
        <v>55</v>
      </c>
      <c r="N27" s="902"/>
      <c r="O27" s="902"/>
      <c r="P27" s="904">
        <f>P20+K27-M27</f>
        <v>745</v>
      </c>
      <c r="Q27" s="904"/>
    </row>
    <row r="28" spans="1:17" s="18" customFormat="1" ht="15" customHeight="1">
      <c r="A28" s="402">
        <f t="shared" si="1"/>
        <v>19</v>
      </c>
      <c r="B28" s="906" t="s">
        <v>197</v>
      </c>
      <c r="C28" s="906"/>
      <c r="D28" s="906"/>
      <c r="E28" s="906"/>
      <c r="F28" s="906"/>
      <c r="G28" s="906"/>
      <c r="H28" s="906"/>
      <c r="I28" s="906"/>
      <c r="J28" s="906"/>
      <c r="K28" s="900"/>
      <c r="L28" s="900"/>
      <c r="M28" s="902">
        <v>45</v>
      </c>
      <c r="N28" s="902"/>
      <c r="O28" s="902"/>
      <c r="P28" s="904">
        <f t="shared" si="2"/>
        <v>700</v>
      </c>
      <c r="Q28" s="904"/>
    </row>
    <row r="29" spans="1:17" s="18" customFormat="1" ht="15" customHeight="1">
      <c r="A29" s="402">
        <f t="shared" si="1"/>
        <v>20</v>
      </c>
      <c r="B29" s="906" t="s">
        <v>199</v>
      </c>
      <c r="C29" s="906"/>
      <c r="D29" s="906"/>
      <c r="E29" s="906"/>
      <c r="F29" s="906"/>
      <c r="G29" s="906"/>
      <c r="H29" s="906"/>
      <c r="I29" s="906"/>
      <c r="J29" s="906"/>
      <c r="K29" s="900"/>
      <c r="L29" s="900"/>
      <c r="M29" s="902">
        <v>70</v>
      </c>
      <c r="N29" s="902"/>
      <c r="O29" s="902"/>
      <c r="P29" s="904">
        <f t="shared" si="2"/>
        <v>630</v>
      </c>
      <c r="Q29" s="904"/>
    </row>
    <row r="30" spans="1:17" s="18" customFormat="1" ht="15" customHeight="1">
      <c r="A30" s="402">
        <f t="shared" si="1"/>
        <v>21</v>
      </c>
      <c r="B30" s="906" t="s">
        <v>210</v>
      </c>
      <c r="C30" s="906"/>
      <c r="D30" s="906"/>
      <c r="E30" s="906"/>
      <c r="F30" s="906"/>
      <c r="G30" s="906"/>
      <c r="H30" s="906"/>
      <c r="I30" s="906"/>
      <c r="J30" s="906"/>
      <c r="K30" s="900"/>
      <c r="L30" s="900"/>
      <c r="M30" s="902"/>
      <c r="N30" s="902"/>
      <c r="O30" s="902"/>
      <c r="P30" s="904">
        <f t="shared" si="2"/>
        <v>630</v>
      </c>
      <c r="Q30" s="904"/>
    </row>
    <row r="31" spans="1:17" s="115" customFormat="1" ht="15" customHeight="1">
      <c r="A31" s="922" t="s">
        <v>202</v>
      </c>
      <c r="B31" s="922"/>
      <c r="C31" s="922"/>
      <c r="D31" s="922"/>
      <c r="E31" s="922"/>
      <c r="F31" s="922"/>
      <c r="G31" s="922"/>
      <c r="H31" s="922"/>
      <c r="I31" s="922"/>
      <c r="J31" s="922"/>
      <c r="K31" s="923">
        <f>SUM(K10:L30)</f>
        <v>1000</v>
      </c>
      <c r="L31" s="923"/>
      <c r="M31" s="924">
        <f>SUM(M10:O30)</f>
        <v>370</v>
      </c>
      <c r="N31" s="924"/>
      <c r="O31" s="924"/>
      <c r="P31" s="926">
        <f>K31-M31</f>
        <v>630</v>
      </c>
      <c r="Q31" s="926"/>
    </row>
    <row r="32" spans="1:17" s="100" customFormat="1" ht="69.95" customHeight="1">
      <c r="A32" s="925"/>
      <c r="B32" s="925"/>
      <c r="C32" s="925"/>
      <c r="D32" s="925"/>
      <c r="E32" s="925"/>
      <c r="F32" s="925"/>
      <c r="G32" s="925"/>
      <c r="H32" s="925"/>
      <c r="I32" s="925"/>
      <c r="J32" s="925"/>
      <c r="K32" s="925"/>
      <c r="L32" s="925"/>
      <c r="M32" s="925"/>
      <c r="N32" s="925"/>
      <c r="O32" s="925"/>
      <c r="P32" s="925"/>
      <c r="Q32" s="925"/>
    </row>
    <row r="33" spans="1:17" s="116" customFormat="1" ht="18.75">
      <c r="A33" s="901" t="s">
        <v>177</v>
      </c>
      <c r="B33" s="901"/>
      <c r="C33" s="901"/>
      <c r="D33" s="901"/>
      <c r="E33" s="901"/>
      <c r="F33" s="901"/>
      <c r="G33" s="901"/>
      <c r="H33" s="901"/>
      <c r="I33" s="901"/>
      <c r="J33" s="901"/>
      <c r="K33" s="901"/>
      <c r="L33" s="901"/>
      <c r="M33" s="901"/>
      <c r="N33" s="901"/>
      <c r="O33" s="901"/>
      <c r="P33" s="901"/>
      <c r="Q33" s="901"/>
    </row>
    <row r="34" spans="1:17" s="18" customFormat="1" ht="12.75">
      <c r="A34" s="774" t="s">
        <v>24</v>
      </c>
      <c r="B34" s="801" t="s">
        <v>71</v>
      </c>
      <c r="C34" s="802"/>
      <c r="D34" s="802"/>
      <c r="E34" s="802"/>
      <c r="F34" s="802"/>
      <c r="G34" s="932" t="s">
        <v>143</v>
      </c>
      <c r="H34" s="932"/>
      <c r="I34" s="932"/>
      <c r="J34" s="932"/>
      <c r="K34" s="928" t="s">
        <v>122</v>
      </c>
      <c r="L34" s="928"/>
      <c r="M34" s="928"/>
      <c r="N34" s="928"/>
      <c r="O34" s="928"/>
      <c r="P34" s="928"/>
      <c r="Q34" s="929"/>
    </row>
    <row r="35" spans="1:17" ht="15.75" customHeight="1">
      <c r="A35" s="775"/>
      <c r="B35" s="770" t="s">
        <v>11</v>
      </c>
      <c r="C35" s="770"/>
      <c r="D35" s="770"/>
      <c r="E35" s="770"/>
      <c r="F35" s="770" t="s">
        <v>29</v>
      </c>
      <c r="G35" s="933"/>
      <c r="H35" s="933"/>
      <c r="I35" s="933" t="s">
        <v>170</v>
      </c>
      <c r="J35" s="933"/>
      <c r="K35" s="770"/>
      <c r="L35" s="768" t="s">
        <v>84</v>
      </c>
      <c r="M35" s="769"/>
      <c r="N35" s="769"/>
      <c r="O35" s="769"/>
      <c r="P35" s="934"/>
      <c r="Q35" s="930" t="s">
        <v>173</v>
      </c>
    </row>
    <row r="36" spans="1:17">
      <c r="A36" s="776"/>
      <c r="B36" s="384" t="s">
        <v>40</v>
      </c>
      <c r="C36" s="385" t="s">
        <v>90</v>
      </c>
      <c r="D36" s="384" t="s">
        <v>28</v>
      </c>
      <c r="E36" s="45" t="s">
        <v>133</v>
      </c>
      <c r="F36" s="45" t="s">
        <v>85</v>
      </c>
      <c r="G36" s="45" t="s">
        <v>79</v>
      </c>
      <c r="H36" s="333" t="s">
        <v>80</v>
      </c>
      <c r="I36" s="333" t="s">
        <v>85</v>
      </c>
      <c r="J36" s="333" t="s">
        <v>79</v>
      </c>
      <c r="K36" s="333" t="s">
        <v>80</v>
      </c>
      <c r="L36" s="333" t="s">
        <v>81</v>
      </c>
      <c r="M36" s="333" t="s">
        <v>82</v>
      </c>
      <c r="N36" s="333" t="s">
        <v>83</v>
      </c>
      <c r="O36" s="333" t="s">
        <v>0</v>
      </c>
      <c r="P36" s="333" t="s">
        <v>1</v>
      </c>
      <c r="Q36" s="931"/>
    </row>
    <row r="37" spans="1:17">
      <c r="A37" s="293">
        <v>1</v>
      </c>
      <c r="B37" s="293">
        <v>2</v>
      </c>
      <c r="C37" s="293">
        <v>3</v>
      </c>
      <c r="D37" s="293">
        <v>4</v>
      </c>
      <c r="E37" s="293">
        <v>5</v>
      </c>
      <c r="F37" s="293">
        <v>6</v>
      </c>
      <c r="G37" s="293">
        <v>7</v>
      </c>
      <c r="H37" s="293">
        <v>8</v>
      </c>
      <c r="I37" s="293">
        <v>9</v>
      </c>
      <c r="J37" s="293">
        <v>10</v>
      </c>
      <c r="K37" s="293">
        <v>11</v>
      </c>
      <c r="L37" s="293">
        <v>12</v>
      </c>
      <c r="M37" s="293">
        <v>13</v>
      </c>
      <c r="N37" s="293">
        <v>14</v>
      </c>
      <c r="O37" s="293">
        <v>15</v>
      </c>
      <c r="P37" s="293">
        <v>16</v>
      </c>
      <c r="Q37" s="293">
        <v>17</v>
      </c>
    </row>
    <row r="38" spans="1:17" ht="21.95" customHeight="1">
      <c r="A38" s="45">
        <v>1</v>
      </c>
      <c r="B38" s="128" t="str">
        <f>IF(Διαμερίσματα!B6="","",Διαμερίσματα!B6)</f>
        <v>Κ1</v>
      </c>
      <c r="C38" s="129" t="str">
        <f>IF(Ώρες!H5="","",Ώρες!H5)</f>
        <v/>
      </c>
      <c r="D38" s="128" t="str">
        <f>IF(Διαμερίσματα!D6="","",Διαμερίσματα!D6)</f>
        <v>Ισ</v>
      </c>
      <c r="E38" s="127">
        <f>IF(Διαμερίσματα!E6="","",Διαμερίσματα!E6)</f>
        <v>50</v>
      </c>
      <c r="F38" s="102" t="str">
        <f>IF(Διαμερίσματα!F6="","",Διαμερίσματα!F6)</f>
        <v>Ιδιοκτήτης-1</v>
      </c>
      <c r="G38" s="102" t="str">
        <f>IF(Διαμερίσματα!G6="","",Διαμερίσματα!G6)</f>
        <v/>
      </c>
      <c r="H38" s="102" t="str">
        <f>IF(Διαμερίσματα!H6="","",Διαμερίσματα!H6)</f>
        <v/>
      </c>
      <c r="I38" s="102" t="str">
        <f>IF(Διαμερίσματα!I6="","",Διαμερίσματα!I6)</f>
        <v>Ιδιοκτήτης-1</v>
      </c>
      <c r="J38" s="102" t="str">
        <f>IF(Διαμερίσματα!J6="","",Διαμερίσματα!J6)</f>
        <v/>
      </c>
      <c r="K38" s="102" t="str">
        <f>IF(Διαμερίσματα!K6="","",Διαμερίσματα!K6)</f>
        <v/>
      </c>
      <c r="L38" s="103">
        <f>IF(Διαμερίσματα!L6="","",Διαμερίσματα!L6)</f>
        <v>46.203247348994005</v>
      </c>
      <c r="M38" s="103">
        <f>IF(Διαμερίσματα!M6="","",Διαμερίσματα!M6)</f>
        <v>64.648274979197325</v>
      </c>
      <c r="N38" s="103">
        <f>IF(Διαμερίσματα!N6="","",Διαμερίσματα!N6)</f>
        <v>33.401608739251955</v>
      </c>
      <c r="O38" s="103">
        <f>IF(Διαμερίσματα!R6="","",Διαμερίσματα!R6)</f>
        <v>0.35</v>
      </c>
      <c r="P38" s="103">
        <f>IF(Διαμερίσματα!S6="","",Διαμερίσματα!S6)</f>
        <v>7.0300000000000001E-2</v>
      </c>
      <c r="Q38" s="149"/>
    </row>
    <row r="39" spans="1:17" ht="21.95" customHeight="1">
      <c r="A39" s="45">
        <f>A38+1</f>
        <v>2</v>
      </c>
      <c r="B39" s="128" t="str">
        <f>IF(Διαμερίσματα!B7="","",Διαμερίσματα!B7)</f>
        <v>Κ2</v>
      </c>
      <c r="C39" s="129" t="str">
        <f>IF(Ώρες!H6="","",Ώρες!H6)</f>
        <v/>
      </c>
      <c r="D39" s="128" t="str">
        <f>IF(Διαμερίσματα!D7="","",Διαμερίσματα!D7)</f>
        <v>Ισ</v>
      </c>
      <c r="E39" s="127">
        <f>IF(Διαμερίσματα!E7="","",Διαμερίσματα!E7)</f>
        <v>60</v>
      </c>
      <c r="F39" s="102" t="str">
        <f>IF(Διαμερίσματα!F7="","",Διαμερίσματα!F7)</f>
        <v>Ιδιοκτήτης-2</v>
      </c>
      <c r="G39" s="102" t="str">
        <f>IF(Διαμερίσματα!G7="","",Διαμερίσματα!G7)</f>
        <v/>
      </c>
      <c r="H39" s="102" t="str">
        <f>IF(Διαμερίσματα!H7="","",Διαμερίσματα!H7)</f>
        <v/>
      </c>
      <c r="I39" s="102" t="str">
        <f>IF(Διαμερίσματα!I7="","",Διαμερίσματα!I7)</f>
        <v>Ιδιοκτήτης-2</v>
      </c>
      <c r="J39" s="102" t="str">
        <f>IF(Διαμερίσματα!J7="","",Διαμερίσματα!J7)</f>
        <v/>
      </c>
      <c r="K39" s="102" t="str">
        <f>IF(Διαμερίσματα!K7="","",Διαμερίσματα!K7)</f>
        <v/>
      </c>
      <c r="L39" s="103">
        <f>IF(Διαμερίσματα!L7="","",Διαμερίσματα!L7)</f>
        <v>33.401608739251955</v>
      </c>
      <c r="M39" s="103">
        <f>IF(Διαμερίσματα!M7="","",Διαμερίσματα!M7)</f>
        <v>46.203247348994005</v>
      </c>
      <c r="N39" s="103">
        <f>IF(Διαμερίσματα!N7="","",Διαμερίσματα!N7)</f>
        <v>64.648274979197325</v>
      </c>
      <c r="O39" s="103">
        <f>IF(Διαμερίσματα!R7="","",Διαμερίσματα!R7)</f>
        <v>0.41</v>
      </c>
      <c r="P39" s="103">
        <f>IF(Διαμερίσματα!S7="","",Διαμερίσματα!S7)</f>
        <v>5.9799999999999999E-2</v>
      </c>
      <c r="Q39" s="149"/>
    </row>
    <row r="40" spans="1:17" ht="21.95" customHeight="1">
      <c r="A40" s="466">
        <f t="shared" ref="A40:A59" si="3">A39+1</f>
        <v>3</v>
      </c>
      <c r="B40" s="128" t="str">
        <f>IF(Διαμερίσματα!B8="","",Διαμερίσματα!B8)</f>
        <v>Κ3</v>
      </c>
      <c r="C40" s="129" t="str">
        <f>IF(Ώρες!H7="","",Ώρες!H7)</f>
        <v/>
      </c>
      <c r="D40" s="128" t="str">
        <f>IF(Διαμερίσματα!D8="","",Διαμερίσματα!D8)</f>
        <v>Ισ</v>
      </c>
      <c r="E40" s="127">
        <f>IF(Διαμερίσματα!E8="","",Διαμερίσματα!E8)</f>
        <v>50</v>
      </c>
      <c r="F40" s="102" t="str">
        <f>IF(Διαμερίσματα!F8="","",Διαμερίσματα!F8)</f>
        <v>Ιδιοκτήτης-3</v>
      </c>
      <c r="G40" s="102" t="str">
        <f>IF(Διαμερίσματα!G8="","",Διαμερίσματα!G8)</f>
        <v/>
      </c>
      <c r="H40" s="102" t="str">
        <f>IF(Διαμερίσματα!H8="","",Διαμερίσματα!H8)</f>
        <v/>
      </c>
      <c r="I40" s="102" t="str">
        <f>IF(Διαμερίσματα!I8="","",Διαμερίσματα!I8)</f>
        <v>Ιδιοκτήτης-3</v>
      </c>
      <c r="J40" s="102" t="str">
        <f>IF(Διαμερίσματα!J8="","",Διαμερίσματα!J8)</f>
        <v/>
      </c>
      <c r="K40" s="102" t="str">
        <f>IF(Διαμερίσματα!K8="","",Διαμερίσματα!K8)</f>
        <v/>
      </c>
      <c r="L40" s="103">
        <f>IF(Διαμερίσματα!L8="","",Διαμερίσματα!L8)</f>
        <v>64.648274979197325</v>
      </c>
      <c r="M40" s="103">
        <f>IF(Διαμερίσματα!M8="","",Διαμερίσματα!M8)</f>
        <v>33.401608739251955</v>
      </c>
      <c r="N40" s="103">
        <f>IF(Διαμερίσματα!N8="","",Διαμερίσματα!N8)</f>
        <v>46.203247348994005</v>
      </c>
      <c r="O40" s="103">
        <f>IF(Διαμερίσματα!R8="","",Διαμερίσματα!R8)</f>
        <v>0.36</v>
      </c>
      <c r="P40" s="103">
        <f>IF(Διαμερίσματα!S8="","",Διαμερίσματα!S8)</f>
        <v>5.2900000000000003E-2</v>
      </c>
      <c r="Q40" s="149"/>
    </row>
    <row r="41" spans="1:17" ht="21.95" customHeight="1">
      <c r="A41" s="466">
        <f t="shared" si="3"/>
        <v>4</v>
      </c>
      <c r="B41" s="128" t="str">
        <f>IF(Διαμερίσματα!B9="","",Διαμερίσματα!B9)</f>
        <v>Α1</v>
      </c>
      <c r="C41" s="129" t="str">
        <f>IF(Ώρες!H8="","",Ώρες!H8)</f>
        <v/>
      </c>
      <c r="D41" s="128" t="str">
        <f>IF(Διαμερίσματα!D9="","",Διαμερίσματα!D9)</f>
        <v>1ος</v>
      </c>
      <c r="E41" s="127">
        <f>IF(Διαμερίσματα!E9="","",Διαμερίσματα!E9)</f>
        <v>60</v>
      </c>
      <c r="F41" s="102" t="str">
        <f>IF(Διαμερίσματα!F9="","",Διαμερίσματα!F9)</f>
        <v>Ιδιοκτήτης-4</v>
      </c>
      <c r="G41" s="102" t="str">
        <f>IF(Διαμερίσματα!G9="","",Διαμερίσματα!G9)</f>
        <v/>
      </c>
      <c r="H41" s="102" t="str">
        <f>IF(Διαμερίσματα!H9="","",Διαμερίσματα!H9)</f>
        <v/>
      </c>
      <c r="I41" s="102" t="str">
        <f>IF(Διαμερίσματα!I9="","",Διαμερίσματα!I9)</f>
        <v>Ιδιοκτήτης-4</v>
      </c>
      <c r="J41" s="102" t="str">
        <f>IF(Διαμερίσματα!J9="","",Διαμερίσματα!J9)</f>
        <v/>
      </c>
      <c r="K41" s="102" t="str">
        <f>IF(Διαμερίσματα!K9="","",Διαμερίσματα!K9)</f>
        <v/>
      </c>
      <c r="L41" s="103">
        <f>IF(Διαμερίσματα!L9="","",Διαμερίσματα!L9)</f>
        <v>33.390940707077171</v>
      </c>
      <c r="M41" s="103">
        <f>IF(Διαμερίσματα!M9="","",Διαμερίσματα!M9)</f>
        <v>33.390940707077171</v>
      </c>
      <c r="N41" s="103">
        <f>IF(Διαμερίσματα!N9="","",Διαμερίσματα!N9)</f>
        <v>33.390940707077171</v>
      </c>
      <c r="O41" s="103">
        <f>IF(Διαμερίσματα!R9="","",Διαμερίσματα!R9)</f>
        <v>0.31</v>
      </c>
      <c r="P41" s="103">
        <f>IF(Διαμερίσματα!S9="","",Διαμερίσματα!S9)</f>
        <v>7.46E-2</v>
      </c>
      <c r="Q41" s="149"/>
    </row>
    <row r="42" spans="1:17" ht="21.95" customHeight="1">
      <c r="A42" s="466">
        <f t="shared" si="3"/>
        <v>5</v>
      </c>
      <c r="B42" s="128" t="str">
        <f>IF(Διαμερίσματα!B10="","",Διαμερίσματα!B10)</f>
        <v>Α2</v>
      </c>
      <c r="C42" s="129" t="str">
        <f>IF(Ώρες!H9="","",Ώρες!H9)</f>
        <v/>
      </c>
      <c r="D42" s="128" t="str">
        <f>IF(Διαμερίσματα!D10="","",Διαμερίσματα!D10)</f>
        <v>1ος</v>
      </c>
      <c r="E42" s="127">
        <f>IF(Διαμερίσματα!E10="","",Διαμερίσματα!E10)</f>
        <v>50</v>
      </c>
      <c r="F42" s="102" t="str">
        <f>IF(Διαμερίσματα!F10="","",Διαμερίσματα!F10)</f>
        <v>Ιδιοκτήτης-5</v>
      </c>
      <c r="G42" s="102" t="str">
        <f>IF(Διαμερίσματα!G10="","",Διαμερίσματα!G10)</f>
        <v/>
      </c>
      <c r="H42" s="102" t="str">
        <f>IF(Διαμερίσματα!H10="","",Διαμερίσματα!H10)</f>
        <v/>
      </c>
      <c r="I42" s="102" t="str">
        <f>IF(Διαμερίσματα!I10="","",Διαμερίσματα!I10)</f>
        <v>Ιδιοκτήτης-5</v>
      </c>
      <c r="J42" s="102" t="str">
        <f>IF(Διαμερίσματα!J10="","",Διαμερίσματα!J10)</f>
        <v/>
      </c>
      <c r="K42" s="102" t="str">
        <f>IF(Διαμερίσματα!K10="","",Διαμερίσματα!K10)</f>
        <v/>
      </c>
      <c r="L42" s="103">
        <f>IF(Διαμερίσματα!L10="","",Διαμερίσματα!L10)</f>
        <v>33.401608739251955</v>
      </c>
      <c r="M42" s="103">
        <f>IF(Διαμερίσματα!M10="","",Διαμερίσματα!M10)</f>
        <v>33.401608739251955</v>
      </c>
      <c r="N42" s="103">
        <f>IF(Διαμερίσματα!N10="","",Διαμερίσματα!N10)</f>
        <v>33.401608739251955</v>
      </c>
      <c r="O42" s="103">
        <f>IF(Διαμερίσματα!R10="","",Διαμερίσματα!R10)</f>
        <v>0.46</v>
      </c>
      <c r="P42" s="103">
        <f>IF(Διαμερίσματα!S10="","",Διαμερίσματα!S10)</f>
        <v>5.7200000000000001E-2</v>
      </c>
      <c r="Q42" s="149"/>
    </row>
    <row r="43" spans="1:17" ht="21.95" customHeight="1">
      <c r="A43" s="466">
        <f t="shared" si="3"/>
        <v>6</v>
      </c>
      <c r="B43" s="128" t="str">
        <f>IF(Διαμερίσματα!B11="","",Διαμερίσματα!B11)</f>
        <v>Α3</v>
      </c>
      <c r="C43" s="129" t="str">
        <f>IF(Ώρες!H10="","",Ώρες!H10)</f>
        <v/>
      </c>
      <c r="D43" s="128" t="str">
        <f>IF(Διαμερίσματα!D11="","",Διαμερίσματα!D11)</f>
        <v>1ος</v>
      </c>
      <c r="E43" s="127">
        <f>IF(Διαμερίσματα!E11="","",Διαμερίσματα!E11)</f>
        <v>60</v>
      </c>
      <c r="F43" s="102" t="str">
        <f>IF(Διαμερίσματα!F11="","",Διαμερίσματα!F11)</f>
        <v>Ιδιοκτήτης-6</v>
      </c>
      <c r="G43" s="102" t="str">
        <f>IF(Διαμερίσματα!G11="","",Διαμερίσματα!G11)</f>
        <v/>
      </c>
      <c r="H43" s="102" t="str">
        <f>IF(Διαμερίσματα!H11="","",Διαμερίσματα!H11)</f>
        <v/>
      </c>
      <c r="I43" s="102" t="str">
        <f>IF(Διαμερίσματα!I11="","",Διαμερίσματα!I11)</f>
        <v>Ιδιοκτήτης-6</v>
      </c>
      <c r="J43" s="102" t="str">
        <f>IF(Διαμερίσματα!J11="","",Διαμερίσματα!J11)</f>
        <v/>
      </c>
      <c r="K43" s="102" t="str">
        <f>IF(Διαμερίσματα!K11="","",Διαμερίσματα!K11)</f>
        <v/>
      </c>
      <c r="L43" s="103">
        <f>IF(Διαμερίσματα!L11="","",Διαμερίσματα!L11)</f>
        <v>33.401608739251955</v>
      </c>
      <c r="M43" s="103">
        <f>IF(Διαμερίσματα!M11="","",Διαμερίσματα!M11)</f>
        <v>33.401608739251955</v>
      </c>
      <c r="N43" s="103">
        <f>IF(Διαμερίσματα!N11="","",Διαμερίσματα!N11)</f>
        <v>33.401608739251955</v>
      </c>
      <c r="O43" s="103">
        <f>IF(Διαμερίσματα!R11="","",Διαμερίσματα!R11)</f>
        <v>0.31</v>
      </c>
      <c r="P43" s="103">
        <f>IF(Διαμερίσματα!S11="","",Διαμερίσματα!S11)</f>
        <v>7.5300000000000006E-2</v>
      </c>
      <c r="Q43" s="149"/>
    </row>
    <row r="44" spans="1:17" ht="21.95" customHeight="1">
      <c r="A44" s="466">
        <f t="shared" si="3"/>
        <v>7</v>
      </c>
      <c r="B44" s="128" t="str">
        <f>IF(Διαμερίσματα!B12="","",Διαμερίσματα!B12)</f>
        <v>Α4</v>
      </c>
      <c r="C44" s="129" t="str">
        <f>IF(Ώρες!H11="","",Ώρες!H11)</f>
        <v/>
      </c>
      <c r="D44" s="128" t="str">
        <f>IF(Διαμερίσματα!D12="","",Διαμερίσματα!D12)</f>
        <v>1ος</v>
      </c>
      <c r="E44" s="127">
        <f>IF(Διαμερίσματα!E12="","",Διαμερίσματα!E12)</f>
        <v>50</v>
      </c>
      <c r="F44" s="102" t="str">
        <f>IF(Διαμερίσματα!F12="","",Διαμερίσματα!F12)</f>
        <v>Ιδιοκτήτης-7</v>
      </c>
      <c r="G44" s="102" t="str">
        <f>IF(Διαμερίσματα!G12="","",Διαμερίσματα!G12)</f>
        <v/>
      </c>
      <c r="H44" s="102" t="str">
        <f>IF(Διαμερίσματα!H12="","",Διαμερίσματα!H12)</f>
        <v/>
      </c>
      <c r="I44" s="102" t="str">
        <f>IF(Διαμερίσματα!I12="","",Διαμερίσματα!I12)</f>
        <v>Ιδιοκτήτης-7</v>
      </c>
      <c r="J44" s="102" t="str">
        <f>IF(Διαμερίσματα!J12="","",Διαμερίσματα!J12)</f>
        <v/>
      </c>
      <c r="K44" s="102" t="str">
        <f>IF(Διαμερίσματα!K12="","",Διαμερίσματα!K12)</f>
        <v/>
      </c>
      <c r="L44" s="103">
        <f>IF(Διαμερίσματα!L12="","",Διαμερίσματα!L12)</f>
        <v>107.75779299750367</v>
      </c>
      <c r="M44" s="103">
        <f>IF(Διαμερίσματα!M12="","",Διαμερίσματα!M12)</f>
        <v>107.75779299750367</v>
      </c>
      <c r="N44" s="103">
        <f>IF(Διαμερίσματα!N12="","",Διαμερίσματα!N12)</f>
        <v>107.75779299750367</v>
      </c>
      <c r="O44" s="103">
        <f>IF(Διαμερίσματα!R12="","",Διαμερίσματα!R12)</f>
        <v>0.33</v>
      </c>
      <c r="P44" s="103">
        <f>IF(Διαμερίσματα!S12="","",Διαμερίσματα!S12)</f>
        <v>3.6900000000000002E-2</v>
      </c>
      <c r="Q44" s="149"/>
    </row>
    <row r="45" spans="1:17" ht="21.95" customHeight="1">
      <c r="A45" s="466">
        <f t="shared" si="3"/>
        <v>8</v>
      </c>
      <c r="B45" s="128" t="str">
        <f>IF(Διαμερίσματα!B13="","",Διαμερίσματα!B13)</f>
        <v>Β1</v>
      </c>
      <c r="C45" s="129" t="str">
        <f>IF(Ώρες!H12="","",Ώρες!H12)</f>
        <v/>
      </c>
      <c r="D45" s="128" t="str">
        <f>IF(Διαμερίσματα!D13="","",Διαμερίσματα!D13)</f>
        <v>2ος</v>
      </c>
      <c r="E45" s="127">
        <f>IF(Διαμερίσματα!E13="","",Διαμερίσματα!E13)</f>
        <v>60</v>
      </c>
      <c r="F45" s="102" t="str">
        <f>IF(Διαμερίσματα!F13="","",Διαμερίσματα!F13)</f>
        <v>Ιδιοκτήτης-8</v>
      </c>
      <c r="G45" s="102" t="str">
        <f>IF(Διαμερίσματα!G13="","",Διαμερίσματα!G13)</f>
        <v/>
      </c>
      <c r="H45" s="102" t="str">
        <f>IF(Διαμερίσματα!H13="","",Διαμερίσματα!H13)</f>
        <v/>
      </c>
      <c r="I45" s="102" t="str">
        <f>IF(Διαμερίσματα!I13="","",Διαμερίσματα!I13)</f>
        <v>Ιδιοκτήτης-8</v>
      </c>
      <c r="J45" s="102" t="str">
        <f>IF(Διαμερίσματα!J13="","",Διαμερίσματα!J13)</f>
        <v/>
      </c>
      <c r="K45" s="102" t="str">
        <f>IF(Διαμερίσματα!K13="","",Διαμερίσματα!K13)</f>
        <v/>
      </c>
      <c r="L45" s="103">
        <f>IF(Διαμερίσματα!L13="","",Διαμερίσματα!L13)</f>
        <v>33.401608739251955</v>
      </c>
      <c r="M45" s="103">
        <f>IF(Διαμερίσματα!M13="","",Διαμερίσματα!M13)</f>
        <v>33.401608739251955</v>
      </c>
      <c r="N45" s="103">
        <f>IF(Διαμερίσματα!N13="","",Διαμερίσματα!N13)</f>
        <v>33.401608739251955</v>
      </c>
      <c r="O45" s="103">
        <f>IF(Διαμερίσματα!R13="","",Διαμερίσματα!R13)</f>
        <v>0.41</v>
      </c>
      <c r="P45" s="103">
        <f>IF(Διαμερίσματα!S13="","",Διαμερίσματα!S13)</f>
        <v>6.5000000000000002E-2</v>
      </c>
      <c r="Q45" s="149"/>
    </row>
    <row r="46" spans="1:17" ht="21.95" customHeight="1">
      <c r="A46" s="466">
        <f t="shared" si="3"/>
        <v>9</v>
      </c>
      <c r="B46" s="128" t="str">
        <f>IF(Διαμερίσματα!B14="","",Διαμερίσματα!B14)</f>
        <v>Β2</v>
      </c>
      <c r="C46" s="129" t="str">
        <f>IF(Ώρες!H13="","",Ώρες!H13)</f>
        <v/>
      </c>
      <c r="D46" s="128" t="str">
        <f>IF(Διαμερίσματα!D14="","",Διαμερίσματα!D14)</f>
        <v>2ος</v>
      </c>
      <c r="E46" s="127">
        <f>IF(Διαμερίσματα!E14="","",Διαμερίσματα!E14)</f>
        <v>50</v>
      </c>
      <c r="F46" s="102" t="str">
        <f>IF(Διαμερίσματα!F14="","",Διαμερίσματα!F14)</f>
        <v>Ιδιοκτήτης-9</v>
      </c>
      <c r="G46" s="102" t="str">
        <f>IF(Διαμερίσματα!G14="","",Διαμερίσματα!G14)</f>
        <v/>
      </c>
      <c r="H46" s="102" t="str">
        <f>IF(Διαμερίσματα!H14="","",Διαμερίσματα!H14)</f>
        <v/>
      </c>
      <c r="I46" s="102" t="str">
        <f>IF(Διαμερίσματα!I14="","",Διαμερίσματα!I14)</f>
        <v>Ιδιοκτήτης-9</v>
      </c>
      <c r="J46" s="102" t="str">
        <f>IF(Διαμερίσματα!J14="","",Διαμερίσματα!J14)</f>
        <v/>
      </c>
      <c r="K46" s="102" t="str">
        <f>IF(Διαμερίσματα!K14="","",Διαμερίσματα!K14)</f>
        <v/>
      </c>
      <c r="L46" s="103">
        <f>IF(Διαμερίσματα!L14="","",Διαμερίσματα!L14)</f>
        <v>140.08193048710237</v>
      </c>
      <c r="M46" s="103">
        <f>IF(Διαμερίσματα!M14="","",Διαμερίσματα!M14)</f>
        <v>140.08193048710237</v>
      </c>
      <c r="N46" s="103">
        <f>IF(Διαμερίσματα!N14="","",Διαμερίσματα!N14)</f>
        <v>140.08193048710237</v>
      </c>
      <c r="O46" s="103">
        <f>IF(Διαμερίσματα!R14="","",Διαμερίσματα!R14)</f>
        <v>0.35</v>
      </c>
      <c r="P46" s="103">
        <f>IF(Διαμερίσματα!S14="","",Διαμερίσματα!S14)</f>
        <v>7.1099999999999997E-2</v>
      </c>
      <c r="Q46" s="149"/>
    </row>
    <row r="47" spans="1:17" ht="21.95" customHeight="1">
      <c r="A47" s="542">
        <f t="shared" si="3"/>
        <v>10</v>
      </c>
      <c r="B47" s="128" t="str">
        <f>IF(Διαμερίσματα!B15="","",Διαμερίσματα!B15)</f>
        <v>Β3</v>
      </c>
      <c r="C47" s="129" t="str">
        <f>IF(Ώρες!H14="","",Ώρες!H14)</f>
        <v/>
      </c>
      <c r="D47" s="128" t="str">
        <f>IF(Διαμερίσματα!D15="","",Διαμερίσματα!D15)</f>
        <v>2ος</v>
      </c>
      <c r="E47" s="127">
        <f>IF(Διαμερίσματα!E15="","",Διαμερίσματα!E15)</f>
        <v>60</v>
      </c>
      <c r="F47" s="102" t="str">
        <f>IF(Διαμερίσματα!F15="","",Διαμερίσματα!F15)</f>
        <v>Ιδιοκτήτης-10</v>
      </c>
      <c r="G47" s="102" t="str">
        <f>IF(Διαμερίσματα!G15="","",Διαμερίσματα!G15)</f>
        <v/>
      </c>
      <c r="H47" s="102" t="str">
        <f>IF(Διαμερίσματα!H15="","",Διαμερίσματα!H15)</f>
        <v/>
      </c>
      <c r="I47" s="102" t="str">
        <f>IF(Διαμερίσματα!I15="","",Διαμερίσματα!I15)</f>
        <v>Ιδιοκτήτης-10</v>
      </c>
      <c r="J47" s="102" t="str">
        <f>IF(Διαμερίσματα!J15="","",Διαμερίσματα!J15)</f>
        <v/>
      </c>
      <c r="K47" s="102" t="str">
        <f>IF(Διαμερίσματα!K15="","",Διαμερίσματα!K15)</f>
        <v/>
      </c>
      <c r="L47" s="103">
        <f>IF(Διαμερίσματα!L15="","",Διαμερίσματα!L15)</f>
        <v>140.08193048710237</v>
      </c>
      <c r="M47" s="103">
        <f>IF(Διαμερίσματα!M15="","",Διαμερίσματα!M15)</f>
        <v>140.08193048710237</v>
      </c>
      <c r="N47" s="103">
        <f>IF(Διαμερίσματα!N15="","",Διαμερίσματα!N15)</f>
        <v>140.08193048710237</v>
      </c>
      <c r="O47" s="103">
        <f>IF(Διαμερίσματα!R15="","",Διαμερίσματα!R15)</f>
        <v>0.35</v>
      </c>
      <c r="P47" s="103">
        <f>IF(Διαμερίσματα!S15="","",Διαμερίσματα!S15)</f>
        <v>6.3E-2</v>
      </c>
      <c r="Q47" s="149"/>
    </row>
    <row r="48" spans="1:17" ht="21.95" customHeight="1">
      <c r="A48" s="542">
        <f t="shared" si="3"/>
        <v>11</v>
      </c>
      <c r="B48" s="128" t="str">
        <f>IF(Διαμερίσματα!B16="","",Διαμερίσματα!B16)</f>
        <v>Β4</v>
      </c>
      <c r="C48" s="129" t="str">
        <f>IF(Ώρες!H15="","",Ώρες!H15)</f>
        <v/>
      </c>
      <c r="D48" s="128" t="str">
        <f>IF(Διαμερίσματα!D16="","",Διαμερίσματα!D16)</f>
        <v>2ος</v>
      </c>
      <c r="E48" s="127">
        <f>IF(Διαμερίσματα!E16="","",Διαμερίσματα!E16)</f>
        <v>50</v>
      </c>
      <c r="F48" s="102" t="str">
        <f>IF(Διαμερίσματα!F16="","",Διαμερίσματα!F16)</f>
        <v>Ιδιοκτήτης-11</v>
      </c>
      <c r="G48" s="102" t="str">
        <f>IF(Διαμερίσματα!G16="","",Διαμερίσματα!G16)</f>
        <v/>
      </c>
      <c r="H48" s="102" t="str">
        <f>IF(Διαμερίσματα!H16="","",Διαμερίσματα!H16)</f>
        <v/>
      </c>
      <c r="I48" s="102" t="str">
        <f>IF(Διαμερίσματα!I16="","",Διαμερίσματα!I16)</f>
        <v>Ιδιοκτήτης-11</v>
      </c>
      <c r="J48" s="102" t="str">
        <f>IF(Διαμερίσματα!J16="","",Διαμερίσματα!J16)</f>
        <v/>
      </c>
      <c r="K48" s="102" t="str">
        <f>IF(Διαμερίσματα!K16="","",Διαμερίσματα!K16)</f>
        <v/>
      </c>
      <c r="L48" s="103">
        <f>IF(Διαμερίσματα!L16="","",Διαμερίσματα!L16)</f>
        <v>0</v>
      </c>
      <c r="M48" s="103">
        <f>IF(Διαμερίσματα!M16="","",Διαμερίσματα!M16)</f>
        <v>0</v>
      </c>
      <c r="N48" s="103">
        <f>IF(Διαμερίσματα!N16="","",Διαμερίσματα!N16)</f>
        <v>0</v>
      </c>
      <c r="O48" s="103">
        <f>IF(Διαμερίσματα!R16="","",Διαμερίσματα!R16)</f>
        <v>0.25</v>
      </c>
      <c r="P48" s="103">
        <f>IF(Διαμερίσματα!S16="","",Διαμερίσματα!S16)</f>
        <v>3.2199999999999999E-2</v>
      </c>
      <c r="Q48" s="149"/>
    </row>
    <row r="49" spans="1:17" ht="21.95" customHeight="1">
      <c r="A49" s="542">
        <f t="shared" si="3"/>
        <v>12</v>
      </c>
      <c r="B49" s="128" t="str">
        <f>IF(Διαμερίσματα!B17="","",Διαμερίσματα!B17)</f>
        <v>Γ1</v>
      </c>
      <c r="C49" s="129" t="str">
        <f>IF(Ώρες!H16="","",Ώρες!H16)</f>
        <v/>
      </c>
      <c r="D49" s="128" t="str">
        <f>IF(Διαμερίσματα!D17="","",Διαμερίσματα!D17)</f>
        <v>3ος</v>
      </c>
      <c r="E49" s="127">
        <f>IF(Διαμερίσματα!E17="","",Διαμερίσματα!E17)</f>
        <v>60</v>
      </c>
      <c r="F49" s="102" t="str">
        <f>IF(Διαμερίσματα!F17="","",Διαμερίσματα!F17)</f>
        <v>Ιδιοκτήτης-12</v>
      </c>
      <c r="G49" s="102" t="str">
        <f>IF(Διαμερίσματα!G17="","",Διαμερίσματα!G17)</f>
        <v/>
      </c>
      <c r="H49" s="102" t="str">
        <f>IF(Διαμερίσματα!H17="","",Διαμερίσματα!H17)</f>
        <v/>
      </c>
      <c r="I49" s="102" t="str">
        <f>IF(Διαμερίσματα!I17="","",Διαμερίσματα!I17)</f>
        <v>Ιδιοκτήτης-12</v>
      </c>
      <c r="J49" s="102" t="str">
        <f>IF(Διαμερίσματα!J17="","",Διαμερίσματα!J17)</f>
        <v/>
      </c>
      <c r="K49" s="102" t="str">
        <f>IF(Διαμερίσματα!K17="","",Διαμερίσματα!K17)</f>
        <v/>
      </c>
      <c r="L49" s="103">
        <f>IF(Διαμερίσματα!L17="","",Διαμερίσματα!L17)</f>
        <v>33.401608739251955</v>
      </c>
      <c r="M49" s="103">
        <f>IF(Διαμερίσματα!M17="","",Διαμερίσματα!M17)</f>
        <v>33.401608739251955</v>
      </c>
      <c r="N49" s="103">
        <f>IF(Διαμερίσματα!N17="","",Διαμερίσματα!N17)</f>
        <v>33.401608739251955</v>
      </c>
      <c r="O49" s="103">
        <f>IF(Διαμερίσματα!R17="","",Διαμερίσματα!R17)</f>
        <v>0.25</v>
      </c>
      <c r="P49" s="103">
        <f>IF(Διαμερίσματα!S17="","",Διαμερίσματα!S17)</f>
        <v>3.0700000000000002E-2</v>
      </c>
      <c r="Q49" s="149"/>
    </row>
    <row r="50" spans="1:17" ht="21.95" customHeight="1">
      <c r="A50" s="542">
        <f t="shared" si="3"/>
        <v>13</v>
      </c>
      <c r="B50" s="128" t="str">
        <f>IF(Διαμερίσματα!B18="","",Διαμερίσματα!B18)</f>
        <v>Γ2</v>
      </c>
      <c r="C50" s="129" t="str">
        <f>IF(Ώρες!H17="","",Ώρες!H17)</f>
        <v/>
      </c>
      <c r="D50" s="128" t="str">
        <f>IF(Διαμερίσματα!D18="","",Διαμερίσματα!D18)</f>
        <v>3ος</v>
      </c>
      <c r="E50" s="127">
        <f>IF(Διαμερίσματα!E18="","",Διαμερίσματα!E18)</f>
        <v>50</v>
      </c>
      <c r="F50" s="102" t="str">
        <f>IF(Διαμερίσματα!F18="","",Διαμερίσματα!F18)</f>
        <v>Ιδιοκτήτης-13</v>
      </c>
      <c r="G50" s="102" t="str">
        <f>IF(Διαμερίσματα!G18="","",Διαμερίσματα!G18)</f>
        <v/>
      </c>
      <c r="H50" s="102" t="str">
        <f>IF(Διαμερίσματα!H18="","",Διαμερίσματα!H18)</f>
        <v/>
      </c>
      <c r="I50" s="102" t="str">
        <f>IF(Διαμερίσματα!I18="","",Διαμερίσματα!I18)</f>
        <v>Ιδιοκτήτης-13</v>
      </c>
      <c r="J50" s="102" t="str">
        <f>IF(Διαμερίσματα!J18="","",Διαμερίσματα!J18)</f>
        <v/>
      </c>
      <c r="K50" s="102" t="str">
        <f>IF(Διαμερίσματα!K18="","",Διαμερίσματα!K18)</f>
        <v/>
      </c>
      <c r="L50" s="103">
        <f>IF(Διαμερίσματα!L18="","",Διαμερίσματα!L18)</f>
        <v>33.401608739251955</v>
      </c>
      <c r="M50" s="103">
        <f>IF(Διαμερίσματα!M18="","",Διαμερίσματα!M18)</f>
        <v>33.401608739251955</v>
      </c>
      <c r="N50" s="103">
        <f>IF(Διαμερίσματα!N18="","",Διαμερίσματα!N18)</f>
        <v>33.401608739251955</v>
      </c>
      <c r="O50" s="103">
        <f>IF(Διαμερίσματα!R18="","",Διαμερίσματα!R18)</f>
        <v>0.25</v>
      </c>
      <c r="P50" s="103">
        <f>IF(Διαμερίσματα!S18="","",Διαμερίσματα!S18)</f>
        <v>3.1099999999999999E-2</v>
      </c>
      <c r="Q50" s="149"/>
    </row>
    <row r="51" spans="1:17" ht="21.95" customHeight="1">
      <c r="A51" s="542">
        <f t="shared" si="3"/>
        <v>14</v>
      </c>
      <c r="B51" s="128" t="str">
        <f>IF(Διαμερίσματα!B19="","",Διαμερίσματα!B19)</f>
        <v>Γ3</v>
      </c>
      <c r="C51" s="129" t="str">
        <f>IF(Ώρες!H18="","",Ώρες!H18)</f>
        <v/>
      </c>
      <c r="D51" s="128" t="str">
        <f>IF(Διαμερίσματα!D19="","",Διαμερίσματα!D19)</f>
        <v>3ος</v>
      </c>
      <c r="E51" s="127">
        <f>IF(Διαμερίσματα!E19="","",Διαμερίσματα!E19)</f>
        <v>60</v>
      </c>
      <c r="F51" s="102" t="str">
        <f>IF(Διαμερίσματα!F19="","",Διαμερίσματα!F19)</f>
        <v>Ιδιοκτήτης-14</v>
      </c>
      <c r="G51" s="102" t="str">
        <f>IF(Διαμερίσματα!G19="","",Διαμερίσματα!G19)</f>
        <v/>
      </c>
      <c r="H51" s="102" t="str">
        <f>IF(Διαμερίσματα!H19="","",Διαμερίσματα!H19)</f>
        <v/>
      </c>
      <c r="I51" s="102" t="str">
        <f>IF(Διαμερίσματα!I19="","",Διαμερίσματα!I19)</f>
        <v>Ιδιοκτήτης-14</v>
      </c>
      <c r="J51" s="102" t="str">
        <f>IF(Διαμερίσματα!J19="","",Διαμερίσματα!J19)</f>
        <v/>
      </c>
      <c r="K51" s="102" t="str">
        <f>IF(Διαμερίσματα!K19="","",Διαμερίσματα!K19)</f>
        <v/>
      </c>
      <c r="L51" s="103">
        <f>IF(Διαμερίσματα!L19="","",Διαμερίσματα!L19)</f>
        <v>33.401608739251955</v>
      </c>
      <c r="M51" s="103">
        <f>IF(Διαμερίσματα!M19="","",Διαμερίσματα!M19)</f>
        <v>33.401608739251955</v>
      </c>
      <c r="N51" s="103">
        <f>IF(Διαμερίσματα!N19="","",Διαμερίσματα!N19)</f>
        <v>33.401608739251955</v>
      </c>
      <c r="O51" s="103">
        <f>IF(Διαμερίσματα!R19="","",Διαμερίσματα!R19)</f>
        <v>0.25</v>
      </c>
      <c r="P51" s="103">
        <f>IF(Διαμερίσματα!S19="","",Διαμερίσματα!S19)</f>
        <v>3.1099999999999999E-2</v>
      </c>
      <c r="Q51" s="149"/>
    </row>
    <row r="52" spans="1:17" ht="21.95" customHeight="1">
      <c r="A52" s="542">
        <f t="shared" si="3"/>
        <v>15</v>
      </c>
      <c r="B52" s="128" t="str">
        <f>IF(Διαμερίσματα!B20="","",Διαμερίσματα!B20)</f>
        <v>Γ4</v>
      </c>
      <c r="C52" s="129" t="str">
        <f>IF(Ώρες!H19="","",Ώρες!H19)</f>
        <v/>
      </c>
      <c r="D52" s="128" t="str">
        <f>IF(Διαμερίσματα!D20="","",Διαμερίσματα!D20)</f>
        <v>3ος</v>
      </c>
      <c r="E52" s="127">
        <f>IF(Διαμερίσματα!E20="","",Διαμερίσματα!E20)</f>
        <v>50</v>
      </c>
      <c r="F52" s="102" t="str">
        <f>IF(Διαμερίσματα!F20="","",Διαμερίσματα!F20)</f>
        <v>Ιδιοκτήτης-15</v>
      </c>
      <c r="G52" s="102" t="str">
        <f>IF(Διαμερίσματα!G20="","",Διαμερίσματα!G20)</f>
        <v/>
      </c>
      <c r="H52" s="102" t="str">
        <f>IF(Διαμερίσματα!H20="","",Διαμερίσματα!H20)</f>
        <v/>
      </c>
      <c r="I52" s="102" t="str">
        <f>IF(Διαμερίσματα!I20="","",Διαμερίσματα!I20)</f>
        <v>Ιδιοκτήτης-15</v>
      </c>
      <c r="J52" s="102" t="str">
        <f>IF(Διαμερίσματα!J20="","",Διαμερίσματα!J20)</f>
        <v/>
      </c>
      <c r="K52" s="102" t="str">
        <f>IF(Διαμερίσματα!K20="","",Διαμερίσματα!K20)</f>
        <v/>
      </c>
      <c r="L52" s="103">
        <f>IF(Διαμερίσματα!L20="","",Διαμερίσματα!L20)</f>
        <v>33.401608739251955</v>
      </c>
      <c r="M52" s="103">
        <f>IF(Διαμερίσματα!M20="","",Διαμερίσματα!M20)</f>
        <v>33.401608739251955</v>
      </c>
      <c r="N52" s="103">
        <f>IF(Διαμερίσματα!N20="","",Διαμερίσματα!N20)</f>
        <v>33.401608739251955</v>
      </c>
      <c r="O52" s="103">
        <f>IF(Διαμερίσματα!R20="","",Διαμερίσματα!R20)</f>
        <v>0.25</v>
      </c>
      <c r="P52" s="103">
        <f>IF(Διαμερίσματα!S20="","",Διαμερίσματα!S20)</f>
        <v>3.1099999999999999E-2</v>
      </c>
      <c r="Q52" s="149"/>
    </row>
    <row r="53" spans="1:17" ht="21.95" customHeight="1">
      <c r="A53" s="542">
        <f t="shared" si="3"/>
        <v>16</v>
      </c>
      <c r="B53" s="128" t="str">
        <f>IF(Διαμερίσματα!B21="","",Διαμερίσματα!B21)</f>
        <v>Δ1</v>
      </c>
      <c r="C53" s="129" t="str">
        <f>IF(Ώρες!H20="","",Ώρες!H20)</f>
        <v/>
      </c>
      <c r="D53" s="128" t="str">
        <f>IF(Διαμερίσματα!D21="","",Διαμερίσματα!D21)</f>
        <v>4ος</v>
      </c>
      <c r="E53" s="127">
        <f>IF(Διαμερίσματα!E21="","",Διαμερίσματα!E21)</f>
        <v>60</v>
      </c>
      <c r="F53" s="102" t="str">
        <f>IF(Διαμερίσματα!F21="","",Διαμερίσματα!F21)</f>
        <v>Ιδιοκτήτης-16</v>
      </c>
      <c r="G53" s="102" t="str">
        <f>IF(Διαμερίσματα!G21="","",Διαμερίσματα!G21)</f>
        <v/>
      </c>
      <c r="H53" s="102" t="str">
        <f>IF(Διαμερίσματα!H21="","",Διαμερίσματα!H21)</f>
        <v/>
      </c>
      <c r="I53" s="102" t="str">
        <f>IF(Διαμερίσματα!I21="","",Διαμερίσματα!I21)</f>
        <v>Ιδιοκτήτης-16</v>
      </c>
      <c r="J53" s="102" t="str">
        <f>IF(Διαμερίσματα!J21="","",Διαμερίσματα!J21)</f>
        <v/>
      </c>
      <c r="K53" s="102" t="str">
        <f>IF(Διαμερίσματα!K21="","",Διαμερίσματα!K21)</f>
        <v/>
      </c>
      <c r="L53" s="103">
        <f>IF(Διαμερίσματα!L21="","",Διαμερίσματα!L21)</f>
        <v>33.401608739251955</v>
      </c>
      <c r="M53" s="103">
        <f>IF(Διαμερίσματα!M21="","",Διαμερίσματα!M21)</f>
        <v>33.401608739251955</v>
      </c>
      <c r="N53" s="103">
        <f>IF(Διαμερίσματα!N21="","",Διαμερίσματα!N21)</f>
        <v>33.401608739251955</v>
      </c>
      <c r="O53" s="103">
        <f>IF(Διαμερίσματα!R21="","",Διαμερίσματα!R21)</f>
        <v>0.25</v>
      </c>
      <c r="P53" s="103">
        <f>IF(Διαμερίσματα!S21="","",Διαμερίσματα!S21)</f>
        <v>3.1099999999999999E-2</v>
      </c>
      <c r="Q53" s="149"/>
    </row>
    <row r="54" spans="1:17" ht="21.95" customHeight="1">
      <c r="A54" s="542">
        <f t="shared" si="3"/>
        <v>17</v>
      </c>
      <c r="B54" s="128" t="str">
        <f>IF(Διαμερίσματα!B22="","",Διαμερίσματα!B22)</f>
        <v>Δ2</v>
      </c>
      <c r="C54" s="129" t="str">
        <f>IF(Ώρες!H21="","",Ώρες!H21)</f>
        <v/>
      </c>
      <c r="D54" s="128" t="str">
        <f>IF(Διαμερίσματα!D22="","",Διαμερίσματα!D22)</f>
        <v>4ος</v>
      </c>
      <c r="E54" s="127">
        <f>IF(Διαμερίσματα!E22="","",Διαμερίσματα!E22)</f>
        <v>50</v>
      </c>
      <c r="F54" s="102" t="str">
        <f>IF(Διαμερίσματα!F22="","",Διαμερίσματα!F22)</f>
        <v>Ιδιοκτήτης-17</v>
      </c>
      <c r="G54" s="102" t="str">
        <f>IF(Διαμερίσματα!G22="","",Διαμερίσματα!G22)</f>
        <v/>
      </c>
      <c r="H54" s="102" t="str">
        <f>IF(Διαμερίσματα!H22="","",Διαμερίσματα!H22)</f>
        <v/>
      </c>
      <c r="I54" s="102" t="str">
        <f>IF(Διαμερίσματα!I22="","",Διαμερίσματα!I22)</f>
        <v>Ιδιοκτήτης-17</v>
      </c>
      <c r="J54" s="102" t="str">
        <f>IF(Διαμερίσματα!J22="","",Διαμερίσματα!J22)</f>
        <v/>
      </c>
      <c r="K54" s="102" t="str">
        <f>IF(Διαμερίσματα!K22="","",Διαμερίσματα!K22)</f>
        <v/>
      </c>
      <c r="L54" s="103">
        <f>IF(Διαμερίσματα!L22="","",Διαμερίσματα!L22)</f>
        <v>33.401608739251955</v>
      </c>
      <c r="M54" s="103">
        <f>IF(Διαμερίσματα!M22="","",Διαμερίσματα!M22)</f>
        <v>33.401608739251955</v>
      </c>
      <c r="N54" s="103">
        <f>IF(Διαμερίσματα!N22="","",Διαμερίσματα!N22)</f>
        <v>33.401608739251955</v>
      </c>
      <c r="O54" s="103">
        <f>IF(Διαμερίσματα!R22="","",Διαμερίσματα!R22)</f>
        <v>0.25</v>
      </c>
      <c r="P54" s="103">
        <f>IF(Διαμερίσματα!S22="","",Διαμερίσματα!S22)</f>
        <v>3.1099999999999999E-2</v>
      </c>
      <c r="Q54" s="149"/>
    </row>
    <row r="55" spans="1:17" ht="21.95" customHeight="1">
      <c r="A55" s="542">
        <f t="shared" si="3"/>
        <v>18</v>
      </c>
      <c r="B55" s="128" t="str">
        <f>IF(Διαμερίσματα!B23="","",Διαμερίσματα!B23)</f>
        <v>Δ3</v>
      </c>
      <c r="C55" s="129" t="str">
        <f>IF(Ώρες!H22="","",Ώρες!H22)</f>
        <v/>
      </c>
      <c r="D55" s="128" t="str">
        <f>IF(Διαμερίσματα!D23="","",Διαμερίσματα!D23)</f>
        <v>4ος</v>
      </c>
      <c r="E55" s="127">
        <f>IF(Διαμερίσματα!E23="","",Διαμερίσματα!E23)</f>
        <v>60</v>
      </c>
      <c r="F55" s="102" t="str">
        <f>IF(Διαμερίσματα!F23="","",Διαμερίσματα!F23)</f>
        <v>Ιδιοκτήτης-18</v>
      </c>
      <c r="G55" s="102" t="str">
        <f>IF(Διαμερίσματα!G23="","",Διαμερίσματα!G23)</f>
        <v/>
      </c>
      <c r="H55" s="102" t="str">
        <f>IF(Διαμερίσματα!H23="","",Διαμερίσματα!H23)</f>
        <v/>
      </c>
      <c r="I55" s="102" t="str">
        <f>IF(Διαμερίσματα!I23="","",Διαμερίσματα!I23)</f>
        <v>Ιδιοκτήτης-18</v>
      </c>
      <c r="J55" s="102" t="str">
        <f>IF(Διαμερίσματα!J23="","",Διαμερίσματα!J23)</f>
        <v/>
      </c>
      <c r="K55" s="102" t="str">
        <f>IF(Διαμερίσματα!K23="","",Διαμερίσματα!K23)</f>
        <v/>
      </c>
      <c r="L55" s="103">
        <f>IF(Διαμερίσματα!L23="","",Διαμερίσματα!L23)</f>
        <v>33.61496938274766</v>
      </c>
      <c r="M55" s="103">
        <f>IF(Διαμερίσματα!M23="","",Διαμερίσματα!M23)</f>
        <v>33.61496938274766</v>
      </c>
      <c r="N55" s="103">
        <f>IF(Διαμερίσματα!N23="","",Διαμερίσματα!N23)</f>
        <v>33.61496938274766</v>
      </c>
      <c r="O55" s="103">
        <f>IF(Διαμερίσματα!R23="","",Διαμερίσματα!R23)</f>
        <v>0.25</v>
      </c>
      <c r="P55" s="103">
        <f>IF(Διαμερίσματα!S23="","",Διαμερίσματα!S23)</f>
        <v>3.1099999999999999E-2</v>
      </c>
      <c r="Q55" s="149"/>
    </row>
    <row r="56" spans="1:17" ht="21.95" customHeight="1">
      <c r="A56" s="542">
        <f t="shared" si="3"/>
        <v>19</v>
      </c>
      <c r="B56" s="128" t="str">
        <f>IF(Διαμερίσματα!B24="","",Διαμερίσματα!B24)</f>
        <v>Δ4</v>
      </c>
      <c r="C56" s="129" t="str">
        <f>IF(Ώρες!H23="","",Ώρες!H23)</f>
        <v/>
      </c>
      <c r="D56" s="128" t="str">
        <f>IF(Διαμερίσματα!D24="","",Διαμερίσματα!D24)</f>
        <v>4ος</v>
      </c>
      <c r="E56" s="127">
        <f>IF(Διαμερίσματα!E24="","",Διαμερίσματα!E24)</f>
        <v>50</v>
      </c>
      <c r="F56" s="102" t="str">
        <f>IF(Διαμερίσματα!F24="","",Διαμερίσματα!F24)</f>
        <v>Ιδιοκτήτης-19</v>
      </c>
      <c r="G56" s="102" t="str">
        <f>IF(Διαμερίσματα!G24="","",Διαμερίσματα!G24)</f>
        <v/>
      </c>
      <c r="H56" s="102" t="str">
        <f>IF(Διαμερίσματα!H24="","",Διαμερίσματα!H24)</f>
        <v/>
      </c>
      <c r="I56" s="102" t="str">
        <f>IF(Διαμερίσματα!I24="","",Διαμερίσματα!I24)</f>
        <v>Ιδιοκτήτης-19</v>
      </c>
      <c r="J56" s="102" t="str">
        <f>IF(Διαμερίσματα!J24="","",Διαμερίσματα!J24)</f>
        <v/>
      </c>
      <c r="K56" s="102" t="str">
        <f>IF(Διαμερίσματα!K24="","",Διαμερίσματα!K24)</f>
        <v/>
      </c>
      <c r="L56" s="103">
        <f>IF(Διαμερίσματα!L24="","",Διαμερίσματα!L24)</f>
        <v>33.401608739251955</v>
      </c>
      <c r="M56" s="103">
        <f>IF(Διαμερίσματα!M24="","",Διαμερίσματα!M24)</f>
        <v>33.401608739251955</v>
      </c>
      <c r="N56" s="103">
        <f>IF(Διαμερίσματα!N24="","",Διαμερίσματα!N24)</f>
        <v>33.401608739251955</v>
      </c>
      <c r="O56" s="103">
        <f>IF(Διαμερίσματα!R24="","",Διαμερίσματα!R24)</f>
        <v>0.25</v>
      </c>
      <c r="P56" s="103">
        <f>IF(Διαμερίσματα!S24="","",Διαμερίσματα!S24)</f>
        <v>3.1099999999999999E-2</v>
      </c>
      <c r="Q56" s="149"/>
    </row>
    <row r="57" spans="1:17" ht="21.95" customHeight="1">
      <c r="A57" s="542">
        <f t="shared" si="3"/>
        <v>20</v>
      </c>
      <c r="B57" s="128" t="str">
        <f>IF(Διαμερίσματα!B25="","",Διαμερίσματα!B25)</f>
        <v>Ε1</v>
      </c>
      <c r="C57" s="129" t="str">
        <f>IF(Ώρες!H24="","",Ώρες!H24)</f>
        <v/>
      </c>
      <c r="D57" s="128" t="str">
        <f>IF(Διαμερίσματα!D25="","",Διαμερίσματα!D25)</f>
        <v>5ος</v>
      </c>
      <c r="E57" s="127">
        <f>IF(Διαμερίσματα!E25="","",Διαμερίσματα!E25)</f>
        <v>60</v>
      </c>
      <c r="F57" s="102" t="str">
        <f>IF(Διαμερίσματα!F25="","",Διαμερίσματα!F25)</f>
        <v>Ιδιοκτήτης-20</v>
      </c>
      <c r="G57" s="102" t="str">
        <f>IF(Διαμερίσματα!G25="","",Διαμερίσματα!G25)</f>
        <v/>
      </c>
      <c r="H57" s="102" t="str">
        <f>IF(Διαμερίσματα!H25="","",Διαμερίσματα!H25)</f>
        <v/>
      </c>
      <c r="I57" s="102" t="str">
        <f>IF(Διαμερίσματα!I25="","",Διαμερίσματα!I25)</f>
        <v>Ιδιοκτήτης-20</v>
      </c>
      <c r="J57" s="102" t="str">
        <f>IF(Διαμερίσματα!J25="","",Διαμερίσματα!J25)</f>
        <v/>
      </c>
      <c r="K57" s="102" t="str">
        <f>IF(Διαμερίσματα!K25="","",Διαμερίσματα!K25)</f>
        <v/>
      </c>
      <c r="L57" s="103">
        <f>IF(Διαμερίσματα!L25="","",Διαμερίσματα!L25)</f>
        <v>33.401608739251955</v>
      </c>
      <c r="M57" s="103">
        <f>IF(Διαμερίσματα!M25="","",Διαμερίσματα!M25)</f>
        <v>33.401608739251955</v>
      </c>
      <c r="N57" s="103">
        <f>IF(Διαμερίσματα!N25="","",Διαμερίσματα!N25)</f>
        <v>33.401608739251955</v>
      </c>
      <c r="O57" s="103">
        <f>IF(Διαμερίσματα!R25="","",Διαμερίσματα!R25)</f>
        <v>0.25</v>
      </c>
      <c r="P57" s="103">
        <f>IF(Διαμερίσματα!S25="","",Διαμερίσματα!S25)</f>
        <v>3.1099999999999999E-2</v>
      </c>
      <c r="Q57" s="149"/>
    </row>
    <row r="58" spans="1:17" ht="21.95" customHeight="1">
      <c r="A58" s="542">
        <f t="shared" si="3"/>
        <v>21</v>
      </c>
      <c r="B58" s="128" t="str">
        <f>IF(Διαμερίσματα!B26="","",Διαμερίσματα!B26)</f>
        <v>Ε2</v>
      </c>
      <c r="C58" s="129" t="str">
        <f>IF(Ώρες!H25="","",Ώρες!H25)</f>
        <v/>
      </c>
      <c r="D58" s="128" t="str">
        <f>IF(Διαμερίσματα!D26="","",Διαμερίσματα!D26)</f>
        <v>5ος</v>
      </c>
      <c r="E58" s="127">
        <f>IF(Διαμερίσματα!E26="","",Διαμερίσματα!E26)</f>
        <v>50</v>
      </c>
      <c r="F58" s="102" t="str">
        <f>IF(Διαμερίσματα!F26="","",Διαμερίσματα!F26)</f>
        <v>Ιδιοκτήτης-21</v>
      </c>
      <c r="G58" s="102" t="str">
        <f>IF(Διαμερίσματα!G26="","",Διαμερίσματα!G26)</f>
        <v/>
      </c>
      <c r="H58" s="102" t="str">
        <f>IF(Διαμερίσματα!H26="","",Διαμερίσματα!H26)</f>
        <v/>
      </c>
      <c r="I58" s="102" t="str">
        <f>IF(Διαμερίσματα!I26="","",Διαμερίσματα!I26)</f>
        <v>Ιδιοκτήτης-21</v>
      </c>
      <c r="J58" s="102" t="str">
        <f>IF(Διαμερίσματα!J26="","",Διαμερίσματα!J26)</f>
        <v/>
      </c>
      <c r="K58" s="102" t="str">
        <f>IF(Διαμερίσματα!K26="","",Διαμερίσματα!K26)</f>
        <v/>
      </c>
      <c r="L58" s="103">
        <f>IF(Διαμερίσματα!L26="","",Διαμερίσματα!L26)</f>
        <v>33.401608739251955</v>
      </c>
      <c r="M58" s="103">
        <f>IF(Διαμερίσματα!M26="","",Διαμερίσματα!M26)</f>
        <v>33.401608739251955</v>
      </c>
      <c r="N58" s="103">
        <f>IF(Διαμερίσματα!N26="","",Διαμερίσματα!N26)</f>
        <v>33.401608739251955</v>
      </c>
      <c r="O58" s="103">
        <f>IF(Διαμερίσματα!R26="","",Διαμερίσματα!R26)</f>
        <v>0.25</v>
      </c>
      <c r="P58" s="103">
        <f>IF(Διαμερίσματα!S26="","",Διαμερίσματα!S26)</f>
        <v>3.1099999999999999E-2</v>
      </c>
      <c r="Q58" s="149"/>
    </row>
    <row r="59" spans="1:17" ht="21.95" customHeight="1">
      <c r="A59" s="542">
        <f t="shared" si="3"/>
        <v>22</v>
      </c>
      <c r="B59" s="128" t="str">
        <f>IF(Διαμερίσματα!B27="","",Διαμερίσματα!B27)</f>
        <v>Ε3</v>
      </c>
      <c r="C59" s="129" t="str">
        <f>IF(Ώρες!H26="","",Ώρες!H26)</f>
        <v/>
      </c>
      <c r="D59" s="128" t="str">
        <f>IF(Διαμερίσματα!D27="","",Διαμερίσματα!D27)</f>
        <v>5ος</v>
      </c>
      <c r="E59" s="127">
        <f>IF(Διαμερίσματα!E27="","",Διαμερίσματα!E27)</f>
        <v>60</v>
      </c>
      <c r="F59" s="102" t="str">
        <f>IF(Διαμερίσματα!F27="","",Διαμερίσματα!F27)</f>
        <v>Ιδιοκτήτης-22</v>
      </c>
      <c r="G59" s="102" t="str">
        <f>IF(Διαμερίσματα!G27="","",Διαμερίσματα!G27)</f>
        <v/>
      </c>
      <c r="H59" s="102" t="str">
        <f>IF(Διαμερίσματα!H27="","",Διαμερίσματα!H27)</f>
        <v/>
      </c>
      <c r="I59" s="102" t="str">
        <f>IF(Διαμερίσματα!I27="","",Διαμερίσματα!I27)</f>
        <v>Ιδιοκτήτης-22</v>
      </c>
      <c r="J59" s="102" t="str">
        <f>IF(Διαμερίσματα!J27="","",Διαμερίσματα!J27)</f>
        <v/>
      </c>
      <c r="K59" s="102" t="str">
        <f>IF(Διαμερίσματα!K27="","",Διαμερίσματα!K27)</f>
        <v/>
      </c>
      <c r="L59" s="103">
        <f>IF(Διαμερίσματα!L27="","",Διαμερίσματα!L27)</f>
        <v>0</v>
      </c>
      <c r="M59" s="103">
        <f>IF(Διαμερίσματα!M27="","",Διαμερίσματα!M27)</f>
        <v>0</v>
      </c>
      <c r="N59" s="103">
        <f>IF(Διαμερίσματα!N27="","",Διαμερίσματα!N27)</f>
        <v>0</v>
      </c>
      <c r="O59" s="103">
        <f>IF(Διαμερίσματα!R27="","",Διαμερίσματα!R27)</f>
        <v>0.25</v>
      </c>
      <c r="P59" s="103">
        <f>IF(Διαμερίσματα!S27="","",Διαμερίσματα!S27)</f>
        <v>3.1099999999999999E-2</v>
      </c>
      <c r="Q59" s="149"/>
    </row>
    <row r="60" spans="1:17" s="16" customFormat="1" ht="12">
      <c r="A60" s="927" t="s">
        <v>23</v>
      </c>
      <c r="B60" s="927"/>
      <c r="C60" s="93">
        <f>SUM(C38:C59)</f>
        <v>0</v>
      </c>
      <c r="D60" s="119">
        <f>COUNTA(D38:D59)</f>
        <v>22</v>
      </c>
      <c r="E60" s="472">
        <f>SUM(E38:E59)</f>
        <v>1210</v>
      </c>
      <c r="F60" s="59"/>
      <c r="G60" s="59"/>
      <c r="H60" s="59"/>
      <c r="I60" s="59"/>
      <c r="J60" s="59"/>
      <c r="K60" s="59"/>
      <c r="L60" s="59">
        <f>SUM(L38:L59)</f>
        <v>1000.0000000000001</v>
      </c>
      <c r="M60" s="59">
        <f>SUM(M38:M59)</f>
        <v>1000.0000000000001</v>
      </c>
      <c r="N60" s="59">
        <f>SUM(N38:N59)</f>
        <v>1000.0000000000001</v>
      </c>
      <c r="O60" s="93">
        <f>SUM(O38:O59)</f>
        <v>6.6400000000000006</v>
      </c>
      <c r="P60" s="93">
        <f>SUM(P38:P59)</f>
        <v>1</v>
      </c>
      <c r="Q60" s="59"/>
    </row>
    <row r="61" spans="1:17" ht="9.9499999999999993" customHeight="1"/>
    <row r="62" spans="1:17" ht="5.0999999999999996" customHeight="1"/>
    <row r="80" ht="21" customHeight="1"/>
    <row r="81" spans="1:17" ht="18.75" customHeight="1">
      <c r="A81" s="921" t="s">
        <v>178</v>
      </c>
      <c r="B81" s="921"/>
      <c r="C81" s="921"/>
      <c r="D81" s="921"/>
      <c r="E81" s="921"/>
      <c r="F81" s="921"/>
      <c r="G81" s="921"/>
      <c r="H81" s="921"/>
      <c r="I81" s="921"/>
      <c r="J81" s="921"/>
      <c r="K81" s="921"/>
      <c r="L81" s="921"/>
      <c r="M81" s="921"/>
      <c r="N81" s="921"/>
      <c r="O81" s="921"/>
      <c r="P81" s="921"/>
      <c r="Q81" s="921"/>
    </row>
  </sheetData>
  <sheetProtection password="E4A3" sheet="1" objects="1" scenarios="1"/>
  <mergeCells count="119">
    <mergeCell ref="P23:Q23"/>
    <mergeCell ref="B24:J24"/>
    <mergeCell ref="K24:L24"/>
    <mergeCell ref="M24:O24"/>
    <mergeCell ref="P24:Q24"/>
    <mergeCell ref="P14:Q14"/>
    <mergeCell ref="B21:J21"/>
    <mergeCell ref="K21:L21"/>
    <mergeCell ref="M21:O21"/>
    <mergeCell ref="P21:Q21"/>
    <mergeCell ref="B22:J22"/>
    <mergeCell ref="K22:L22"/>
    <mergeCell ref="M22:O22"/>
    <mergeCell ref="P22:Q22"/>
    <mergeCell ref="B17:J17"/>
    <mergeCell ref="K17:L17"/>
    <mergeCell ref="M17:O17"/>
    <mergeCell ref="P17:Q17"/>
    <mergeCell ref="B18:J18"/>
    <mergeCell ref="K18:L18"/>
    <mergeCell ref="M18:O18"/>
    <mergeCell ref="P18:Q18"/>
    <mergeCell ref="P19:Q19"/>
    <mergeCell ref="G34:J34"/>
    <mergeCell ref="B35:E35"/>
    <mergeCell ref="F35:H35"/>
    <mergeCell ref="I35:K35"/>
    <mergeCell ref="L35:P35"/>
    <mergeCell ref="B15:J15"/>
    <mergeCell ref="K15:L15"/>
    <mergeCell ref="M15:O15"/>
    <mergeCell ref="P15:Q15"/>
    <mergeCell ref="B16:J16"/>
    <mergeCell ref="K16:L16"/>
    <mergeCell ref="M16:O16"/>
    <mergeCell ref="P16:Q16"/>
    <mergeCell ref="B25:J25"/>
    <mergeCell ref="K25:L25"/>
    <mergeCell ref="M25:O25"/>
    <mergeCell ref="P25:Q25"/>
    <mergeCell ref="B26:J26"/>
    <mergeCell ref="K26:L26"/>
    <mergeCell ref="M26:O26"/>
    <mergeCell ref="P26:Q26"/>
    <mergeCell ref="B23:J23"/>
    <mergeCell ref="K23:L23"/>
    <mergeCell ref="M23:O23"/>
    <mergeCell ref="A81:Q81"/>
    <mergeCell ref="B28:J28"/>
    <mergeCell ref="K28:L28"/>
    <mergeCell ref="M28:O28"/>
    <mergeCell ref="P28:Q28"/>
    <mergeCell ref="A31:J31"/>
    <mergeCell ref="K31:L31"/>
    <mergeCell ref="M31:O31"/>
    <mergeCell ref="B29:J29"/>
    <mergeCell ref="K29:L29"/>
    <mergeCell ref="M29:O29"/>
    <mergeCell ref="P29:Q29"/>
    <mergeCell ref="A32:Q32"/>
    <mergeCell ref="P31:Q31"/>
    <mergeCell ref="B30:J30"/>
    <mergeCell ref="K30:L30"/>
    <mergeCell ref="A60:B60"/>
    <mergeCell ref="P30:Q30"/>
    <mergeCell ref="M30:O30"/>
    <mergeCell ref="A33:Q33"/>
    <mergeCell ref="K34:Q34"/>
    <mergeCell ref="Q35:Q36"/>
    <mergeCell ref="A34:A36"/>
    <mergeCell ref="B34:F34"/>
    <mergeCell ref="S1:W2"/>
    <mergeCell ref="A1:Q1"/>
    <mergeCell ref="A6:C6"/>
    <mergeCell ref="D6:Q6"/>
    <mergeCell ref="B20:J20"/>
    <mergeCell ref="K20:L20"/>
    <mergeCell ref="M20:O20"/>
    <mergeCell ref="P20:Q20"/>
    <mergeCell ref="B11:J11"/>
    <mergeCell ref="K11:L11"/>
    <mergeCell ref="M11:O11"/>
    <mergeCell ref="P11:Q11"/>
    <mergeCell ref="A2:Q2"/>
    <mergeCell ref="N4:Q4"/>
    <mergeCell ref="A5:F5"/>
    <mergeCell ref="G5:I5"/>
    <mergeCell ref="M5:Q5"/>
    <mergeCell ref="A8:Q8"/>
    <mergeCell ref="B9:J9"/>
    <mergeCell ref="K9:L9"/>
    <mergeCell ref="M9:O9"/>
    <mergeCell ref="P9:Q9"/>
    <mergeCell ref="P12:Q12"/>
    <mergeCell ref="A7:Q7"/>
    <mergeCell ref="K27:L27"/>
    <mergeCell ref="A3:Q3"/>
    <mergeCell ref="M27:O27"/>
    <mergeCell ref="H4:K4"/>
    <mergeCell ref="M10:O10"/>
    <mergeCell ref="P10:Q10"/>
    <mergeCell ref="B19:J19"/>
    <mergeCell ref="K19:L19"/>
    <mergeCell ref="M19:O19"/>
    <mergeCell ref="P27:Q27"/>
    <mergeCell ref="B27:J27"/>
    <mergeCell ref="B12:J12"/>
    <mergeCell ref="K12:L12"/>
    <mergeCell ref="M12:O12"/>
    <mergeCell ref="B10:J10"/>
    <mergeCell ref="K10:L10"/>
    <mergeCell ref="B4:E4"/>
    <mergeCell ref="B13:J13"/>
    <mergeCell ref="K13:L13"/>
    <mergeCell ref="M13:O13"/>
    <mergeCell ref="P13:Q13"/>
    <mergeCell ref="B14:J14"/>
    <mergeCell ref="K14:L14"/>
    <mergeCell ref="M14:O14"/>
  </mergeCells>
  <hyperlinks>
    <hyperlink ref="S1:U2" location="ΠΛΟΗΓΗΣΗ!A1" display="Επιστροφή   στην   ΠΛΟΗΓΗΣΗ"/>
  </hyperlinks>
  <pageMargins left="0.19685039370078741" right="0.39370078740157483" top="0.19685039370078741" bottom="0.19685039370078741" header="0.31496062992125984" footer="0.31496062992125984"/>
  <pageSetup paperSize="9" orientation="landscape" r:id="rId1"/>
  <customProperties>
    <customPr name="DVSECTIONID" r:id="rId2"/>
  </customProperties>
  <drawing r:id="rId3"/>
</worksheet>
</file>

<file path=xl/worksheets/sheet32.xml><?xml version="1.0" encoding="utf-8"?>
<worksheet xmlns="http://schemas.openxmlformats.org/spreadsheetml/2006/main" xmlns:r="http://schemas.openxmlformats.org/officeDocument/2006/relationships">
  <sheetPr codeName="Φύλλο26">
    <tabColor theme="0" tint="-0.499984740745262"/>
  </sheetPr>
  <dimension ref="A1:Z30"/>
  <sheetViews>
    <sheetView workbookViewId="0">
      <selection activeCell="O7" sqref="O7:Q8"/>
    </sheetView>
  </sheetViews>
  <sheetFormatPr defaultColWidth="9.140625" defaultRowHeight="18.75"/>
  <cols>
    <col min="1" max="1" width="3.28515625" style="241" bestFit="1" customWidth="1"/>
    <col min="2" max="3" width="9.7109375" style="410" bestFit="1" customWidth="1"/>
    <col min="4" max="4" width="8" style="39" bestFit="1" customWidth="1"/>
    <col min="5" max="5" width="8.28515625" style="39" bestFit="1" customWidth="1"/>
    <col min="6" max="6" width="6.85546875" style="411" bestFit="1" customWidth="1"/>
    <col min="7" max="7" width="8" style="411" bestFit="1" customWidth="1"/>
    <col min="8" max="8" width="8.28515625" style="411" bestFit="1" customWidth="1"/>
    <col min="9" max="9" width="8" style="412" bestFit="1" customWidth="1"/>
    <col min="10" max="10" width="8.28515625" style="412" bestFit="1" customWidth="1"/>
    <col min="11" max="11" width="6.5703125" style="412" bestFit="1" customWidth="1"/>
    <col min="12" max="12" width="7.140625" style="412" bestFit="1" customWidth="1"/>
    <col min="13" max="13" width="1.7109375" style="39" customWidth="1"/>
    <col min="14" max="14" width="2.7109375" style="2" bestFit="1" customWidth="1"/>
    <col min="15" max="15" width="16.5703125" style="2" bestFit="1" customWidth="1"/>
    <col min="16" max="16" width="26" style="2" bestFit="1" customWidth="1"/>
    <col min="17" max="17" width="35.42578125" style="39" bestFit="1" customWidth="1"/>
    <col min="18" max="18" width="4.140625" style="39" bestFit="1" customWidth="1"/>
    <col min="19" max="19" width="5.5703125" style="39" bestFit="1" customWidth="1"/>
    <col min="20" max="20" width="4.140625" style="39" bestFit="1" customWidth="1"/>
    <col min="21" max="22" width="5" style="39" bestFit="1" customWidth="1"/>
    <col min="23" max="25" width="4.85546875" style="39" bestFit="1" customWidth="1"/>
    <col min="26" max="26" width="5.7109375" style="39" bestFit="1" customWidth="1"/>
    <col min="27" max="16384" width="9.140625" style="39"/>
  </cols>
  <sheetData>
    <row r="1" spans="1:17">
      <c r="A1" s="943" t="s">
        <v>24</v>
      </c>
      <c r="B1" s="945" t="s">
        <v>345</v>
      </c>
      <c r="C1" s="945"/>
      <c r="D1" s="946" t="s">
        <v>346</v>
      </c>
      <c r="E1" s="946"/>
      <c r="F1" s="947" t="s">
        <v>347</v>
      </c>
      <c r="G1" s="946" t="s">
        <v>348</v>
      </c>
      <c r="H1" s="946"/>
      <c r="I1" s="946" t="s">
        <v>349</v>
      </c>
      <c r="J1" s="946"/>
      <c r="K1" s="946"/>
      <c r="L1" s="946"/>
      <c r="N1" s="34" t="s">
        <v>350</v>
      </c>
      <c r="O1" s="34" t="s">
        <v>351</v>
      </c>
      <c r="P1" s="34" t="s">
        <v>352</v>
      </c>
      <c r="Q1" s="34" t="s">
        <v>353</v>
      </c>
    </row>
    <row r="2" spans="1:17">
      <c r="A2" s="944"/>
      <c r="B2" s="404" t="s">
        <v>354</v>
      </c>
      <c r="C2" s="404" t="s">
        <v>355</v>
      </c>
      <c r="D2" s="341" t="s">
        <v>356</v>
      </c>
      <c r="E2" s="341" t="s">
        <v>357</v>
      </c>
      <c r="F2" s="948"/>
      <c r="G2" s="341" t="s">
        <v>356</v>
      </c>
      <c r="H2" s="341" t="s">
        <v>357</v>
      </c>
      <c r="I2" s="341" t="s">
        <v>356</v>
      </c>
      <c r="J2" s="405" t="s">
        <v>357</v>
      </c>
      <c r="K2" s="405" t="s">
        <v>355</v>
      </c>
      <c r="L2" s="405" t="s">
        <v>358</v>
      </c>
      <c r="N2" s="132">
        <v>1</v>
      </c>
      <c r="O2" s="132" t="s">
        <v>359</v>
      </c>
      <c r="P2" s="132" t="s">
        <v>360</v>
      </c>
      <c r="Q2" s="132" t="s">
        <v>361</v>
      </c>
    </row>
    <row r="3" spans="1:17">
      <c r="A3" s="131">
        <v>1</v>
      </c>
      <c r="B3" s="406">
        <v>39445</v>
      </c>
      <c r="C3" s="418"/>
      <c r="D3" s="419"/>
      <c r="E3" s="419"/>
      <c r="F3" s="420"/>
      <c r="G3" s="420"/>
      <c r="H3" s="420"/>
      <c r="I3" s="421"/>
      <c r="J3" s="421"/>
      <c r="K3" s="421"/>
      <c r="L3" s="421"/>
      <c r="N3" s="132">
        <v>2</v>
      </c>
      <c r="O3" s="132" t="s">
        <v>362</v>
      </c>
      <c r="P3" s="132" t="s">
        <v>363</v>
      </c>
      <c r="Q3" s="132" t="s">
        <v>364</v>
      </c>
    </row>
    <row r="4" spans="1:17">
      <c r="A4" s="131">
        <f>A3+1</f>
        <v>2</v>
      </c>
      <c r="B4" s="406">
        <v>39478</v>
      </c>
      <c r="C4" s="418">
        <f>B3+30.4167</f>
        <v>39475.416700000002</v>
      </c>
      <c r="D4" s="419">
        <f>B4-B3</f>
        <v>33</v>
      </c>
      <c r="E4" s="419">
        <f>E3+D4</f>
        <v>33</v>
      </c>
      <c r="F4" s="420">
        <f>E4/A3</f>
        <v>33</v>
      </c>
      <c r="G4" s="420">
        <f>D4-30.4167</f>
        <v>2.5833000000000013</v>
      </c>
      <c r="H4" s="420">
        <f>H3+G4</f>
        <v>2.5833000000000013</v>
      </c>
      <c r="I4" s="421">
        <f>30.4167/D4</f>
        <v>0.92171818181818177</v>
      </c>
      <c r="J4" s="421">
        <f>J3+I4</f>
        <v>0.92171818181818177</v>
      </c>
      <c r="K4" s="421">
        <f>J4+(H4/30.4167)</f>
        <v>1.0066484997027649</v>
      </c>
      <c r="L4" s="421">
        <f>K4-J4</f>
        <v>8.4930317884583162E-2</v>
      </c>
      <c r="N4" s="132">
        <v>3</v>
      </c>
      <c r="O4" s="132" t="s">
        <v>365</v>
      </c>
      <c r="P4" s="132" t="s">
        <v>366</v>
      </c>
      <c r="Q4" s="132" t="s">
        <v>367</v>
      </c>
    </row>
    <row r="5" spans="1:17">
      <c r="A5" s="131">
        <f t="shared" ref="A5:A17" si="0">A4+1</f>
        <v>3</v>
      </c>
      <c r="B5" s="406">
        <v>39528</v>
      </c>
      <c r="C5" s="418">
        <f>C4+30.4167</f>
        <v>39505.833400000003</v>
      </c>
      <c r="D5" s="419">
        <f t="shared" ref="D5:D16" si="1">B5-B4</f>
        <v>50</v>
      </c>
      <c r="E5" s="419">
        <f t="shared" ref="E5:E16" si="2">E4+D5</f>
        <v>83</v>
      </c>
      <c r="F5" s="420">
        <f t="shared" ref="F5:F16" si="3">E5/A4</f>
        <v>41.5</v>
      </c>
      <c r="G5" s="420">
        <f t="shared" ref="G5:G16" si="4">D5-30.4167</f>
        <v>19.583300000000001</v>
      </c>
      <c r="H5" s="420">
        <f t="shared" ref="H5:H16" si="5">H4+G5</f>
        <v>22.166600000000003</v>
      </c>
      <c r="I5" s="421">
        <f t="shared" ref="I5:I16" si="6">30.4167/D5</f>
        <v>0.60833399999999993</v>
      </c>
      <c r="J5" s="421">
        <f t="shared" ref="J5:J16" si="7">J4+I5</f>
        <v>1.5300521818181818</v>
      </c>
      <c r="K5" s="421">
        <f t="shared" ref="K5:K16" si="8">J5+(H5/30.4167)</f>
        <v>2.258816314679406</v>
      </c>
      <c r="L5" s="421">
        <f t="shared" ref="L5:L16" si="9">K5-J5</f>
        <v>0.72876413286122421</v>
      </c>
      <c r="N5" s="132">
        <v>4</v>
      </c>
      <c r="O5" s="132" t="s">
        <v>368</v>
      </c>
      <c r="P5" s="423" t="s">
        <v>369</v>
      </c>
      <c r="Q5" s="132" t="s">
        <v>370</v>
      </c>
    </row>
    <row r="6" spans="1:17">
      <c r="A6" s="131">
        <f t="shared" si="0"/>
        <v>4</v>
      </c>
      <c r="B6" s="406">
        <v>39591</v>
      </c>
      <c r="C6" s="418">
        <f t="shared" ref="C6:C16" si="10">C5+30.4167</f>
        <v>39536.250100000005</v>
      </c>
      <c r="D6" s="419">
        <f t="shared" si="1"/>
        <v>63</v>
      </c>
      <c r="E6" s="419">
        <f t="shared" si="2"/>
        <v>146</v>
      </c>
      <c r="F6" s="420">
        <f t="shared" si="3"/>
        <v>48.666666666666664</v>
      </c>
      <c r="G6" s="420">
        <f t="shared" si="4"/>
        <v>32.583300000000001</v>
      </c>
      <c r="H6" s="420">
        <f t="shared" si="5"/>
        <v>54.749900000000004</v>
      </c>
      <c r="I6" s="421">
        <f t="shared" si="6"/>
        <v>0.4828047619047619</v>
      </c>
      <c r="J6" s="421">
        <f t="shared" si="7"/>
        <v>2.0128569437229435</v>
      </c>
      <c r="K6" s="421">
        <f t="shared" si="8"/>
        <v>3.8128516834547357</v>
      </c>
      <c r="L6" s="421">
        <f t="shared" si="9"/>
        <v>1.7999947397317921</v>
      </c>
    </row>
    <row r="7" spans="1:17">
      <c r="A7" s="131">
        <f t="shared" si="0"/>
        <v>5</v>
      </c>
      <c r="B7" s="406">
        <v>39627</v>
      </c>
      <c r="C7" s="418">
        <f t="shared" si="10"/>
        <v>39566.666800000006</v>
      </c>
      <c r="D7" s="419">
        <f t="shared" si="1"/>
        <v>36</v>
      </c>
      <c r="E7" s="419">
        <f t="shared" si="2"/>
        <v>182</v>
      </c>
      <c r="F7" s="420">
        <f t="shared" si="3"/>
        <v>45.5</v>
      </c>
      <c r="G7" s="420">
        <f t="shared" si="4"/>
        <v>5.5833000000000013</v>
      </c>
      <c r="H7" s="420">
        <f t="shared" si="5"/>
        <v>60.333200000000005</v>
      </c>
      <c r="I7" s="421">
        <f t="shared" si="6"/>
        <v>0.84490833333333326</v>
      </c>
      <c r="J7" s="421">
        <f t="shared" si="7"/>
        <v>2.8577652770562767</v>
      </c>
      <c r="K7" s="421">
        <f t="shared" si="8"/>
        <v>4.841320363571251</v>
      </c>
      <c r="L7" s="421">
        <f t="shared" si="9"/>
        <v>1.9835550865149743</v>
      </c>
      <c r="O7" s="942" t="s">
        <v>225</v>
      </c>
      <c r="P7" s="942"/>
      <c r="Q7" s="942"/>
    </row>
    <row r="8" spans="1:17">
      <c r="A8" s="131">
        <f t="shared" si="0"/>
        <v>6</v>
      </c>
      <c r="B8" s="406">
        <v>39648</v>
      </c>
      <c r="C8" s="418">
        <f t="shared" si="10"/>
        <v>39597.083500000008</v>
      </c>
      <c r="D8" s="419">
        <f t="shared" si="1"/>
        <v>21</v>
      </c>
      <c r="E8" s="419">
        <f t="shared" si="2"/>
        <v>203</v>
      </c>
      <c r="F8" s="420">
        <f t="shared" si="3"/>
        <v>40.6</v>
      </c>
      <c r="G8" s="420">
        <f t="shared" si="4"/>
        <v>-9.4166999999999987</v>
      </c>
      <c r="H8" s="420">
        <f t="shared" si="5"/>
        <v>50.916500000000006</v>
      </c>
      <c r="I8" s="421">
        <f t="shared" si="6"/>
        <v>1.4484142857142857</v>
      </c>
      <c r="J8" s="421">
        <f t="shared" si="7"/>
        <v>4.3061795627705628</v>
      </c>
      <c r="K8" s="421">
        <f t="shared" si="8"/>
        <v>5.9801448515757265</v>
      </c>
      <c r="L8" s="421">
        <f t="shared" si="9"/>
        <v>1.6739652888051637</v>
      </c>
      <c r="O8" s="942"/>
      <c r="P8" s="942"/>
      <c r="Q8" s="942"/>
    </row>
    <row r="9" spans="1:17">
      <c r="A9" s="131">
        <f t="shared" si="0"/>
        <v>7</v>
      </c>
      <c r="B9" s="406">
        <v>39682</v>
      </c>
      <c r="C9" s="418">
        <f t="shared" si="10"/>
        <v>39627.500200000009</v>
      </c>
      <c r="D9" s="419">
        <f t="shared" si="1"/>
        <v>34</v>
      </c>
      <c r="E9" s="419">
        <f t="shared" si="2"/>
        <v>237</v>
      </c>
      <c r="F9" s="420">
        <f t="shared" si="3"/>
        <v>39.5</v>
      </c>
      <c r="G9" s="420">
        <f t="shared" si="4"/>
        <v>3.5833000000000013</v>
      </c>
      <c r="H9" s="420">
        <f t="shared" si="5"/>
        <v>54.499800000000008</v>
      </c>
      <c r="I9" s="421">
        <f t="shared" si="6"/>
        <v>0.89460882352941173</v>
      </c>
      <c r="J9" s="421">
        <f t="shared" si="7"/>
        <v>5.2007883862999744</v>
      </c>
      <c r="K9" s="421">
        <f t="shared" si="8"/>
        <v>6.9925606692892535</v>
      </c>
      <c r="L9" s="421">
        <f t="shared" si="9"/>
        <v>1.791772282989279</v>
      </c>
    </row>
    <row r="10" spans="1:17">
      <c r="A10" s="131">
        <f t="shared" si="0"/>
        <v>8</v>
      </c>
      <c r="B10" s="406">
        <v>39718</v>
      </c>
      <c r="C10" s="418">
        <f t="shared" si="10"/>
        <v>39657.916900000011</v>
      </c>
      <c r="D10" s="419">
        <f t="shared" si="1"/>
        <v>36</v>
      </c>
      <c r="E10" s="419">
        <f t="shared" si="2"/>
        <v>273</v>
      </c>
      <c r="F10" s="420">
        <f t="shared" si="3"/>
        <v>39</v>
      </c>
      <c r="G10" s="420">
        <f t="shared" si="4"/>
        <v>5.5833000000000013</v>
      </c>
      <c r="H10" s="420">
        <f t="shared" si="5"/>
        <v>60.083100000000009</v>
      </c>
      <c r="I10" s="421">
        <f t="shared" si="6"/>
        <v>0.84490833333333326</v>
      </c>
      <c r="J10" s="421">
        <f t="shared" si="7"/>
        <v>6.045696719633308</v>
      </c>
      <c r="K10" s="421">
        <f t="shared" si="8"/>
        <v>8.0210293494057687</v>
      </c>
      <c r="L10" s="421">
        <f t="shared" si="9"/>
        <v>1.9753326297724607</v>
      </c>
    </row>
    <row r="11" spans="1:17">
      <c r="A11" s="131">
        <f t="shared" si="0"/>
        <v>9</v>
      </c>
      <c r="B11" s="406">
        <v>39743</v>
      </c>
      <c r="C11" s="418">
        <f t="shared" si="10"/>
        <v>39688.333600000013</v>
      </c>
      <c r="D11" s="419">
        <f t="shared" si="1"/>
        <v>25</v>
      </c>
      <c r="E11" s="419">
        <f t="shared" si="2"/>
        <v>298</v>
      </c>
      <c r="F11" s="420">
        <f t="shared" si="3"/>
        <v>37.25</v>
      </c>
      <c r="G11" s="420">
        <f t="shared" si="4"/>
        <v>-5.4166999999999987</v>
      </c>
      <c r="H11" s="420">
        <f t="shared" si="5"/>
        <v>54.66640000000001</v>
      </c>
      <c r="I11" s="421">
        <f t="shared" si="6"/>
        <v>1.2166679999999999</v>
      </c>
      <c r="J11" s="421">
        <f t="shared" si="7"/>
        <v>7.2623647196333074</v>
      </c>
      <c r="K11" s="421">
        <f t="shared" si="8"/>
        <v>9.0596142568940898</v>
      </c>
      <c r="L11" s="421">
        <f t="shared" si="9"/>
        <v>1.7972495372607824</v>
      </c>
    </row>
    <row r="12" spans="1:17">
      <c r="A12" s="131">
        <f t="shared" si="0"/>
        <v>10</v>
      </c>
      <c r="B12" s="406">
        <v>39764</v>
      </c>
      <c r="C12" s="418">
        <f t="shared" si="10"/>
        <v>39718.750300000014</v>
      </c>
      <c r="D12" s="419">
        <f t="shared" si="1"/>
        <v>21</v>
      </c>
      <c r="E12" s="419">
        <f t="shared" si="2"/>
        <v>319</v>
      </c>
      <c r="F12" s="420">
        <f t="shared" si="3"/>
        <v>35.444444444444443</v>
      </c>
      <c r="G12" s="420">
        <f t="shared" si="4"/>
        <v>-9.4166999999999987</v>
      </c>
      <c r="H12" s="420">
        <f t="shared" si="5"/>
        <v>45.249700000000011</v>
      </c>
      <c r="I12" s="421">
        <f t="shared" si="6"/>
        <v>1.4484142857142857</v>
      </c>
      <c r="J12" s="421">
        <f t="shared" si="7"/>
        <v>8.7107790053475931</v>
      </c>
      <c r="K12" s="421">
        <f t="shared" si="8"/>
        <v>10.198438744898564</v>
      </c>
      <c r="L12" s="421">
        <f t="shared" si="9"/>
        <v>1.4876597395509705</v>
      </c>
    </row>
    <row r="13" spans="1:17">
      <c r="A13" s="131">
        <f t="shared" si="0"/>
        <v>11</v>
      </c>
      <c r="B13" s="406">
        <v>39809</v>
      </c>
      <c r="C13" s="418">
        <f t="shared" si="10"/>
        <v>39749.167000000016</v>
      </c>
      <c r="D13" s="419">
        <f t="shared" si="1"/>
        <v>45</v>
      </c>
      <c r="E13" s="419">
        <f t="shared" si="2"/>
        <v>364</v>
      </c>
      <c r="F13" s="420">
        <f t="shared" si="3"/>
        <v>36.4</v>
      </c>
      <c r="G13" s="420">
        <f t="shared" si="4"/>
        <v>14.583300000000001</v>
      </c>
      <c r="H13" s="420">
        <f t="shared" si="5"/>
        <v>59.833000000000013</v>
      </c>
      <c r="I13" s="421">
        <f t="shared" si="6"/>
        <v>0.67592666666666668</v>
      </c>
      <c r="J13" s="421">
        <f t="shared" si="7"/>
        <v>9.3867056720142603</v>
      </c>
      <c r="K13" s="421">
        <f t="shared" si="8"/>
        <v>11.353815845044208</v>
      </c>
      <c r="L13" s="421">
        <f t="shared" si="9"/>
        <v>1.9671101730299476</v>
      </c>
    </row>
    <row r="14" spans="1:17">
      <c r="A14" s="131">
        <f t="shared" si="0"/>
        <v>12</v>
      </c>
      <c r="B14" s="406">
        <v>39840</v>
      </c>
      <c r="C14" s="418">
        <f t="shared" si="10"/>
        <v>39779.583700000017</v>
      </c>
      <c r="D14" s="419">
        <f t="shared" si="1"/>
        <v>31</v>
      </c>
      <c r="E14" s="419">
        <f t="shared" si="2"/>
        <v>395</v>
      </c>
      <c r="F14" s="420">
        <f t="shared" si="3"/>
        <v>35.909090909090907</v>
      </c>
      <c r="G14" s="420">
        <f t="shared" si="4"/>
        <v>0.58330000000000126</v>
      </c>
      <c r="H14" s="420">
        <f t="shared" si="5"/>
        <v>60.416300000000014</v>
      </c>
      <c r="I14" s="421">
        <f t="shared" si="6"/>
        <v>0.98118387096774184</v>
      </c>
      <c r="J14" s="421">
        <f t="shared" si="7"/>
        <v>10.367889542982002</v>
      </c>
      <c r="K14" s="421">
        <f t="shared" si="8"/>
        <v>12.354176681297467</v>
      </c>
      <c r="L14" s="421">
        <f t="shared" si="9"/>
        <v>1.9862871383154648</v>
      </c>
    </row>
    <row r="15" spans="1:17">
      <c r="A15" s="131">
        <f t="shared" si="0"/>
        <v>13</v>
      </c>
      <c r="B15" s="406">
        <v>39869</v>
      </c>
      <c r="C15" s="418">
        <f t="shared" si="10"/>
        <v>39810.000400000019</v>
      </c>
      <c r="D15" s="419">
        <f t="shared" si="1"/>
        <v>29</v>
      </c>
      <c r="E15" s="419">
        <f t="shared" si="2"/>
        <v>424</v>
      </c>
      <c r="F15" s="420">
        <f t="shared" si="3"/>
        <v>35.333333333333336</v>
      </c>
      <c r="G15" s="420">
        <f t="shared" si="4"/>
        <v>-1.4166999999999987</v>
      </c>
      <c r="H15" s="420">
        <f t="shared" si="5"/>
        <v>58.999600000000015</v>
      </c>
      <c r="I15" s="421">
        <f t="shared" si="6"/>
        <v>1.0488517241379309</v>
      </c>
      <c r="J15" s="421">
        <f t="shared" si="7"/>
        <v>11.416741267119933</v>
      </c>
      <c r="K15" s="421">
        <f t="shared" si="8"/>
        <v>13.35645201812185</v>
      </c>
      <c r="L15" s="421">
        <f t="shared" si="9"/>
        <v>1.9397107510019165</v>
      </c>
    </row>
    <row r="16" spans="1:17">
      <c r="A16" s="131">
        <f t="shared" si="0"/>
        <v>14</v>
      </c>
      <c r="B16" s="406">
        <v>39891</v>
      </c>
      <c r="C16" s="418">
        <f t="shared" si="10"/>
        <v>39840.417100000021</v>
      </c>
      <c r="D16" s="419">
        <f t="shared" si="1"/>
        <v>22</v>
      </c>
      <c r="E16" s="419">
        <f t="shared" si="2"/>
        <v>446</v>
      </c>
      <c r="F16" s="420">
        <f t="shared" si="3"/>
        <v>34.307692307692307</v>
      </c>
      <c r="G16" s="420">
        <f t="shared" si="4"/>
        <v>-8.4166999999999987</v>
      </c>
      <c r="H16" s="420">
        <f t="shared" si="5"/>
        <v>50.582900000000016</v>
      </c>
      <c r="I16" s="421">
        <f t="shared" si="6"/>
        <v>1.3825772727272727</v>
      </c>
      <c r="J16" s="421">
        <f t="shared" si="7"/>
        <v>12.799318539847206</v>
      </c>
      <c r="K16" s="421">
        <f t="shared" si="8"/>
        <v>14.462316169438846</v>
      </c>
      <c r="L16" s="422">
        <f t="shared" si="9"/>
        <v>1.66299762959164</v>
      </c>
      <c r="P16" s="406">
        <v>39891</v>
      </c>
    </row>
    <row r="17" spans="1:26">
      <c r="A17" s="131">
        <f t="shared" si="0"/>
        <v>15</v>
      </c>
      <c r="B17" s="935" t="s">
        <v>371</v>
      </c>
      <c r="C17" s="936"/>
      <c r="D17" s="937"/>
      <c r="E17" s="407"/>
      <c r="F17" s="938" t="s">
        <v>372</v>
      </c>
      <c r="G17" s="939"/>
      <c r="H17" s="939"/>
      <c r="I17" s="939"/>
      <c r="J17" s="939"/>
      <c r="K17" s="939"/>
      <c r="L17" s="940"/>
      <c r="O17" s="131">
        <v>15</v>
      </c>
      <c r="Q17" s="408" t="s">
        <v>373</v>
      </c>
      <c r="T17" s="941" t="s">
        <v>374</v>
      </c>
      <c r="U17" s="941"/>
      <c r="V17" s="941"/>
      <c r="W17" s="941"/>
      <c r="X17" s="941"/>
      <c r="Y17" s="941"/>
      <c r="Z17" s="941"/>
    </row>
    <row r="18" spans="1:26">
      <c r="A18" s="413">
        <v>16</v>
      </c>
      <c r="B18" s="409">
        <v>39956</v>
      </c>
      <c r="C18" s="414">
        <f>B16+45</f>
        <v>39936</v>
      </c>
      <c r="D18" s="415">
        <f>B18-B16</f>
        <v>65</v>
      </c>
      <c r="E18" s="415">
        <f>E17+D18</f>
        <v>65</v>
      </c>
      <c r="F18" s="416">
        <f>E18/A17</f>
        <v>4.333333333333333</v>
      </c>
      <c r="G18" s="416">
        <f>D18-45</f>
        <v>20</v>
      </c>
      <c r="H18" s="416">
        <f>H17+G18</f>
        <v>20</v>
      </c>
      <c r="I18" s="417">
        <f>45/D18</f>
        <v>0.69230769230769229</v>
      </c>
      <c r="J18" s="417">
        <f>J17+I18</f>
        <v>0.69230769230769229</v>
      </c>
      <c r="K18" s="417">
        <f>J18+(H18/45)</f>
        <v>1.1367521367521367</v>
      </c>
      <c r="L18" s="417">
        <f t="shared" ref="L18" si="11">K18-J18</f>
        <v>0.44444444444444442</v>
      </c>
      <c r="O18" s="413">
        <f>O17+1</f>
        <v>16</v>
      </c>
      <c r="P18" s="409">
        <v>39956</v>
      </c>
      <c r="Q18" s="424">
        <f>P16+60.8333</f>
        <v>39951.833299999998</v>
      </c>
      <c r="R18" s="425">
        <f>P18-P16</f>
        <v>65</v>
      </c>
      <c r="S18" s="425">
        <f>S17+R18</f>
        <v>65</v>
      </c>
      <c r="T18" s="426">
        <f>S18/O17</f>
        <v>4.333333333333333</v>
      </c>
      <c r="U18" s="426">
        <f>R18-60.8333</f>
        <v>4.1666999999999987</v>
      </c>
      <c r="V18" s="426">
        <f>V17+U18</f>
        <v>4.1666999999999987</v>
      </c>
      <c r="W18" s="427">
        <f>45/R18</f>
        <v>0.69230769230769229</v>
      </c>
      <c r="X18" s="427">
        <f>X17+W18</f>
        <v>0.69230769230769229</v>
      </c>
      <c r="Y18" s="427">
        <f>X18+(V18/60.8333)</f>
        <v>0.76080142846864363</v>
      </c>
      <c r="Z18" s="427">
        <f t="shared" ref="Z18" si="12">Y18-X18</f>
        <v>6.8493736160951335E-2</v>
      </c>
    </row>
    <row r="19" spans="1:26">
      <c r="A19" s="413">
        <f>A18+1</f>
        <v>17</v>
      </c>
      <c r="B19" s="409">
        <v>39995</v>
      </c>
      <c r="C19" s="414">
        <f>C18+45</f>
        <v>39981</v>
      </c>
      <c r="D19" s="415">
        <f>IF(B19="","",B19-B18)</f>
        <v>39</v>
      </c>
      <c r="E19" s="415">
        <f>IFERROR(E18+D19,"")</f>
        <v>104</v>
      </c>
      <c r="F19" s="416">
        <f>IFERROR(E19/A18,"")</f>
        <v>6.5</v>
      </c>
      <c r="G19" s="416">
        <f>IFERROR(D19-45,"")</f>
        <v>-6</v>
      </c>
      <c r="H19" s="416">
        <f>IFERROR(H18+G19,"")</f>
        <v>14</v>
      </c>
      <c r="I19" s="417">
        <f>IFERROR(45/D19,"")</f>
        <v>1.1538461538461537</v>
      </c>
      <c r="J19" s="417">
        <f>IFERROR(J18+I19,"")</f>
        <v>1.846153846153846</v>
      </c>
      <c r="K19" s="417">
        <f>IFERROR(J19+(H19/45),"")</f>
        <v>2.1572649572649572</v>
      </c>
      <c r="L19" s="417">
        <f>IFERROR(K19-J19,"")</f>
        <v>0.31111111111111112</v>
      </c>
      <c r="O19" s="413">
        <f t="shared" ref="O19:O24" si="13">O18+1</f>
        <v>17</v>
      </c>
      <c r="P19" s="409">
        <v>40022</v>
      </c>
      <c r="Q19" s="424">
        <f>Q18+60.8333</f>
        <v>40012.666599999997</v>
      </c>
      <c r="R19" s="425">
        <f>IF(P19="","",P19-P18)</f>
        <v>66</v>
      </c>
      <c r="S19" s="425">
        <f>IFERROR(S18+R19,"")</f>
        <v>131</v>
      </c>
      <c r="T19" s="426">
        <f>IFERROR(S19/O18,"")</f>
        <v>8.1875</v>
      </c>
      <c r="U19" s="426">
        <f>IFERROR(R19-60.8333,"")</f>
        <v>5.1666999999999987</v>
      </c>
      <c r="V19" s="426">
        <f>IFERROR(V18+U19,"")</f>
        <v>9.3333999999999975</v>
      </c>
      <c r="W19" s="427">
        <f>IFERROR(45/R19,"")</f>
        <v>0.68181818181818177</v>
      </c>
      <c r="X19" s="427">
        <f>IFERROR(X18+W19,"")</f>
        <v>1.3741258741258742</v>
      </c>
      <c r="Y19" s="427">
        <f>IFERROR(X19+(V19/60.8333),"")</f>
        <v>1.5275517116194837</v>
      </c>
      <c r="Z19" s="427">
        <f>IFERROR(Y19-X19,"")</f>
        <v>0.1534258374936095</v>
      </c>
    </row>
    <row r="20" spans="1:26">
      <c r="A20" s="413">
        <f>A19+1</f>
        <v>18</v>
      </c>
      <c r="B20" s="409">
        <v>40022</v>
      </c>
      <c r="C20" s="414">
        <f>C19+45</f>
        <v>40026</v>
      </c>
      <c r="D20" s="415">
        <f>IF(B20="","",B20-B19)</f>
        <v>27</v>
      </c>
      <c r="E20" s="415">
        <f>IFERROR(E19+D20,"")</f>
        <v>131</v>
      </c>
      <c r="F20" s="416">
        <f>IFERROR(E20/A19,"")</f>
        <v>7.7058823529411766</v>
      </c>
      <c r="G20" s="416">
        <f>IFERROR(D20-45,"")</f>
        <v>-18</v>
      </c>
      <c r="H20" s="416">
        <f>IFERROR(H19+G20,"")</f>
        <v>-4</v>
      </c>
      <c r="I20" s="417">
        <f>IFERROR(45/D20,"")</f>
        <v>1.6666666666666667</v>
      </c>
      <c r="J20" s="417">
        <f>IFERROR(J19+I20,"")</f>
        <v>3.5128205128205128</v>
      </c>
      <c r="K20" s="417">
        <f>IFERROR(J20+(H20/45),"")</f>
        <v>3.4239316239316238</v>
      </c>
      <c r="L20" s="417">
        <f>IFERROR(K20-J20,"")</f>
        <v>-8.8888888888889017E-2</v>
      </c>
      <c r="O20" s="413">
        <f t="shared" si="13"/>
        <v>18</v>
      </c>
      <c r="P20" s="409">
        <v>40082</v>
      </c>
      <c r="Q20" s="424">
        <f t="shared" ref="Q20:Q30" si="14">Q19+60.8333</f>
        <v>40073.499899999995</v>
      </c>
      <c r="R20" s="425">
        <f>IF(P20="","",P20-P19)</f>
        <v>60</v>
      </c>
      <c r="S20" s="425">
        <f>IFERROR(S19+R20,"")</f>
        <v>191</v>
      </c>
      <c r="T20" s="426">
        <f>IFERROR(S20/O19,"")</f>
        <v>11.235294117647058</v>
      </c>
      <c r="U20" s="426">
        <f t="shared" ref="U20:U24" si="15">IFERROR(R20-60.8333,"")</f>
        <v>-0.83330000000000126</v>
      </c>
      <c r="V20" s="426">
        <f>IFERROR(V19+U20,"")</f>
        <v>8.5000999999999962</v>
      </c>
      <c r="W20" s="427">
        <f>IFERROR(45/R20,"")</f>
        <v>0.75</v>
      </c>
      <c r="X20" s="427">
        <f>IFERROR(X19+W20,"")</f>
        <v>2.1241258741258742</v>
      </c>
      <c r="Y20" s="427">
        <f t="shared" ref="Y20:Y24" si="16">IFERROR(X20+(V20/60.8333),"")</f>
        <v>2.2638536219219003</v>
      </c>
      <c r="Z20" s="427">
        <f>IFERROR(Y20-X20,"")</f>
        <v>0.13972774779602615</v>
      </c>
    </row>
    <row r="21" spans="1:26">
      <c r="A21" s="413">
        <f>A20+1</f>
        <v>19</v>
      </c>
      <c r="B21" s="409">
        <v>40082</v>
      </c>
      <c r="C21" s="414">
        <f>C20+45</f>
        <v>40071</v>
      </c>
      <c r="D21" s="415">
        <f>IF(B21="","",B21-B20)</f>
        <v>60</v>
      </c>
      <c r="E21" s="415">
        <f>IFERROR(E20+D21,"")</f>
        <v>191</v>
      </c>
      <c r="F21" s="416">
        <f>IFERROR(E21/A20,"")</f>
        <v>10.611111111111111</v>
      </c>
      <c r="G21" s="416">
        <f>IFERROR(D21-45,"")</f>
        <v>15</v>
      </c>
      <c r="H21" s="416">
        <f>IFERROR(H20+G21,"")</f>
        <v>11</v>
      </c>
      <c r="I21" s="417">
        <f>IFERROR(45/D21,"")</f>
        <v>0.75</v>
      </c>
      <c r="J21" s="417">
        <f>IFERROR(J20+I21,"")</f>
        <v>4.2628205128205128</v>
      </c>
      <c r="K21" s="417">
        <f>IFERROR(J21+(H21/45),"")</f>
        <v>4.5072649572649572</v>
      </c>
      <c r="L21" s="417">
        <f>IFERROR(K21-J21,"")</f>
        <v>0.24444444444444446</v>
      </c>
      <c r="O21" s="413">
        <f t="shared" si="13"/>
        <v>19</v>
      </c>
      <c r="P21" s="409">
        <v>40138</v>
      </c>
      <c r="Q21" s="424">
        <f t="shared" si="14"/>
        <v>40134.333199999994</v>
      </c>
      <c r="R21" s="425">
        <f>IF(P21="","",P21-P20)</f>
        <v>56</v>
      </c>
      <c r="S21" s="425">
        <f>IFERROR(S20+R21,"")</f>
        <v>247</v>
      </c>
      <c r="T21" s="426">
        <f>IFERROR(S21/O20,"")</f>
        <v>13.722222222222221</v>
      </c>
      <c r="U21" s="426">
        <f t="shared" si="15"/>
        <v>-4.8333000000000013</v>
      </c>
      <c r="V21" s="426">
        <f>IFERROR(V20+U21,"")</f>
        <v>3.666799999999995</v>
      </c>
      <c r="W21" s="427">
        <f>IFERROR(45/R21,"")</f>
        <v>0.8035714285714286</v>
      </c>
      <c r="X21" s="427">
        <f>IFERROR(X20+W21,"")</f>
        <v>2.927697302697303</v>
      </c>
      <c r="Y21" s="427">
        <f t="shared" si="16"/>
        <v>2.987973500108918</v>
      </c>
      <c r="Z21" s="427">
        <f>IFERROR(Y21-X21,"")</f>
        <v>6.0276197411615051E-2</v>
      </c>
    </row>
    <row r="22" spans="1:26">
      <c r="A22" s="413">
        <f>A21+1</f>
        <v>20</v>
      </c>
      <c r="B22" s="409">
        <v>40138</v>
      </c>
      <c r="C22" s="414">
        <f>C21+45</f>
        <v>40116</v>
      </c>
      <c r="D22" s="415">
        <f>IF(B22="","",B22-B21)</f>
        <v>56</v>
      </c>
      <c r="E22" s="415">
        <f>IFERROR(E21+D22,"")</f>
        <v>247</v>
      </c>
      <c r="F22" s="416">
        <f>IFERROR(E22/A21,"")</f>
        <v>13</v>
      </c>
      <c r="G22" s="416">
        <f>IFERROR(D22-45,"")</f>
        <v>11</v>
      </c>
      <c r="H22" s="416">
        <f>IFERROR(H21+G22,"")</f>
        <v>22</v>
      </c>
      <c r="I22" s="417">
        <f>IFERROR(45/D22,"")</f>
        <v>0.8035714285714286</v>
      </c>
      <c r="J22" s="417">
        <f>IFERROR(J21+I22,"")</f>
        <v>5.0663919413919416</v>
      </c>
      <c r="K22" s="417">
        <f>IFERROR(J22+(H22/45),"")</f>
        <v>5.5552808302808305</v>
      </c>
      <c r="L22" s="417">
        <f>IFERROR(K22-J22,"")</f>
        <v>0.48888888888888893</v>
      </c>
      <c r="O22" s="413">
        <f t="shared" si="13"/>
        <v>20</v>
      </c>
      <c r="P22" s="409">
        <v>40200</v>
      </c>
      <c r="Q22" s="424">
        <f t="shared" si="14"/>
        <v>40195.166499999992</v>
      </c>
      <c r="R22" s="425">
        <f>IF(P22="","",P22-P21)</f>
        <v>62</v>
      </c>
      <c r="S22" s="425">
        <f>IFERROR(S21+R22,"")</f>
        <v>309</v>
      </c>
      <c r="T22" s="426">
        <f>IFERROR(S22/O21,"")</f>
        <v>16.263157894736842</v>
      </c>
      <c r="U22" s="426">
        <f t="shared" si="15"/>
        <v>1.1666999999999987</v>
      </c>
      <c r="V22" s="426">
        <f>IFERROR(V21+U22,"")</f>
        <v>4.8334999999999937</v>
      </c>
      <c r="W22" s="427">
        <f>IFERROR(45/R22,"")</f>
        <v>0.72580645161290325</v>
      </c>
      <c r="X22" s="427">
        <f>IFERROR(X21+W22,"")</f>
        <v>3.653503754310206</v>
      </c>
      <c r="Y22" s="427">
        <f t="shared" si="16"/>
        <v>3.7329585923676514</v>
      </c>
      <c r="Z22" s="427">
        <f>IFERROR(Y22-X22,"")</f>
        <v>7.9454838057445354E-2</v>
      </c>
    </row>
    <row r="23" spans="1:26">
      <c r="A23" s="413">
        <f t="shared" ref="A23:A30" si="17">A22+1</f>
        <v>21</v>
      </c>
      <c r="B23" s="409">
        <v>40200</v>
      </c>
      <c r="C23" s="414">
        <f t="shared" ref="C23:C30" si="18">C22+45</f>
        <v>40161</v>
      </c>
      <c r="D23" s="415">
        <f t="shared" ref="D23:D24" si="19">IF(B23="","",B23-B22)</f>
        <v>62</v>
      </c>
      <c r="E23" s="415">
        <f t="shared" ref="E23:E24" si="20">IFERROR(E22+D23,"")</f>
        <v>309</v>
      </c>
      <c r="F23" s="416">
        <f t="shared" ref="F23:F24" si="21">IFERROR(E23/A22,"")</f>
        <v>15.45</v>
      </c>
      <c r="G23" s="416">
        <f t="shared" ref="G23:G24" si="22">IFERROR(D23-45,"")</f>
        <v>17</v>
      </c>
      <c r="H23" s="416">
        <f t="shared" ref="H23:H24" si="23">IFERROR(H22+G23,"")</f>
        <v>39</v>
      </c>
      <c r="I23" s="417">
        <f t="shared" ref="I23:I24" si="24">IFERROR(45/D23,"")</f>
        <v>0.72580645161290325</v>
      </c>
      <c r="J23" s="417">
        <f t="shared" ref="J23:J24" si="25">IFERROR(J22+I23,"")</f>
        <v>5.7921983930048446</v>
      </c>
      <c r="K23" s="417">
        <f t="shared" ref="K23:K24" si="26">IFERROR(J23+(H23/45),"")</f>
        <v>6.6588650596715109</v>
      </c>
      <c r="L23" s="417">
        <f t="shared" ref="L23:L24" si="27">IFERROR(K23-J23,"")</f>
        <v>0.86666666666666625</v>
      </c>
      <c r="O23" s="413">
        <f t="shared" si="13"/>
        <v>21</v>
      </c>
      <c r="P23" s="409"/>
      <c r="Q23" s="424">
        <f t="shared" si="14"/>
        <v>40255.999799999991</v>
      </c>
      <c r="R23" s="425" t="str">
        <f t="shared" ref="R23:R24" si="28">IF(P23="","",P23-P22)</f>
        <v/>
      </c>
      <c r="S23" s="425" t="str">
        <f t="shared" ref="S23:S24" si="29">IFERROR(S22+R23,"")</f>
        <v/>
      </c>
      <c r="T23" s="426" t="str">
        <f t="shared" ref="T23:T24" si="30">IFERROR(S23/O22,"")</f>
        <v/>
      </c>
      <c r="U23" s="426" t="str">
        <f t="shared" si="15"/>
        <v/>
      </c>
      <c r="V23" s="426" t="str">
        <f t="shared" ref="V23:V24" si="31">IFERROR(V22+U23,"")</f>
        <v/>
      </c>
      <c r="W23" s="427" t="str">
        <f t="shared" ref="W23:W24" si="32">IFERROR(45/R23,"")</f>
        <v/>
      </c>
      <c r="X23" s="427" t="str">
        <f t="shared" ref="X23:X24" si="33">IFERROR(X22+W23,"")</f>
        <v/>
      </c>
      <c r="Y23" s="427" t="str">
        <f t="shared" si="16"/>
        <v/>
      </c>
      <c r="Z23" s="427" t="str">
        <f t="shared" ref="Z23:Z24" si="34">IFERROR(Y23-X23,"")</f>
        <v/>
      </c>
    </row>
    <row r="24" spans="1:26">
      <c r="A24" s="413">
        <f t="shared" si="17"/>
        <v>22</v>
      </c>
      <c r="B24" s="409"/>
      <c r="C24" s="414">
        <f t="shared" si="18"/>
        <v>40206</v>
      </c>
      <c r="D24" s="415" t="str">
        <f t="shared" si="19"/>
        <v/>
      </c>
      <c r="E24" s="415" t="str">
        <f t="shared" si="20"/>
        <v/>
      </c>
      <c r="F24" s="416" t="str">
        <f t="shared" si="21"/>
        <v/>
      </c>
      <c r="G24" s="416" t="str">
        <f t="shared" si="22"/>
        <v/>
      </c>
      <c r="H24" s="416" t="str">
        <f t="shared" si="23"/>
        <v/>
      </c>
      <c r="I24" s="417" t="str">
        <f t="shared" si="24"/>
        <v/>
      </c>
      <c r="J24" s="417" t="str">
        <f t="shared" si="25"/>
        <v/>
      </c>
      <c r="K24" s="417" t="str">
        <f t="shared" si="26"/>
        <v/>
      </c>
      <c r="L24" s="417" t="str">
        <f t="shared" si="27"/>
        <v/>
      </c>
      <c r="O24" s="413">
        <f t="shared" si="13"/>
        <v>22</v>
      </c>
      <c r="P24" s="409"/>
      <c r="Q24" s="424">
        <f t="shared" si="14"/>
        <v>40316.833099999989</v>
      </c>
      <c r="R24" s="425" t="str">
        <f t="shared" si="28"/>
        <v/>
      </c>
      <c r="S24" s="425" t="str">
        <f t="shared" si="29"/>
        <v/>
      </c>
      <c r="T24" s="426" t="str">
        <f t="shared" si="30"/>
        <v/>
      </c>
      <c r="U24" s="426" t="str">
        <f t="shared" si="15"/>
        <v/>
      </c>
      <c r="V24" s="426" t="str">
        <f t="shared" si="31"/>
        <v/>
      </c>
      <c r="W24" s="427" t="str">
        <f t="shared" si="32"/>
        <v/>
      </c>
      <c r="X24" s="427" t="str">
        <f t="shared" si="33"/>
        <v/>
      </c>
      <c r="Y24" s="427" t="str">
        <f t="shared" si="16"/>
        <v/>
      </c>
      <c r="Z24" s="427" t="str">
        <f t="shared" si="34"/>
        <v/>
      </c>
    </row>
    <row r="25" spans="1:26">
      <c r="A25" s="413">
        <f t="shared" si="17"/>
        <v>23</v>
      </c>
      <c r="B25" s="409"/>
      <c r="C25" s="414">
        <f t="shared" si="18"/>
        <v>40251</v>
      </c>
      <c r="D25" s="415" t="str">
        <f t="shared" ref="D25:D30" si="35">IF(B25="","",B25-B24)</f>
        <v/>
      </c>
      <c r="E25" s="415" t="str">
        <f t="shared" ref="E25:E30" si="36">IFERROR(E24+D25,"")</f>
        <v/>
      </c>
      <c r="F25" s="416" t="str">
        <f t="shared" ref="F25:F30" si="37">IFERROR(E25/A24,"")</f>
        <v/>
      </c>
      <c r="G25" s="416" t="str">
        <f t="shared" ref="G25:G30" si="38">IFERROR(D25-45,"")</f>
        <v/>
      </c>
      <c r="H25" s="416" t="str">
        <f t="shared" ref="H25:H30" si="39">IFERROR(H24+G25,"")</f>
        <v/>
      </c>
      <c r="I25" s="417" t="str">
        <f t="shared" ref="I25:I30" si="40">IFERROR(45/D25,"")</f>
        <v/>
      </c>
      <c r="J25" s="417" t="str">
        <f t="shared" ref="J25:J30" si="41">IFERROR(J24+I25,"")</f>
        <v/>
      </c>
      <c r="K25" s="417" t="str">
        <f t="shared" ref="K25:K30" si="42">IFERROR(J25+(H25/45),"")</f>
        <v/>
      </c>
      <c r="L25" s="417" t="str">
        <f t="shared" ref="L25:L30" si="43">IFERROR(K25-J25,"")</f>
        <v/>
      </c>
      <c r="O25" s="413">
        <f t="shared" ref="O25:O30" si="44">O24+1</f>
        <v>23</v>
      </c>
      <c r="P25" s="409"/>
      <c r="Q25" s="424">
        <f t="shared" si="14"/>
        <v>40377.666399999987</v>
      </c>
      <c r="R25" s="425" t="str">
        <f t="shared" ref="R25:R30" si="45">IF(P25="","",P25-P24)</f>
        <v/>
      </c>
      <c r="S25" s="425" t="str">
        <f t="shared" ref="S25:S30" si="46">IFERROR(S24+R25,"")</f>
        <v/>
      </c>
      <c r="T25" s="426" t="str">
        <f t="shared" ref="T25:T30" si="47">IFERROR(S25/O24,"")</f>
        <v/>
      </c>
      <c r="U25" s="426" t="str">
        <f t="shared" ref="U25:U30" si="48">IFERROR(R25-60.8333,"")</f>
        <v/>
      </c>
      <c r="V25" s="426" t="str">
        <f t="shared" ref="V25:V30" si="49">IFERROR(V24+U25,"")</f>
        <v/>
      </c>
      <c r="W25" s="427" t="str">
        <f t="shared" ref="W25:W30" si="50">IFERROR(45/R25,"")</f>
        <v/>
      </c>
      <c r="X25" s="427" t="str">
        <f t="shared" ref="X25:X30" si="51">IFERROR(X24+W25,"")</f>
        <v/>
      </c>
      <c r="Y25" s="427" t="str">
        <f t="shared" ref="Y25:Y30" si="52">IFERROR(X25+(V25/60.8333),"")</f>
        <v/>
      </c>
      <c r="Z25" s="427" t="str">
        <f t="shared" ref="Z25:Z30" si="53">IFERROR(Y25-X25,"")</f>
        <v/>
      </c>
    </row>
    <row r="26" spans="1:26">
      <c r="A26" s="413">
        <f t="shared" si="17"/>
        <v>24</v>
      </c>
      <c r="B26" s="409"/>
      <c r="C26" s="414">
        <f t="shared" si="18"/>
        <v>40296</v>
      </c>
      <c r="D26" s="415" t="str">
        <f t="shared" si="35"/>
        <v/>
      </c>
      <c r="E26" s="415" t="str">
        <f t="shared" si="36"/>
        <v/>
      </c>
      <c r="F26" s="416" t="str">
        <f t="shared" si="37"/>
        <v/>
      </c>
      <c r="G26" s="416" t="str">
        <f t="shared" si="38"/>
        <v/>
      </c>
      <c r="H26" s="416" t="str">
        <f t="shared" si="39"/>
        <v/>
      </c>
      <c r="I26" s="417" t="str">
        <f t="shared" si="40"/>
        <v/>
      </c>
      <c r="J26" s="417" t="str">
        <f t="shared" si="41"/>
        <v/>
      </c>
      <c r="K26" s="417" t="str">
        <f t="shared" si="42"/>
        <v/>
      </c>
      <c r="L26" s="417" t="str">
        <f t="shared" si="43"/>
        <v/>
      </c>
      <c r="O26" s="413">
        <f t="shared" si="44"/>
        <v>24</v>
      </c>
      <c r="P26" s="409"/>
      <c r="Q26" s="424">
        <f t="shared" si="14"/>
        <v>40438.499699999986</v>
      </c>
      <c r="R26" s="425" t="str">
        <f t="shared" si="45"/>
        <v/>
      </c>
      <c r="S26" s="425" t="str">
        <f t="shared" si="46"/>
        <v/>
      </c>
      <c r="T26" s="426" t="str">
        <f t="shared" si="47"/>
        <v/>
      </c>
      <c r="U26" s="426" t="str">
        <f t="shared" si="48"/>
        <v/>
      </c>
      <c r="V26" s="426" t="str">
        <f t="shared" si="49"/>
        <v/>
      </c>
      <c r="W26" s="427" t="str">
        <f t="shared" si="50"/>
        <v/>
      </c>
      <c r="X26" s="427" t="str">
        <f t="shared" si="51"/>
        <v/>
      </c>
      <c r="Y26" s="427" t="str">
        <f t="shared" si="52"/>
        <v/>
      </c>
      <c r="Z26" s="427" t="str">
        <f t="shared" si="53"/>
        <v/>
      </c>
    </row>
    <row r="27" spans="1:26">
      <c r="A27" s="413">
        <f t="shared" si="17"/>
        <v>25</v>
      </c>
      <c r="B27" s="409"/>
      <c r="C27" s="414">
        <f t="shared" si="18"/>
        <v>40341</v>
      </c>
      <c r="D27" s="415" t="str">
        <f t="shared" si="35"/>
        <v/>
      </c>
      <c r="E27" s="415" t="str">
        <f t="shared" si="36"/>
        <v/>
      </c>
      <c r="F27" s="416" t="str">
        <f t="shared" si="37"/>
        <v/>
      </c>
      <c r="G27" s="416" t="str">
        <f t="shared" si="38"/>
        <v/>
      </c>
      <c r="H27" s="416" t="str">
        <f t="shared" si="39"/>
        <v/>
      </c>
      <c r="I27" s="417" t="str">
        <f t="shared" si="40"/>
        <v/>
      </c>
      <c r="J27" s="417" t="str">
        <f t="shared" si="41"/>
        <v/>
      </c>
      <c r="K27" s="417" t="str">
        <f t="shared" si="42"/>
        <v/>
      </c>
      <c r="L27" s="417" t="str">
        <f t="shared" si="43"/>
        <v/>
      </c>
      <c r="O27" s="413">
        <f t="shared" si="44"/>
        <v>25</v>
      </c>
      <c r="P27" s="409"/>
      <c r="Q27" s="424">
        <f t="shared" si="14"/>
        <v>40499.332999999984</v>
      </c>
      <c r="R27" s="425" t="str">
        <f t="shared" si="45"/>
        <v/>
      </c>
      <c r="S27" s="425" t="str">
        <f t="shared" si="46"/>
        <v/>
      </c>
      <c r="T27" s="426" t="str">
        <f t="shared" si="47"/>
        <v/>
      </c>
      <c r="U27" s="426" t="str">
        <f t="shared" si="48"/>
        <v/>
      </c>
      <c r="V27" s="426" t="str">
        <f t="shared" si="49"/>
        <v/>
      </c>
      <c r="W27" s="427" t="str">
        <f t="shared" si="50"/>
        <v/>
      </c>
      <c r="X27" s="427" t="str">
        <f t="shared" si="51"/>
        <v/>
      </c>
      <c r="Y27" s="427" t="str">
        <f t="shared" si="52"/>
        <v/>
      </c>
      <c r="Z27" s="427" t="str">
        <f t="shared" si="53"/>
        <v/>
      </c>
    </row>
    <row r="28" spans="1:26">
      <c r="A28" s="413">
        <f t="shared" si="17"/>
        <v>26</v>
      </c>
      <c r="B28" s="409"/>
      <c r="C28" s="414">
        <f t="shared" si="18"/>
        <v>40386</v>
      </c>
      <c r="D28" s="415" t="str">
        <f t="shared" si="35"/>
        <v/>
      </c>
      <c r="E28" s="415" t="str">
        <f t="shared" si="36"/>
        <v/>
      </c>
      <c r="F28" s="416" t="str">
        <f t="shared" si="37"/>
        <v/>
      </c>
      <c r="G28" s="416" t="str">
        <f t="shared" si="38"/>
        <v/>
      </c>
      <c r="H28" s="416" t="str">
        <f t="shared" si="39"/>
        <v/>
      </c>
      <c r="I28" s="417" t="str">
        <f t="shared" si="40"/>
        <v/>
      </c>
      <c r="J28" s="417" t="str">
        <f t="shared" si="41"/>
        <v/>
      </c>
      <c r="K28" s="417" t="str">
        <f t="shared" si="42"/>
        <v/>
      </c>
      <c r="L28" s="417" t="str">
        <f t="shared" si="43"/>
        <v/>
      </c>
      <c r="O28" s="413">
        <f t="shared" si="44"/>
        <v>26</v>
      </c>
      <c r="P28" s="409"/>
      <c r="Q28" s="424">
        <f t="shared" si="14"/>
        <v>40560.166299999983</v>
      </c>
      <c r="R28" s="425" t="str">
        <f t="shared" si="45"/>
        <v/>
      </c>
      <c r="S28" s="425" t="str">
        <f t="shared" si="46"/>
        <v/>
      </c>
      <c r="T28" s="426" t="str">
        <f t="shared" si="47"/>
        <v/>
      </c>
      <c r="U28" s="426" t="str">
        <f t="shared" si="48"/>
        <v/>
      </c>
      <c r="V28" s="426" t="str">
        <f t="shared" si="49"/>
        <v/>
      </c>
      <c r="W28" s="427" t="str">
        <f t="shared" si="50"/>
        <v/>
      </c>
      <c r="X28" s="427" t="str">
        <f t="shared" si="51"/>
        <v/>
      </c>
      <c r="Y28" s="427" t="str">
        <f t="shared" si="52"/>
        <v/>
      </c>
      <c r="Z28" s="427" t="str">
        <f t="shared" si="53"/>
        <v/>
      </c>
    </row>
    <row r="29" spans="1:26">
      <c r="A29" s="413">
        <f t="shared" si="17"/>
        <v>27</v>
      </c>
      <c r="B29" s="409"/>
      <c r="C29" s="414">
        <f t="shared" si="18"/>
        <v>40431</v>
      </c>
      <c r="D29" s="415" t="str">
        <f t="shared" si="35"/>
        <v/>
      </c>
      <c r="E29" s="415" t="str">
        <f t="shared" si="36"/>
        <v/>
      </c>
      <c r="F29" s="416" t="str">
        <f t="shared" si="37"/>
        <v/>
      </c>
      <c r="G29" s="416" t="str">
        <f t="shared" si="38"/>
        <v/>
      </c>
      <c r="H29" s="416" t="str">
        <f t="shared" si="39"/>
        <v/>
      </c>
      <c r="I29" s="417" t="str">
        <f t="shared" si="40"/>
        <v/>
      </c>
      <c r="J29" s="417" t="str">
        <f t="shared" si="41"/>
        <v/>
      </c>
      <c r="K29" s="417" t="str">
        <f t="shared" si="42"/>
        <v/>
      </c>
      <c r="L29" s="417" t="str">
        <f t="shared" si="43"/>
        <v/>
      </c>
      <c r="O29" s="413">
        <f t="shared" si="44"/>
        <v>27</v>
      </c>
      <c r="P29" s="409"/>
      <c r="Q29" s="424">
        <f t="shared" si="14"/>
        <v>40620.999599999981</v>
      </c>
      <c r="R29" s="425" t="str">
        <f t="shared" si="45"/>
        <v/>
      </c>
      <c r="S29" s="425" t="str">
        <f t="shared" si="46"/>
        <v/>
      </c>
      <c r="T29" s="426" t="str">
        <f t="shared" si="47"/>
        <v/>
      </c>
      <c r="U29" s="426" t="str">
        <f t="shared" si="48"/>
        <v/>
      </c>
      <c r="V29" s="426" t="str">
        <f t="shared" si="49"/>
        <v/>
      </c>
      <c r="W29" s="427" t="str">
        <f t="shared" si="50"/>
        <v/>
      </c>
      <c r="X29" s="427" t="str">
        <f t="shared" si="51"/>
        <v/>
      </c>
      <c r="Y29" s="427" t="str">
        <f t="shared" si="52"/>
        <v/>
      </c>
      <c r="Z29" s="427" t="str">
        <f t="shared" si="53"/>
        <v/>
      </c>
    </row>
    <row r="30" spans="1:26">
      <c r="A30" s="413">
        <f t="shared" si="17"/>
        <v>28</v>
      </c>
      <c r="B30" s="409"/>
      <c r="C30" s="414">
        <f t="shared" si="18"/>
        <v>40476</v>
      </c>
      <c r="D30" s="415" t="str">
        <f t="shared" si="35"/>
        <v/>
      </c>
      <c r="E30" s="415" t="str">
        <f t="shared" si="36"/>
        <v/>
      </c>
      <c r="F30" s="416" t="str">
        <f t="shared" si="37"/>
        <v/>
      </c>
      <c r="G30" s="416" t="str">
        <f t="shared" si="38"/>
        <v/>
      </c>
      <c r="H30" s="416" t="str">
        <f t="shared" si="39"/>
        <v/>
      </c>
      <c r="I30" s="417" t="str">
        <f t="shared" si="40"/>
        <v/>
      </c>
      <c r="J30" s="417" t="str">
        <f t="shared" si="41"/>
        <v/>
      </c>
      <c r="K30" s="417" t="str">
        <f t="shared" si="42"/>
        <v/>
      </c>
      <c r="L30" s="417" t="str">
        <f t="shared" si="43"/>
        <v/>
      </c>
      <c r="O30" s="413">
        <f t="shared" si="44"/>
        <v>28</v>
      </c>
      <c r="P30" s="409"/>
      <c r="Q30" s="424">
        <f t="shared" si="14"/>
        <v>40681.832899999979</v>
      </c>
      <c r="R30" s="425" t="str">
        <f t="shared" si="45"/>
        <v/>
      </c>
      <c r="S30" s="425" t="str">
        <f t="shared" si="46"/>
        <v/>
      </c>
      <c r="T30" s="426" t="str">
        <f t="shared" si="47"/>
        <v/>
      </c>
      <c r="U30" s="426" t="str">
        <f t="shared" si="48"/>
        <v/>
      </c>
      <c r="V30" s="426" t="str">
        <f t="shared" si="49"/>
        <v/>
      </c>
      <c r="W30" s="427" t="str">
        <f t="shared" si="50"/>
        <v/>
      </c>
      <c r="X30" s="427" t="str">
        <f t="shared" si="51"/>
        <v/>
      </c>
      <c r="Y30" s="427" t="str">
        <f t="shared" si="52"/>
        <v/>
      </c>
      <c r="Z30" s="427" t="str">
        <f t="shared" si="53"/>
        <v/>
      </c>
    </row>
  </sheetData>
  <sheetProtection password="E4A3" sheet="1" objects="1" scenarios="1"/>
  <mergeCells count="10">
    <mergeCell ref="B17:D17"/>
    <mergeCell ref="F17:L17"/>
    <mergeCell ref="T17:Z17"/>
    <mergeCell ref="O7:Q8"/>
    <mergeCell ref="A1:A2"/>
    <mergeCell ref="B1:C1"/>
    <mergeCell ref="D1:E1"/>
    <mergeCell ref="F1:F2"/>
    <mergeCell ref="G1:H1"/>
    <mergeCell ref="I1:L1"/>
  </mergeCells>
  <hyperlinks>
    <hyperlink ref="O7:Q8" location="ΠΛΟΗΓΗΣΗ!A1" display="Επιστροφή   στην   ΠΛΟΗΓΗΣΗ"/>
  </hyperlinks>
  <pageMargins left="0.7" right="0.7" top="0.75" bottom="0.75" header="0.3" footer="0.3"/>
  <pageSetup paperSize="9" orientation="portrait" r:id="rId1"/>
  <customProperties>
    <customPr name="DVSECTIONID" r:id="rId2"/>
  </customProperties>
  <legacyDrawing r:id="rId3"/>
</worksheet>
</file>

<file path=xl/worksheets/sheet33.xml><?xml version="1.0" encoding="utf-8"?>
<worksheet xmlns="http://schemas.openxmlformats.org/spreadsheetml/2006/main" xmlns:r="http://schemas.openxmlformats.org/officeDocument/2006/relationships">
  <sheetPr codeName="Φύλλο27">
    <tabColor theme="0" tint="-0.499984740745262"/>
  </sheetPr>
  <dimension ref="A1:P28"/>
  <sheetViews>
    <sheetView workbookViewId="0">
      <selection activeCell="R4" sqref="R4"/>
    </sheetView>
  </sheetViews>
  <sheetFormatPr defaultColWidth="9.140625" defaultRowHeight="12"/>
  <cols>
    <col min="1" max="1" width="3.7109375" style="16" bestFit="1" customWidth="1"/>
    <col min="2" max="2" width="6.7109375" style="16" bestFit="1" customWidth="1"/>
    <col min="3" max="3" width="6.85546875" style="16" bestFit="1" customWidth="1"/>
    <col min="4" max="4" width="3.5703125" style="16" bestFit="1" customWidth="1"/>
    <col min="5" max="5" width="16.85546875" style="16" bestFit="1" customWidth="1"/>
    <col min="6" max="6" width="10.140625" style="16" bestFit="1" customWidth="1"/>
    <col min="7" max="7" width="11" style="16" bestFit="1" customWidth="1"/>
    <col min="8" max="8" width="16.85546875" style="16" bestFit="1" customWidth="1"/>
    <col min="9" max="9" width="10.140625" style="16" bestFit="1" customWidth="1"/>
    <col min="10" max="10" width="11" style="16" bestFit="1" customWidth="1"/>
    <col min="11" max="11" width="6.42578125" style="225" customWidth="1"/>
    <col min="12" max="13" width="5.85546875" style="225" customWidth="1"/>
    <col min="14" max="14" width="7.140625" style="225" customWidth="1"/>
    <col min="15" max="15" width="5.28515625" style="225" customWidth="1"/>
    <col min="16" max="16" width="14" style="226" customWidth="1"/>
    <col min="17" max="16384" width="9.140625" style="16"/>
  </cols>
  <sheetData>
    <row r="1" spans="1:16" s="14" customFormat="1" ht="99.95" customHeight="1">
      <c r="B1" s="949" t="s">
        <v>426</v>
      </c>
      <c r="C1" s="949"/>
      <c r="D1" s="949"/>
      <c r="E1" s="949"/>
      <c r="F1" s="949"/>
      <c r="G1" s="949"/>
      <c r="H1" s="949"/>
      <c r="I1" s="949"/>
      <c r="J1" s="949"/>
      <c r="K1" s="950" t="s">
        <v>225</v>
      </c>
      <c r="L1" s="950"/>
      <c r="M1" s="950"/>
      <c r="N1" s="950"/>
      <c r="O1" s="950"/>
      <c r="P1" s="950"/>
    </row>
    <row r="2" spans="1:16" ht="21.95" customHeight="1">
      <c r="A2" s="957" t="s">
        <v>24</v>
      </c>
      <c r="B2" s="960" t="str">
        <f>ΣΤΟΙΧΕΙΑ!C2</f>
        <v>Πολυκατοικία :</v>
      </c>
      <c r="C2" s="961"/>
      <c r="D2" s="961"/>
      <c r="E2" s="961"/>
      <c r="F2" s="962" t="str">
        <f>ΣΤΟΙΧΕΙΑ!C12</f>
        <v>Διευθύνση 123</v>
      </c>
      <c r="G2" s="962"/>
      <c r="H2" s="962"/>
      <c r="I2" s="962"/>
      <c r="J2" s="963" t="str">
        <f>ΣΤΟΙΧΕΙΑ!C13</f>
        <v>Νεάπολη - ΑΤΤΙΚΗΣ.</v>
      </c>
      <c r="K2" s="964"/>
      <c r="L2" s="964"/>
      <c r="M2" s="964"/>
      <c r="N2" s="964"/>
      <c r="O2" s="964"/>
      <c r="P2" s="965"/>
    </row>
    <row r="3" spans="1:16" ht="21.95" customHeight="1">
      <c r="A3" s="958"/>
      <c r="B3" s="966" t="s">
        <v>11</v>
      </c>
      <c r="C3" s="966"/>
      <c r="D3" s="966"/>
      <c r="E3" s="966" t="s">
        <v>29</v>
      </c>
      <c r="F3" s="966"/>
      <c r="G3" s="966"/>
      <c r="H3" s="966" t="s">
        <v>78</v>
      </c>
      <c r="I3" s="966"/>
      <c r="J3" s="966"/>
      <c r="K3" s="952" t="s">
        <v>427</v>
      </c>
      <c r="L3" s="951" t="s">
        <v>428</v>
      </c>
      <c r="M3" s="951" t="s">
        <v>176</v>
      </c>
      <c r="N3" s="952" t="s">
        <v>429</v>
      </c>
      <c r="O3" s="952" t="s">
        <v>430</v>
      </c>
      <c r="P3" s="954" t="s">
        <v>173</v>
      </c>
    </row>
    <row r="4" spans="1:16" s="9" customFormat="1" ht="21.95" customHeight="1">
      <c r="A4" s="959"/>
      <c r="B4" s="433" t="s">
        <v>40</v>
      </c>
      <c r="C4" s="433" t="s">
        <v>28</v>
      </c>
      <c r="D4" s="215" t="s">
        <v>133</v>
      </c>
      <c r="E4" s="215" t="s">
        <v>85</v>
      </c>
      <c r="F4" s="215" t="s">
        <v>79</v>
      </c>
      <c r="G4" s="433" t="s">
        <v>80</v>
      </c>
      <c r="H4" s="433" t="s">
        <v>85</v>
      </c>
      <c r="I4" s="433" t="s">
        <v>79</v>
      </c>
      <c r="J4" s="433" t="s">
        <v>80</v>
      </c>
      <c r="K4" s="953"/>
      <c r="L4" s="951"/>
      <c r="M4" s="951"/>
      <c r="N4" s="953"/>
      <c r="O4" s="953"/>
      <c r="P4" s="955"/>
    </row>
    <row r="5" spans="1:16" s="9" customFormat="1" ht="9.9499999999999993" customHeight="1">
      <c r="A5" s="434">
        <v>1</v>
      </c>
      <c r="B5" s="434">
        <f>A5+1</f>
        <v>2</v>
      </c>
      <c r="C5" s="434">
        <f t="shared" ref="C5:P5" si="0">B5+1</f>
        <v>3</v>
      </c>
      <c r="D5" s="434">
        <f t="shared" si="0"/>
        <v>4</v>
      </c>
      <c r="E5" s="434">
        <f t="shared" si="0"/>
        <v>5</v>
      </c>
      <c r="F5" s="434">
        <f t="shared" si="0"/>
        <v>6</v>
      </c>
      <c r="G5" s="434">
        <f t="shared" si="0"/>
        <v>7</v>
      </c>
      <c r="H5" s="434">
        <f t="shared" si="0"/>
        <v>8</v>
      </c>
      <c r="I5" s="434">
        <f t="shared" si="0"/>
        <v>9</v>
      </c>
      <c r="J5" s="434">
        <f t="shared" si="0"/>
        <v>10</v>
      </c>
      <c r="K5" s="434">
        <f t="shared" si="0"/>
        <v>11</v>
      </c>
      <c r="L5" s="434">
        <f t="shared" si="0"/>
        <v>12</v>
      </c>
      <c r="M5" s="434">
        <f t="shared" si="0"/>
        <v>13</v>
      </c>
      <c r="N5" s="434">
        <f t="shared" si="0"/>
        <v>14</v>
      </c>
      <c r="O5" s="434">
        <f t="shared" si="0"/>
        <v>15</v>
      </c>
      <c r="P5" s="434">
        <f t="shared" si="0"/>
        <v>16</v>
      </c>
    </row>
    <row r="6" spans="1:16" ht="12" customHeight="1">
      <c r="A6" s="215">
        <f>IF(B6="","",1)</f>
        <v>1</v>
      </c>
      <c r="B6" s="135" t="str">
        <f>IF(Διαμερίσματα!B6="","",Διαμερίσματα!B6)</f>
        <v>Κ1</v>
      </c>
      <c r="C6" s="135" t="str">
        <f>IF(Διαμερίσματα!D6="","",Διαμερίσματα!D6)</f>
        <v>Ισ</v>
      </c>
      <c r="D6" s="135">
        <f>IF(Διαμερίσματα!E6="","",Διαμερίσματα!E6)</f>
        <v>50</v>
      </c>
      <c r="E6" s="135" t="str">
        <f>IF(Διαμερίσματα!F6="","",Διαμερίσματα!F6)</f>
        <v>Ιδιοκτήτης-1</v>
      </c>
      <c r="F6" s="135" t="str">
        <f>IF(Διαμερίσματα!G6="","",Διαμερίσματα!G6)</f>
        <v/>
      </c>
      <c r="G6" s="135" t="str">
        <f>IF(Διαμερίσματα!H6="","",Διαμερίσματα!H6)</f>
        <v/>
      </c>
      <c r="H6" s="135" t="str">
        <f>IF(Διαμερίσματα!I6="","",Διαμερίσματα!I6)</f>
        <v>Ιδιοκτήτης-1</v>
      </c>
      <c r="I6" s="135" t="str">
        <f>IF(Διαμερίσματα!J6="","",Διαμερίσματα!J6)</f>
        <v/>
      </c>
      <c r="J6" s="135" t="str">
        <f>IF(Διαμερίσματα!K6="","",Διαμερίσματα!K6)</f>
        <v/>
      </c>
      <c r="K6" s="216"/>
      <c r="L6" s="216"/>
      <c r="M6" s="217"/>
      <c r="N6" s="428"/>
      <c r="O6" s="428"/>
      <c r="P6" s="429" t="s">
        <v>432</v>
      </c>
    </row>
    <row r="7" spans="1:16" ht="12" customHeight="1">
      <c r="A7" s="215">
        <f>IF(B7="","",A6+1)</f>
        <v>2</v>
      </c>
      <c r="B7" s="141" t="str">
        <f>IF(Διαμερίσματα!B7="","",Διαμερίσματα!B7)</f>
        <v>Κ2</v>
      </c>
      <c r="C7" s="141" t="str">
        <f>IF(Διαμερίσματα!D7="","",Διαμερίσματα!D7)</f>
        <v>Ισ</v>
      </c>
      <c r="D7" s="141">
        <f>IF(Διαμερίσματα!E7="","",Διαμερίσματα!E7)</f>
        <v>60</v>
      </c>
      <c r="E7" s="141" t="str">
        <f>IF(Διαμερίσματα!F7="","",Διαμερίσματα!F7)</f>
        <v>Ιδιοκτήτης-2</v>
      </c>
      <c r="F7" s="141" t="str">
        <f>IF(Διαμερίσματα!G7="","",Διαμερίσματα!G7)</f>
        <v/>
      </c>
      <c r="G7" s="141" t="str">
        <f>IF(Διαμερίσματα!H7="","",Διαμερίσματα!H7)</f>
        <v/>
      </c>
      <c r="H7" s="141" t="str">
        <f>IF(Διαμερίσματα!I7="","",Διαμερίσματα!I7)</f>
        <v>Ιδιοκτήτης-2</v>
      </c>
      <c r="I7" s="141" t="str">
        <f>IF(Διαμερίσματα!J7="","",Διαμερίσματα!J7)</f>
        <v/>
      </c>
      <c r="J7" s="141" t="str">
        <f>IF(Διαμερίσματα!K7="","",Διαμερίσματα!K7)</f>
        <v/>
      </c>
      <c r="K7" s="218"/>
      <c r="L7" s="218"/>
      <c r="M7" s="219">
        <f t="shared" ref="M7:M14" si="1">K7-L7</f>
        <v>0</v>
      </c>
      <c r="N7" s="430"/>
      <c r="O7" s="430">
        <f>K7-N7</f>
        <v>0</v>
      </c>
      <c r="P7" s="431" t="s">
        <v>431</v>
      </c>
    </row>
    <row r="8" spans="1:16" ht="12" customHeight="1">
      <c r="A8" s="215">
        <f t="shared" ref="A8:A14" si="2">IF(B8="","",A7+1)</f>
        <v>3</v>
      </c>
      <c r="B8" s="141" t="str">
        <f>IF(Διαμερίσματα!B8="","",Διαμερίσματα!B8)</f>
        <v>Κ3</v>
      </c>
      <c r="C8" s="141" t="str">
        <f>IF(Διαμερίσματα!D8="","",Διαμερίσματα!D8)</f>
        <v>Ισ</v>
      </c>
      <c r="D8" s="141">
        <f>IF(Διαμερίσματα!E8="","",Διαμερίσματα!E8)</f>
        <v>50</v>
      </c>
      <c r="E8" s="141" t="str">
        <f>IF(Διαμερίσματα!F8="","",Διαμερίσματα!F8)</f>
        <v>Ιδιοκτήτης-3</v>
      </c>
      <c r="F8" s="141" t="str">
        <f>IF(Διαμερίσματα!G8="","",Διαμερίσματα!G8)</f>
        <v/>
      </c>
      <c r="G8" s="141" t="str">
        <f>IF(Διαμερίσματα!H8="","",Διαμερίσματα!H8)</f>
        <v/>
      </c>
      <c r="H8" s="141" t="str">
        <f>IF(Διαμερίσματα!I8="","",Διαμερίσματα!I8)</f>
        <v>Ιδιοκτήτης-3</v>
      </c>
      <c r="I8" s="141" t="str">
        <f>IF(Διαμερίσματα!J8="","",Διαμερίσματα!J8)</f>
        <v/>
      </c>
      <c r="J8" s="141" t="str">
        <f>IF(Διαμερίσματα!K8="","",Διαμερίσματα!K8)</f>
        <v/>
      </c>
      <c r="K8" s="218">
        <v>70</v>
      </c>
      <c r="L8" s="218">
        <v>70</v>
      </c>
      <c r="M8" s="219">
        <f t="shared" si="1"/>
        <v>0</v>
      </c>
      <c r="N8" s="430"/>
      <c r="O8" s="430">
        <f>K8-N8</f>
        <v>70</v>
      </c>
      <c r="P8" s="432">
        <v>40071</v>
      </c>
    </row>
    <row r="9" spans="1:16" ht="12" customHeight="1">
      <c r="A9" s="215">
        <f t="shared" si="2"/>
        <v>4</v>
      </c>
      <c r="B9" s="135" t="str">
        <f>IF(Διαμερίσματα!B9="","",Διαμερίσματα!B9)</f>
        <v>Α1</v>
      </c>
      <c r="C9" s="135" t="str">
        <f>IF(Διαμερίσματα!D9="","",Διαμερίσματα!D9)</f>
        <v>1ος</v>
      </c>
      <c r="D9" s="135">
        <f>IF(Διαμερίσματα!E9="","",Διαμερίσματα!E9)</f>
        <v>60</v>
      </c>
      <c r="E9" s="135" t="str">
        <f>IF(Διαμερίσματα!F9="","",Διαμερίσματα!F9)</f>
        <v>Ιδιοκτήτης-4</v>
      </c>
      <c r="F9" s="135" t="str">
        <f>IF(Διαμερίσματα!G9="","",Διαμερίσματα!G9)</f>
        <v/>
      </c>
      <c r="G9" s="135" t="str">
        <f>IF(Διαμερίσματα!H9="","",Διαμερίσματα!H9)</f>
        <v/>
      </c>
      <c r="H9" s="135" t="str">
        <f>IF(Διαμερίσματα!I9="","",Διαμερίσματα!I9)</f>
        <v>Ιδιοκτήτης-4</v>
      </c>
      <c r="I9" s="135" t="str">
        <f>IF(Διαμερίσματα!J9="","",Διαμερίσματα!J9)</f>
        <v/>
      </c>
      <c r="J9" s="135" t="str">
        <f>IF(Διαμερίσματα!K9="","",Διαμερίσματα!K9)</f>
        <v/>
      </c>
      <c r="K9" s="216"/>
      <c r="L9" s="216"/>
      <c r="M9" s="217"/>
      <c r="N9" s="428"/>
      <c r="O9" s="428"/>
      <c r="P9" s="429" t="s">
        <v>432</v>
      </c>
    </row>
    <row r="10" spans="1:16" ht="12" customHeight="1">
      <c r="A10" s="215">
        <f t="shared" si="2"/>
        <v>5</v>
      </c>
      <c r="B10" s="141" t="str">
        <f>IF(Διαμερίσματα!B10="","",Διαμερίσματα!B10)</f>
        <v>Α2</v>
      </c>
      <c r="C10" s="141" t="str">
        <f>IF(Διαμερίσματα!D10="","",Διαμερίσματα!D10)</f>
        <v>1ος</v>
      </c>
      <c r="D10" s="141">
        <f>IF(Διαμερίσματα!E10="","",Διαμερίσματα!E10)</f>
        <v>50</v>
      </c>
      <c r="E10" s="141" t="str">
        <f>IF(Διαμερίσματα!F10="","",Διαμερίσματα!F10)</f>
        <v>Ιδιοκτήτης-5</v>
      </c>
      <c r="F10" s="141" t="str">
        <f>IF(Διαμερίσματα!G10="","",Διαμερίσματα!G10)</f>
        <v/>
      </c>
      <c r="G10" s="141" t="str">
        <f>IF(Διαμερίσματα!H10="","",Διαμερίσματα!H10)</f>
        <v/>
      </c>
      <c r="H10" s="141" t="str">
        <f>IF(Διαμερίσματα!I10="","",Διαμερίσματα!I10)</f>
        <v>Ιδιοκτήτης-5</v>
      </c>
      <c r="I10" s="141" t="str">
        <f>IF(Διαμερίσματα!J10="","",Διαμερίσματα!J10)</f>
        <v/>
      </c>
      <c r="J10" s="141" t="str">
        <f>IF(Διαμερίσματα!K10="","",Διαμερίσματα!K10)</f>
        <v/>
      </c>
      <c r="K10" s="218">
        <v>70</v>
      </c>
      <c r="L10" s="218"/>
      <c r="M10" s="219">
        <f t="shared" si="1"/>
        <v>70</v>
      </c>
      <c r="N10" s="430"/>
      <c r="O10" s="430">
        <f t="shared" ref="O10:O14" si="3">K10-N10</f>
        <v>70</v>
      </c>
      <c r="P10" s="432"/>
    </row>
    <row r="11" spans="1:16" ht="12" customHeight="1">
      <c r="A11" s="215">
        <f t="shared" si="2"/>
        <v>6</v>
      </c>
      <c r="B11" s="141" t="str">
        <f>IF(Διαμερίσματα!B11="","",Διαμερίσματα!B11)</f>
        <v>Α3</v>
      </c>
      <c r="C11" s="141" t="str">
        <f>IF(Διαμερίσματα!D11="","",Διαμερίσματα!D11)</f>
        <v>1ος</v>
      </c>
      <c r="D11" s="141">
        <f>IF(Διαμερίσματα!E11="","",Διαμερίσματα!E11)</f>
        <v>60</v>
      </c>
      <c r="E11" s="141" t="str">
        <f>IF(Διαμερίσματα!F11="","",Διαμερίσματα!F11)</f>
        <v>Ιδιοκτήτης-6</v>
      </c>
      <c r="F11" s="141" t="str">
        <f>IF(Διαμερίσματα!G11="","",Διαμερίσματα!G11)</f>
        <v/>
      </c>
      <c r="G11" s="141" t="str">
        <f>IF(Διαμερίσματα!H11="","",Διαμερίσματα!H11)</f>
        <v/>
      </c>
      <c r="H11" s="141" t="str">
        <f>IF(Διαμερίσματα!I11="","",Διαμερίσματα!I11)</f>
        <v>Ιδιοκτήτης-6</v>
      </c>
      <c r="I11" s="141" t="str">
        <f>IF(Διαμερίσματα!J11="","",Διαμερίσματα!J11)</f>
        <v/>
      </c>
      <c r="J11" s="141" t="str">
        <f>IF(Διαμερίσματα!K11="","",Διαμερίσματα!K11)</f>
        <v/>
      </c>
      <c r="K11" s="218">
        <v>70</v>
      </c>
      <c r="L11" s="218">
        <v>70</v>
      </c>
      <c r="M11" s="219">
        <f t="shared" si="1"/>
        <v>0</v>
      </c>
      <c r="N11" s="430"/>
      <c r="O11" s="430">
        <f t="shared" si="3"/>
        <v>70</v>
      </c>
      <c r="P11" s="432">
        <v>40076</v>
      </c>
    </row>
    <row r="12" spans="1:16" ht="12" customHeight="1">
      <c r="A12" s="215">
        <f t="shared" si="2"/>
        <v>7</v>
      </c>
      <c r="B12" s="141" t="str">
        <f>IF(Διαμερίσματα!B12="","",Διαμερίσματα!B12)</f>
        <v>Α4</v>
      </c>
      <c r="C12" s="141" t="str">
        <f>IF(Διαμερίσματα!D12="","",Διαμερίσματα!D12)</f>
        <v>1ος</v>
      </c>
      <c r="D12" s="141">
        <f>IF(Διαμερίσματα!E12="","",Διαμερίσματα!E12)</f>
        <v>50</v>
      </c>
      <c r="E12" s="141" t="str">
        <f>IF(Διαμερίσματα!F12="","",Διαμερίσματα!F12)</f>
        <v>Ιδιοκτήτης-7</v>
      </c>
      <c r="F12" s="141" t="str">
        <f>IF(Διαμερίσματα!G12="","",Διαμερίσματα!G12)</f>
        <v/>
      </c>
      <c r="G12" s="141" t="str">
        <f>IF(Διαμερίσματα!H12="","",Διαμερίσματα!H12)</f>
        <v/>
      </c>
      <c r="H12" s="141" t="str">
        <f>IF(Διαμερίσματα!I12="","",Διαμερίσματα!I12)</f>
        <v>Ιδιοκτήτης-7</v>
      </c>
      <c r="I12" s="141" t="str">
        <f>IF(Διαμερίσματα!J12="","",Διαμερίσματα!J12)</f>
        <v/>
      </c>
      <c r="J12" s="141" t="str">
        <f>IF(Διαμερίσματα!K12="","",Διαμερίσματα!K12)</f>
        <v/>
      </c>
      <c r="K12" s="218">
        <v>70</v>
      </c>
      <c r="L12" s="218">
        <v>70</v>
      </c>
      <c r="M12" s="219">
        <f t="shared" si="1"/>
        <v>0</v>
      </c>
      <c r="N12" s="430"/>
      <c r="O12" s="430">
        <f t="shared" si="3"/>
        <v>70</v>
      </c>
      <c r="P12" s="432">
        <v>40086</v>
      </c>
    </row>
    <row r="13" spans="1:16" ht="12" customHeight="1">
      <c r="A13" s="215">
        <f t="shared" si="2"/>
        <v>8</v>
      </c>
      <c r="B13" s="141" t="str">
        <f>IF(Διαμερίσματα!B13="","",Διαμερίσματα!B13)</f>
        <v>Β1</v>
      </c>
      <c r="C13" s="141" t="str">
        <f>IF(Διαμερίσματα!D13="","",Διαμερίσματα!D13)</f>
        <v>2ος</v>
      </c>
      <c r="D13" s="141">
        <f>IF(Διαμερίσματα!E13="","",Διαμερίσματα!E13)</f>
        <v>60</v>
      </c>
      <c r="E13" s="141" t="str">
        <f>IF(Διαμερίσματα!F13="","",Διαμερίσματα!F13)</f>
        <v>Ιδιοκτήτης-8</v>
      </c>
      <c r="F13" s="141" t="str">
        <f>IF(Διαμερίσματα!G13="","",Διαμερίσματα!G13)</f>
        <v/>
      </c>
      <c r="G13" s="141" t="str">
        <f>IF(Διαμερίσματα!H13="","",Διαμερίσματα!H13)</f>
        <v/>
      </c>
      <c r="H13" s="141" t="str">
        <f>IF(Διαμερίσματα!I13="","",Διαμερίσματα!I13)</f>
        <v>Ιδιοκτήτης-8</v>
      </c>
      <c r="I13" s="141" t="str">
        <f>IF(Διαμερίσματα!J13="","",Διαμερίσματα!J13)</f>
        <v/>
      </c>
      <c r="J13" s="141" t="str">
        <f>IF(Διαμερίσματα!K13="","",Διαμερίσματα!K13)</f>
        <v/>
      </c>
      <c r="K13" s="218">
        <v>70</v>
      </c>
      <c r="L13" s="218"/>
      <c r="M13" s="219">
        <f t="shared" si="1"/>
        <v>70</v>
      </c>
      <c r="N13" s="430"/>
      <c r="O13" s="430">
        <f t="shared" si="3"/>
        <v>70</v>
      </c>
      <c r="P13" s="432"/>
    </row>
    <row r="14" spans="1:16" ht="12" customHeight="1">
      <c r="A14" s="215">
        <f t="shared" si="2"/>
        <v>9</v>
      </c>
      <c r="B14" s="141" t="str">
        <f>IF(Διαμερίσματα!B14="","",Διαμερίσματα!B14)</f>
        <v>Β2</v>
      </c>
      <c r="C14" s="141" t="str">
        <f>IF(Διαμερίσματα!D14="","",Διαμερίσματα!D14)</f>
        <v>2ος</v>
      </c>
      <c r="D14" s="141">
        <f>IF(Διαμερίσματα!E14="","",Διαμερίσματα!E14)</f>
        <v>50</v>
      </c>
      <c r="E14" s="141" t="str">
        <f>IF(Διαμερίσματα!F14="","",Διαμερίσματα!F14)</f>
        <v>Ιδιοκτήτης-9</v>
      </c>
      <c r="F14" s="141" t="str">
        <f>IF(Διαμερίσματα!G14="","",Διαμερίσματα!G14)</f>
        <v/>
      </c>
      <c r="G14" s="141" t="str">
        <f>IF(Διαμερίσματα!H14="","",Διαμερίσματα!H14)</f>
        <v/>
      </c>
      <c r="H14" s="141" t="str">
        <f>IF(Διαμερίσματα!I14="","",Διαμερίσματα!I14)</f>
        <v>Ιδιοκτήτης-9</v>
      </c>
      <c r="I14" s="141" t="str">
        <f>IF(Διαμερίσματα!J14="","",Διαμερίσματα!J14)</f>
        <v/>
      </c>
      <c r="J14" s="141" t="str">
        <f>IF(Διαμερίσματα!K14="","",Διαμερίσματα!K14)</f>
        <v/>
      </c>
      <c r="K14" s="218">
        <v>70</v>
      </c>
      <c r="L14" s="218">
        <v>70</v>
      </c>
      <c r="M14" s="219">
        <f t="shared" si="1"/>
        <v>0</v>
      </c>
      <c r="N14" s="430"/>
      <c r="O14" s="430">
        <f t="shared" si="3"/>
        <v>70</v>
      </c>
      <c r="P14" s="432">
        <v>40060</v>
      </c>
    </row>
    <row r="15" spans="1:16" ht="12" customHeight="1">
      <c r="A15" s="215">
        <f t="shared" ref="A15" si="4">IF(B15="","",A14+1)</f>
        <v>10</v>
      </c>
      <c r="B15" s="141" t="str">
        <f>IF(Διαμερίσματα!B15="","",Διαμερίσματα!B15)</f>
        <v>Β3</v>
      </c>
      <c r="C15" s="141" t="str">
        <f>IF(Διαμερίσματα!D15="","",Διαμερίσματα!D15)</f>
        <v>2ος</v>
      </c>
      <c r="D15" s="141">
        <f>IF(Διαμερίσματα!E15="","",Διαμερίσματα!E15)</f>
        <v>60</v>
      </c>
      <c r="E15" s="141" t="str">
        <f>IF(Διαμερίσματα!F15="","",Διαμερίσματα!F15)</f>
        <v>Ιδιοκτήτης-10</v>
      </c>
      <c r="F15" s="141" t="str">
        <f>IF(Διαμερίσματα!G15="","",Διαμερίσματα!G15)</f>
        <v/>
      </c>
      <c r="G15" s="141" t="str">
        <f>IF(Διαμερίσματα!H15="","",Διαμερίσματα!H15)</f>
        <v/>
      </c>
      <c r="H15" s="141" t="str">
        <f>IF(Διαμερίσματα!I15="","",Διαμερίσματα!I15)</f>
        <v>Ιδιοκτήτης-10</v>
      </c>
      <c r="I15" s="141" t="str">
        <f>IF(Διαμερίσματα!J15="","",Διαμερίσματα!J15)</f>
        <v/>
      </c>
      <c r="J15" s="141" t="str">
        <f>IF(Διαμερίσματα!K15="","",Διαμερίσματα!K15)</f>
        <v/>
      </c>
      <c r="K15" s="218">
        <v>70</v>
      </c>
      <c r="L15" s="218"/>
      <c r="M15" s="219">
        <f t="shared" ref="M15" si="5">K15-L15</f>
        <v>70</v>
      </c>
      <c r="N15" s="430"/>
      <c r="O15" s="430">
        <f t="shared" ref="O15" si="6">K15-N15</f>
        <v>70</v>
      </c>
      <c r="P15" s="432"/>
    </row>
    <row r="16" spans="1:16" ht="12" customHeight="1">
      <c r="A16" s="215">
        <f t="shared" ref="A16" si="7">IF(B16="","",A15+1)</f>
        <v>11</v>
      </c>
      <c r="B16" s="141" t="str">
        <f>IF(Διαμερίσματα!B16="","",Διαμερίσματα!B16)</f>
        <v>Β4</v>
      </c>
      <c r="C16" s="141" t="str">
        <f>IF(Διαμερίσματα!D16="","",Διαμερίσματα!D16)</f>
        <v>2ος</v>
      </c>
      <c r="D16" s="141">
        <f>IF(Διαμερίσματα!E16="","",Διαμερίσματα!E16)</f>
        <v>50</v>
      </c>
      <c r="E16" s="141" t="str">
        <f>IF(Διαμερίσματα!F16="","",Διαμερίσματα!F16)</f>
        <v>Ιδιοκτήτης-11</v>
      </c>
      <c r="F16" s="141" t="str">
        <f>IF(Διαμερίσματα!G16="","",Διαμερίσματα!G16)</f>
        <v/>
      </c>
      <c r="G16" s="141" t="str">
        <f>IF(Διαμερίσματα!H16="","",Διαμερίσματα!H16)</f>
        <v/>
      </c>
      <c r="H16" s="141" t="str">
        <f>IF(Διαμερίσματα!I16="","",Διαμερίσματα!I16)</f>
        <v>Ιδιοκτήτης-11</v>
      </c>
      <c r="I16" s="141" t="str">
        <f>IF(Διαμερίσματα!J16="","",Διαμερίσματα!J16)</f>
        <v/>
      </c>
      <c r="J16" s="141" t="str">
        <f>IF(Διαμερίσματα!K16="","",Διαμερίσματα!K16)</f>
        <v/>
      </c>
      <c r="K16" s="218"/>
      <c r="L16" s="218"/>
      <c r="M16" s="219">
        <f t="shared" ref="M16" si="8">K16-L16</f>
        <v>0</v>
      </c>
      <c r="N16" s="430"/>
      <c r="O16" s="430">
        <f t="shared" ref="O16" si="9">K16-N16</f>
        <v>0</v>
      </c>
      <c r="P16" s="432"/>
    </row>
    <row r="17" spans="1:16" ht="12" customHeight="1">
      <c r="A17" s="215">
        <f t="shared" ref="A17:A27" si="10">IF(B17="","",A16+1)</f>
        <v>12</v>
      </c>
      <c r="B17" s="141" t="str">
        <f>IF(Διαμερίσματα!B17="","",Διαμερίσματα!B17)</f>
        <v>Γ1</v>
      </c>
      <c r="C17" s="141" t="str">
        <f>IF(Διαμερίσματα!D17="","",Διαμερίσματα!D17)</f>
        <v>3ος</v>
      </c>
      <c r="D17" s="141">
        <f>IF(Διαμερίσματα!E17="","",Διαμερίσματα!E17)</f>
        <v>60</v>
      </c>
      <c r="E17" s="141" t="str">
        <f>IF(Διαμερίσματα!F17="","",Διαμερίσματα!F17)</f>
        <v>Ιδιοκτήτης-12</v>
      </c>
      <c r="F17" s="141" t="str">
        <f>IF(Διαμερίσματα!G17="","",Διαμερίσματα!G17)</f>
        <v/>
      </c>
      <c r="G17" s="141" t="str">
        <f>IF(Διαμερίσματα!H17="","",Διαμερίσματα!H17)</f>
        <v/>
      </c>
      <c r="H17" s="141" t="str">
        <f>IF(Διαμερίσματα!I17="","",Διαμερίσματα!I17)</f>
        <v>Ιδιοκτήτης-12</v>
      </c>
      <c r="I17" s="141" t="str">
        <f>IF(Διαμερίσματα!J17="","",Διαμερίσματα!J17)</f>
        <v/>
      </c>
      <c r="J17" s="141" t="str">
        <f>IF(Διαμερίσματα!K17="","",Διαμερίσματα!K17)</f>
        <v/>
      </c>
      <c r="K17" s="218"/>
      <c r="L17" s="218"/>
      <c r="M17" s="219">
        <f t="shared" ref="M17:M27" si="11">K17-L17</f>
        <v>0</v>
      </c>
      <c r="N17" s="430"/>
      <c r="O17" s="430">
        <f t="shared" ref="O17:O27" si="12">K17-N17</f>
        <v>0</v>
      </c>
      <c r="P17" s="432"/>
    </row>
    <row r="18" spans="1:16" ht="12" customHeight="1">
      <c r="A18" s="215">
        <f t="shared" si="10"/>
        <v>13</v>
      </c>
      <c r="B18" s="141" t="str">
        <f>IF(Διαμερίσματα!B18="","",Διαμερίσματα!B18)</f>
        <v>Γ2</v>
      </c>
      <c r="C18" s="141" t="str">
        <f>IF(Διαμερίσματα!D18="","",Διαμερίσματα!D18)</f>
        <v>3ος</v>
      </c>
      <c r="D18" s="141">
        <f>IF(Διαμερίσματα!E18="","",Διαμερίσματα!E18)</f>
        <v>50</v>
      </c>
      <c r="E18" s="141" t="str">
        <f>IF(Διαμερίσματα!F18="","",Διαμερίσματα!F18)</f>
        <v>Ιδιοκτήτης-13</v>
      </c>
      <c r="F18" s="141" t="str">
        <f>IF(Διαμερίσματα!G18="","",Διαμερίσματα!G18)</f>
        <v/>
      </c>
      <c r="G18" s="141" t="str">
        <f>IF(Διαμερίσματα!H18="","",Διαμερίσματα!H18)</f>
        <v/>
      </c>
      <c r="H18" s="141" t="str">
        <f>IF(Διαμερίσματα!I18="","",Διαμερίσματα!I18)</f>
        <v>Ιδιοκτήτης-13</v>
      </c>
      <c r="I18" s="141" t="str">
        <f>IF(Διαμερίσματα!J18="","",Διαμερίσματα!J18)</f>
        <v/>
      </c>
      <c r="J18" s="141" t="str">
        <f>IF(Διαμερίσματα!K18="","",Διαμερίσματα!K18)</f>
        <v/>
      </c>
      <c r="K18" s="218"/>
      <c r="L18" s="218"/>
      <c r="M18" s="219">
        <f t="shared" si="11"/>
        <v>0</v>
      </c>
      <c r="N18" s="430"/>
      <c r="O18" s="430">
        <f t="shared" si="12"/>
        <v>0</v>
      </c>
      <c r="P18" s="432"/>
    </row>
    <row r="19" spans="1:16" ht="12" customHeight="1">
      <c r="A19" s="215">
        <f t="shared" si="10"/>
        <v>14</v>
      </c>
      <c r="B19" s="141" t="str">
        <f>IF(Διαμερίσματα!B19="","",Διαμερίσματα!B19)</f>
        <v>Γ3</v>
      </c>
      <c r="C19" s="141" t="str">
        <f>IF(Διαμερίσματα!D19="","",Διαμερίσματα!D19)</f>
        <v>3ος</v>
      </c>
      <c r="D19" s="141">
        <f>IF(Διαμερίσματα!E19="","",Διαμερίσματα!E19)</f>
        <v>60</v>
      </c>
      <c r="E19" s="141" t="str">
        <f>IF(Διαμερίσματα!F19="","",Διαμερίσματα!F19)</f>
        <v>Ιδιοκτήτης-14</v>
      </c>
      <c r="F19" s="141" t="str">
        <f>IF(Διαμερίσματα!G19="","",Διαμερίσματα!G19)</f>
        <v/>
      </c>
      <c r="G19" s="141" t="str">
        <f>IF(Διαμερίσματα!H19="","",Διαμερίσματα!H19)</f>
        <v/>
      </c>
      <c r="H19" s="141" t="str">
        <f>IF(Διαμερίσματα!I19="","",Διαμερίσματα!I19)</f>
        <v>Ιδιοκτήτης-14</v>
      </c>
      <c r="I19" s="141" t="str">
        <f>IF(Διαμερίσματα!J19="","",Διαμερίσματα!J19)</f>
        <v/>
      </c>
      <c r="J19" s="141" t="str">
        <f>IF(Διαμερίσματα!K19="","",Διαμερίσματα!K19)</f>
        <v/>
      </c>
      <c r="K19" s="218"/>
      <c r="L19" s="218"/>
      <c r="M19" s="219">
        <f t="shared" si="11"/>
        <v>0</v>
      </c>
      <c r="N19" s="430"/>
      <c r="O19" s="430">
        <f t="shared" si="12"/>
        <v>0</v>
      </c>
      <c r="P19" s="432"/>
    </row>
    <row r="20" spans="1:16" ht="12" customHeight="1">
      <c r="A20" s="215">
        <f t="shared" si="10"/>
        <v>15</v>
      </c>
      <c r="B20" s="141" t="str">
        <f>IF(Διαμερίσματα!B20="","",Διαμερίσματα!B20)</f>
        <v>Γ4</v>
      </c>
      <c r="C20" s="141" t="str">
        <f>IF(Διαμερίσματα!D20="","",Διαμερίσματα!D20)</f>
        <v>3ος</v>
      </c>
      <c r="D20" s="141">
        <f>IF(Διαμερίσματα!E20="","",Διαμερίσματα!E20)</f>
        <v>50</v>
      </c>
      <c r="E20" s="141" t="str">
        <f>IF(Διαμερίσματα!F20="","",Διαμερίσματα!F20)</f>
        <v>Ιδιοκτήτης-15</v>
      </c>
      <c r="F20" s="141" t="str">
        <f>IF(Διαμερίσματα!G20="","",Διαμερίσματα!G20)</f>
        <v/>
      </c>
      <c r="G20" s="141" t="str">
        <f>IF(Διαμερίσματα!H20="","",Διαμερίσματα!H20)</f>
        <v/>
      </c>
      <c r="H20" s="141" t="str">
        <f>IF(Διαμερίσματα!I20="","",Διαμερίσματα!I20)</f>
        <v>Ιδιοκτήτης-15</v>
      </c>
      <c r="I20" s="141" t="str">
        <f>IF(Διαμερίσματα!J20="","",Διαμερίσματα!J20)</f>
        <v/>
      </c>
      <c r="J20" s="141" t="str">
        <f>IF(Διαμερίσματα!K20="","",Διαμερίσματα!K20)</f>
        <v/>
      </c>
      <c r="K20" s="218"/>
      <c r="L20" s="218"/>
      <c r="M20" s="219">
        <f t="shared" si="11"/>
        <v>0</v>
      </c>
      <c r="N20" s="430"/>
      <c r="O20" s="430">
        <f t="shared" si="12"/>
        <v>0</v>
      </c>
      <c r="P20" s="432"/>
    </row>
    <row r="21" spans="1:16" ht="12" customHeight="1">
      <c r="A21" s="215">
        <f t="shared" si="10"/>
        <v>16</v>
      </c>
      <c r="B21" s="141" t="str">
        <f>IF(Διαμερίσματα!B21="","",Διαμερίσματα!B21)</f>
        <v>Δ1</v>
      </c>
      <c r="C21" s="141" t="str">
        <f>IF(Διαμερίσματα!D21="","",Διαμερίσματα!D21)</f>
        <v>4ος</v>
      </c>
      <c r="D21" s="141">
        <f>IF(Διαμερίσματα!E21="","",Διαμερίσματα!E21)</f>
        <v>60</v>
      </c>
      <c r="E21" s="141" t="str">
        <f>IF(Διαμερίσματα!F21="","",Διαμερίσματα!F21)</f>
        <v>Ιδιοκτήτης-16</v>
      </c>
      <c r="F21" s="141" t="str">
        <f>IF(Διαμερίσματα!G21="","",Διαμερίσματα!G21)</f>
        <v/>
      </c>
      <c r="G21" s="141" t="str">
        <f>IF(Διαμερίσματα!H21="","",Διαμερίσματα!H21)</f>
        <v/>
      </c>
      <c r="H21" s="141" t="str">
        <f>IF(Διαμερίσματα!I21="","",Διαμερίσματα!I21)</f>
        <v>Ιδιοκτήτης-16</v>
      </c>
      <c r="I21" s="141" t="str">
        <f>IF(Διαμερίσματα!J21="","",Διαμερίσματα!J21)</f>
        <v/>
      </c>
      <c r="J21" s="141" t="str">
        <f>IF(Διαμερίσματα!K21="","",Διαμερίσματα!K21)</f>
        <v/>
      </c>
      <c r="K21" s="218"/>
      <c r="L21" s="218"/>
      <c r="M21" s="219">
        <f t="shared" si="11"/>
        <v>0</v>
      </c>
      <c r="N21" s="430"/>
      <c r="O21" s="430">
        <f t="shared" si="12"/>
        <v>0</v>
      </c>
      <c r="P21" s="432"/>
    </row>
    <row r="22" spans="1:16" ht="12" customHeight="1">
      <c r="A22" s="215">
        <f t="shared" si="10"/>
        <v>17</v>
      </c>
      <c r="B22" s="141" t="str">
        <f>IF(Διαμερίσματα!B22="","",Διαμερίσματα!B22)</f>
        <v>Δ2</v>
      </c>
      <c r="C22" s="141" t="str">
        <f>IF(Διαμερίσματα!D22="","",Διαμερίσματα!D22)</f>
        <v>4ος</v>
      </c>
      <c r="D22" s="141">
        <f>IF(Διαμερίσματα!E22="","",Διαμερίσματα!E22)</f>
        <v>50</v>
      </c>
      <c r="E22" s="141" t="str">
        <f>IF(Διαμερίσματα!F22="","",Διαμερίσματα!F22)</f>
        <v>Ιδιοκτήτης-17</v>
      </c>
      <c r="F22" s="141" t="str">
        <f>IF(Διαμερίσματα!G22="","",Διαμερίσματα!G22)</f>
        <v/>
      </c>
      <c r="G22" s="141" t="str">
        <f>IF(Διαμερίσματα!H22="","",Διαμερίσματα!H22)</f>
        <v/>
      </c>
      <c r="H22" s="141" t="str">
        <f>IF(Διαμερίσματα!I22="","",Διαμερίσματα!I22)</f>
        <v>Ιδιοκτήτης-17</v>
      </c>
      <c r="I22" s="141" t="str">
        <f>IF(Διαμερίσματα!J22="","",Διαμερίσματα!J22)</f>
        <v/>
      </c>
      <c r="J22" s="141" t="str">
        <f>IF(Διαμερίσματα!K22="","",Διαμερίσματα!K22)</f>
        <v/>
      </c>
      <c r="K22" s="218"/>
      <c r="L22" s="218"/>
      <c r="M22" s="219">
        <f t="shared" si="11"/>
        <v>0</v>
      </c>
      <c r="N22" s="430"/>
      <c r="O22" s="430">
        <f t="shared" si="12"/>
        <v>0</v>
      </c>
      <c r="P22" s="432"/>
    </row>
    <row r="23" spans="1:16" ht="12" customHeight="1">
      <c r="A23" s="215">
        <f t="shared" si="10"/>
        <v>18</v>
      </c>
      <c r="B23" s="141" t="str">
        <f>IF(Διαμερίσματα!B23="","",Διαμερίσματα!B23)</f>
        <v>Δ3</v>
      </c>
      <c r="C23" s="141" t="str">
        <f>IF(Διαμερίσματα!D23="","",Διαμερίσματα!D23)</f>
        <v>4ος</v>
      </c>
      <c r="D23" s="141">
        <f>IF(Διαμερίσματα!E23="","",Διαμερίσματα!E23)</f>
        <v>60</v>
      </c>
      <c r="E23" s="141" t="str">
        <f>IF(Διαμερίσματα!F23="","",Διαμερίσματα!F23)</f>
        <v>Ιδιοκτήτης-18</v>
      </c>
      <c r="F23" s="141" t="str">
        <f>IF(Διαμερίσματα!G23="","",Διαμερίσματα!G23)</f>
        <v/>
      </c>
      <c r="G23" s="141" t="str">
        <f>IF(Διαμερίσματα!H23="","",Διαμερίσματα!H23)</f>
        <v/>
      </c>
      <c r="H23" s="141" t="str">
        <f>IF(Διαμερίσματα!I23="","",Διαμερίσματα!I23)</f>
        <v>Ιδιοκτήτης-18</v>
      </c>
      <c r="I23" s="141" t="str">
        <f>IF(Διαμερίσματα!J23="","",Διαμερίσματα!J23)</f>
        <v/>
      </c>
      <c r="J23" s="141" t="str">
        <f>IF(Διαμερίσματα!K23="","",Διαμερίσματα!K23)</f>
        <v/>
      </c>
      <c r="K23" s="218"/>
      <c r="L23" s="218"/>
      <c r="M23" s="219">
        <f t="shared" si="11"/>
        <v>0</v>
      </c>
      <c r="N23" s="430"/>
      <c r="O23" s="430">
        <f t="shared" si="12"/>
        <v>0</v>
      </c>
      <c r="P23" s="432"/>
    </row>
    <row r="24" spans="1:16" ht="12" customHeight="1">
      <c r="A24" s="215">
        <f t="shared" si="10"/>
        <v>19</v>
      </c>
      <c r="B24" s="141" t="str">
        <f>IF(Διαμερίσματα!B24="","",Διαμερίσματα!B24)</f>
        <v>Δ4</v>
      </c>
      <c r="C24" s="141" t="str">
        <f>IF(Διαμερίσματα!D24="","",Διαμερίσματα!D24)</f>
        <v>4ος</v>
      </c>
      <c r="D24" s="141">
        <f>IF(Διαμερίσματα!E24="","",Διαμερίσματα!E24)</f>
        <v>50</v>
      </c>
      <c r="E24" s="141" t="str">
        <f>IF(Διαμερίσματα!F24="","",Διαμερίσματα!F24)</f>
        <v>Ιδιοκτήτης-19</v>
      </c>
      <c r="F24" s="141" t="str">
        <f>IF(Διαμερίσματα!G24="","",Διαμερίσματα!G24)</f>
        <v/>
      </c>
      <c r="G24" s="141" t="str">
        <f>IF(Διαμερίσματα!H24="","",Διαμερίσματα!H24)</f>
        <v/>
      </c>
      <c r="H24" s="141" t="str">
        <f>IF(Διαμερίσματα!I24="","",Διαμερίσματα!I24)</f>
        <v>Ιδιοκτήτης-19</v>
      </c>
      <c r="I24" s="141" t="str">
        <f>IF(Διαμερίσματα!J24="","",Διαμερίσματα!J24)</f>
        <v/>
      </c>
      <c r="J24" s="141" t="str">
        <f>IF(Διαμερίσματα!K24="","",Διαμερίσματα!K24)</f>
        <v/>
      </c>
      <c r="K24" s="218"/>
      <c r="L24" s="218"/>
      <c r="M24" s="219">
        <f t="shared" si="11"/>
        <v>0</v>
      </c>
      <c r="N24" s="430"/>
      <c r="O24" s="430">
        <f t="shared" si="12"/>
        <v>0</v>
      </c>
      <c r="P24" s="432"/>
    </row>
    <row r="25" spans="1:16" ht="12" customHeight="1">
      <c r="A25" s="215">
        <f t="shared" si="10"/>
        <v>20</v>
      </c>
      <c r="B25" s="141" t="str">
        <f>IF(Διαμερίσματα!B25="","",Διαμερίσματα!B25)</f>
        <v>Ε1</v>
      </c>
      <c r="C25" s="141" t="str">
        <f>IF(Διαμερίσματα!D25="","",Διαμερίσματα!D25)</f>
        <v>5ος</v>
      </c>
      <c r="D25" s="141">
        <f>IF(Διαμερίσματα!E25="","",Διαμερίσματα!E25)</f>
        <v>60</v>
      </c>
      <c r="E25" s="141" t="str">
        <f>IF(Διαμερίσματα!F25="","",Διαμερίσματα!F25)</f>
        <v>Ιδιοκτήτης-20</v>
      </c>
      <c r="F25" s="141" t="str">
        <f>IF(Διαμερίσματα!G25="","",Διαμερίσματα!G25)</f>
        <v/>
      </c>
      <c r="G25" s="141" t="str">
        <f>IF(Διαμερίσματα!H25="","",Διαμερίσματα!H25)</f>
        <v/>
      </c>
      <c r="H25" s="141" t="str">
        <f>IF(Διαμερίσματα!I25="","",Διαμερίσματα!I25)</f>
        <v>Ιδιοκτήτης-20</v>
      </c>
      <c r="I25" s="141" t="str">
        <f>IF(Διαμερίσματα!J25="","",Διαμερίσματα!J25)</f>
        <v/>
      </c>
      <c r="J25" s="141" t="str">
        <f>IF(Διαμερίσματα!K25="","",Διαμερίσματα!K25)</f>
        <v/>
      </c>
      <c r="K25" s="218"/>
      <c r="L25" s="218"/>
      <c r="M25" s="219">
        <f t="shared" si="11"/>
        <v>0</v>
      </c>
      <c r="N25" s="430"/>
      <c r="O25" s="430">
        <f t="shared" si="12"/>
        <v>0</v>
      </c>
      <c r="P25" s="432"/>
    </row>
    <row r="26" spans="1:16" ht="12" customHeight="1">
      <c r="A26" s="215">
        <f t="shared" si="10"/>
        <v>21</v>
      </c>
      <c r="B26" s="141" t="str">
        <f>IF(Διαμερίσματα!B26="","",Διαμερίσματα!B26)</f>
        <v>Ε2</v>
      </c>
      <c r="C26" s="141" t="str">
        <f>IF(Διαμερίσματα!D26="","",Διαμερίσματα!D26)</f>
        <v>5ος</v>
      </c>
      <c r="D26" s="141">
        <f>IF(Διαμερίσματα!E26="","",Διαμερίσματα!E26)</f>
        <v>50</v>
      </c>
      <c r="E26" s="141" t="str">
        <f>IF(Διαμερίσματα!F26="","",Διαμερίσματα!F26)</f>
        <v>Ιδιοκτήτης-21</v>
      </c>
      <c r="F26" s="141" t="str">
        <f>IF(Διαμερίσματα!G26="","",Διαμερίσματα!G26)</f>
        <v/>
      </c>
      <c r="G26" s="141" t="str">
        <f>IF(Διαμερίσματα!H26="","",Διαμερίσματα!H26)</f>
        <v/>
      </c>
      <c r="H26" s="141" t="str">
        <f>IF(Διαμερίσματα!I26="","",Διαμερίσματα!I26)</f>
        <v>Ιδιοκτήτης-21</v>
      </c>
      <c r="I26" s="141" t="str">
        <f>IF(Διαμερίσματα!J26="","",Διαμερίσματα!J26)</f>
        <v/>
      </c>
      <c r="J26" s="141" t="str">
        <f>IF(Διαμερίσματα!K26="","",Διαμερίσματα!K26)</f>
        <v/>
      </c>
      <c r="K26" s="218"/>
      <c r="L26" s="218"/>
      <c r="M26" s="219">
        <f t="shared" si="11"/>
        <v>0</v>
      </c>
      <c r="N26" s="430"/>
      <c r="O26" s="430">
        <f t="shared" si="12"/>
        <v>0</v>
      </c>
      <c r="P26" s="432"/>
    </row>
    <row r="27" spans="1:16" ht="12" customHeight="1">
      <c r="A27" s="215">
        <f t="shared" si="10"/>
        <v>22</v>
      </c>
      <c r="B27" s="141" t="str">
        <f>IF(Διαμερίσματα!B27="","",Διαμερίσματα!B27)</f>
        <v>Ε3</v>
      </c>
      <c r="C27" s="141" t="str">
        <f>IF(Διαμερίσματα!D27="","",Διαμερίσματα!D27)</f>
        <v>5ος</v>
      </c>
      <c r="D27" s="141">
        <f>IF(Διαμερίσματα!E27="","",Διαμερίσματα!E27)</f>
        <v>60</v>
      </c>
      <c r="E27" s="141" t="str">
        <f>IF(Διαμερίσματα!F27="","",Διαμερίσματα!F27)</f>
        <v>Ιδιοκτήτης-22</v>
      </c>
      <c r="F27" s="141" t="str">
        <f>IF(Διαμερίσματα!G27="","",Διαμερίσματα!G27)</f>
        <v/>
      </c>
      <c r="G27" s="141" t="str">
        <f>IF(Διαμερίσματα!H27="","",Διαμερίσματα!H27)</f>
        <v/>
      </c>
      <c r="H27" s="141" t="str">
        <f>IF(Διαμερίσματα!I27="","",Διαμερίσματα!I27)</f>
        <v>Ιδιοκτήτης-22</v>
      </c>
      <c r="I27" s="141" t="str">
        <f>IF(Διαμερίσματα!J27="","",Διαμερίσματα!J27)</f>
        <v/>
      </c>
      <c r="J27" s="141" t="str">
        <f>IF(Διαμερίσματα!K27="","",Διαμερίσματα!K27)</f>
        <v/>
      </c>
      <c r="K27" s="218"/>
      <c r="L27" s="218"/>
      <c r="M27" s="219">
        <f t="shared" si="11"/>
        <v>0</v>
      </c>
      <c r="N27" s="430"/>
      <c r="O27" s="430">
        <f t="shared" si="12"/>
        <v>0</v>
      </c>
      <c r="P27" s="432"/>
    </row>
    <row r="28" spans="1:16" s="18" customFormat="1" ht="21.95" customHeight="1">
      <c r="A28" s="956" t="s">
        <v>23</v>
      </c>
      <c r="B28" s="956"/>
      <c r="C28" s="220">
        <f>COUNTA(B6:B27)</f>
        <v>22</v>
      </c>
      <c r="D28" s="221"/>
      <c r="E28" s="221"/>
      <c r="F28" s="221"/>
      <c r="G28" s="221"/>
      <c r="H28" s="221"/>
      <c r="I28" s="221"/>
      <c r="J28" s="221"/>
      <c r="K28" s="221">
        <f>SUM(K6:K27)</f>
        <v>490</v>
      </c>
      <c r="L28" s="222">
        <f>SUM(L6:L27)</f>
        <v>280</v>
      </c>
      <c r="M28" s="223">
        <f>SUM(M6:M27)</f>
        <v>210</v>
      </c>
      <c r="N28" s="221">
        <f>SUM(N6:N27)</f>
        <v>0</v>
      </c>
      <c r="O28" s="223">
        <f>SUM(O6:O27)</f>
        <v>490</v>
      </c>
      <c r="P28" s="224"/>
    </row>
  </sheetData>
  <sheetProtection password="E4A3" sheet="1" objects="1" scenarios="1"/>
  <mergeCells count="16">
    <mergeCell ref="A28:B28"/>
    <mergeCell ref="A2:A4"/>
    <mergeCell ref="B2:E2"/>
    <mergeCell ref="F2:I2"/>
    <mergeCell ref="J2:P2"/>
    <mergeCell ref="B3:D3"/>
    <mergeCell ref="E3:G3"/>
    <mergeCell ref="H3:J3"/>
    <mergeCell ref="K3:K4"/>
    <mergeCell ref="L3:L4"/>
    <mergeCell ref="B1:J1"/>
    <mergeCell ref="K1:P1"/>
    <mergeCell ref="M3:M4"/>
    <mergeCell ref="N3:N4"/>
    <mergeCell ref="O3:O4"/>
    <mergeCell ref="P3:P4"/>
  </mergeCells>
  <hyperlinks>
    <hyperlink ref="K1:O1" location="ΠΛΟΗΓΗΣΗ!A1" display="Επιστροφή   στην   ΠΛΟΗΓΗΣΗ"/>
  </hyperlinks>
  <pageMargins left="0.19685039370078741" right="0.39370078740157483" top="0.39370078740157483" bottom="0.39370078740157483" header="0.31496062992125984" footer="0.31496062992125984"/>
  <pageSetup paperSize="9" orientation="landscape" r:id="rId1"/>
  <customProperties>
    <customPr name="DVSECTIONID" r:id="rId2"/>
  </customProperties>
  <drawing r:id="rId3"/>
</worksheet>
</file>

<file path=xl/worksheets/sheet34.xml><?xml version="1.0" encoding="utf-8"?>
<worksheet xmlns="http://schemas.openxmlformats.org/spreadsheetml/2006/main" xmlns:r="http://schemas.openxmlformats.org/officeDocument/2006/relationships">
  <sheetPr codeName="Φύλλο28">
    <tabColor theme="0" tint="-0.499984740745262"/>
  </sheetPr>
  <dimension ref="A1:Q89"/>
  <sheetViews>
    <sheetView zoomScaleNormal="100" workbookViewId="0">
      <selection activeCell="R3" sqref="R3"/>
    </sheetView>
  </sheetViews>
  <sheetFormatPr defaultColWidth="9.140625" defaultRowHeight="15"/>
  <cols>
    <col min="1" max="1" width="4.140625" style="104" bestFit="1" customWidth="1"/>
    <col min="2" max="2" width="11.7109375" style="104" customWidth="1"/>
    <col min="3" max="3" width="26.5703125" style="104" bestFit="1" customWidth="1"/>
    <col min="4" max="16" width="5.7109375" style="104" customWidth="1"/>
    <col min="17" max="17" width="8.28515625" style="2" bestFit="1" customWidth="1"/>
    <col min="18" max="16384" width="9.140625" style="104"/>
  </cols>
  <sheetData>
    <row r="1" spans="1:17" ht="125.1" customHeight="1">
      <c r="F1" s="969" t="s">
        <v>183</v>
      </c>
      <c r="G1" s="969"/>
      <c r="H1" s="969"/>
      <c r="I1" s="969"/>
      <c r="J1" s="969"/>
      <c r="K1" s="969"/>
      <c r="L1" s="969"/>
      <c r="M1" s="969"/>
      <c r="N1" s="969"/>
      <c r="O1" s="969"/>
      <c r="P1" s="969"/>
      <c r="Q1" s="969"/>
    </row>
    <row r="2" spans="1:17" ht="11.1" customHeight="1">
      <c r="A2" s="967" t="s">
        <v>24</v>
      </c>
      <c r="B2" s="967" t="s">
        <v>180</v>
      </c>
      <c r="C2" s="967" t="s">
        <v>32</v>
      </c>
      <c r="D2" s="437">
        <f>ΣΤΟΙΧΕΙΑ!D23</f>
        <v>40848</v>
      </c>
      <c r="E2" s="437">
        <f>ΣΤΟΙΧΕΙΑ!E23</f>
        <v>40878</v>
      </c>
      <c r="F2" s="437">
        <f>ΣΤΟΙΧΕΙΑ!F23</f>
        <v>40909</v>
      </c>
      <c r="G2" s="437">
        <f>ΣΤΟΙΧΕΙΑ!G23</f>
        <v>40940</v>
      </c>
      <c r="H2" s="437">
        <f>ΣΤΟΙΧΕΙΑ!H23</f>
        <v>40969</v>
      </c>
      <c r="I2" s="437">
        <f>ΣΤΟΙΧΕΙΑ!I23</f>
        <v>41000</v>
      </c>
      <c r="J2" s="437">
        <f>ΣΤΟΙΧΕΙΑ!J23</f>
        <v>41030</v>
      </c>
      <c r="K2" s="437">
        <f>ΣΤΟΙΧΕΙΑ!K23</f>
        <v>41061</v>
      </c>
      <c r="L2" s="437">
        <f>ΣΤΟΙΧΕΙΑ!L23</f>
        <v>41091</v>
      </c>
      <c r="M2" s="437">
        <f>ΣΤΟΙΧΕΙΑ!M23</f>
        <v>41122</v>
      </c>
      <c r="N2" s="437">
        <f>ΣΤΟΙΧΕΙΑ!N23</f>
        <v>41153</v>
      </c>
      <c r="O2" s="437">
        <f>ΣΤΟΙΧΕΙΑ!O23</f>
        <v>41183</v>
      </c>
      <c r="P2" s="437">
        <f>ΣΤΟΙΧΕΙΑ!P23</f>
        <v>41214</v>
      </c>
      <c r="Q2" s="970" t="s">
        <v>23</v>
      </c>
    </row>
    <row r="3" spans="1:17" ht="11.1" customHeight="1">
      <c r="A3" s="968"/>
      <c r="B3" s="968"/>
      <c r="C3" s="968"/>
      <c r="D3" s="438"/>
      <c r="E3" s="292"/>
      <c r="F3" s="292"/>
      <c r="G3" s="292"/>
      <c r="H3" s="292"/>
      <c r="I3" s="292"/>
      <c r="J3" s="292"/>
      <c r="K3" s="439"/>
      <c r="L3" s="440"/>
      <c r="M3" s="440"/>
      <c r="N3" s="440"/>
      <c r="O3" s="440"/>
      <c r="P3" s="440"/>
      <c r="Q3" s="971"/>
    </row>
    <row r="4" spans="1:17" ht="11.1" customHeight="1">
      <c r="A4" s="300">
        <v>1</v>
      </c>
      <c r="B4" s="300">
        <f>A4+1</f>
        <v>2</v>
      </c>
      <c r="C4" s="300">
        <f t="shared" ref="C4:P4" si="0">B4+1</f>
        <v>3</v>
      </c>
      <c r="D4" s="300">
        <f t="shared" si="0"/>
        <v>4</v>
      </c>
      <c r="E4" s="300">
        <f t="shared" si="0"/>
        <v>5</v>
      </c>
      <c r="F4" s="300">
        <f t="shared" si="0"/>
        <v>6</v>
      </c>
      <c r="G4" s="300">
        <f t="shared" si="0"/>
        <v>7</v>
      </c>
      <c r="H4" s="300">
        <f t="shared" si="0"/>
        <v>8</v>
      </c>
      <c r="I4" s="300">
        <f t="shared" si="0"/>
        <v>9</v>
      </c>
      <c r="J4" s="300">
        <f t="shared" si="0"/>
        <v>10</v>
      </c>
      <c r="K4" s="300">
        <f t="shared" si="0"/>
        <v>11</v>
      </c>
      <c r="L4" s="300">
        <f t="shared" si="0"/>
        <v>12</v>
      </c>
      <c r="M4" s="300">
        <f t="shared" si="0"/>
        <v>13</v>
      </c>
      <c r="N4" s="300">
        <f t="shared" si="0"/>
        <v>14</v>
      </c>
      <c r="O4" s="300">
        <f t="shared" si="0"/>
        <v>15</v>
      </c>
      <c r="P4" s="300">
        <f t="shared" si="0"/>
        <v>16</v>
      </c>
      <c r="Q4" s="972"/>
    </row>
    <row r="5" spans="1:17" ht="30" customHeight="1">
      <c r="A5" s="41">
        <f>IF(B5="","",1)</f>
        <v>1</v>
      </c>
      <c r="B5" s="303" t="str">
        <f>Δαπάνες!B9</f>
        <v>Α1</v>
      </c>
      <c r="C5" s="318" t="str">
        <f>IF(Δαπάνες!D9="","",Δαπάνες!D9)</f>
        <v>ΔΕΗ Κοινόχρηστων Χώρων</v>
      </c>
      <c r="D5" s="442" t="str">
        <f>IF(ΣΤΟΙΧΕΙΑ!D25=0,"",ΣΤΟΙΧΕΙΑ!D25)</f>
        <v/>
      </c>
      <c r="E5" s="442">
        <f>IF(ΣΤΟΙΧΕΙΑ!E25=0,"",ΣΤΟΙΧΕΙΑ!E25)</f>
        <v>100</v>
      </c>
      <c r="F5" s="442" t="str">
        <f>IF(ΣΤΟΙΧΕΙΑ!F25=0,"",ΣΤΟΙΧΕΙΑ!F25)</f>
        <v/>
      </c>
      <c r="G5" s="442" t="str">
        <f>IF(ΣΤΟΙΧΕΙΑ!G25=0,"",ΣΤΟΙΧΕΙΑ!G25)</f>
        <v/>
      </c>
      <c r="H5" s="442" t="str">
        <f>IF(ΣΤΟΙΧΕΙΑ!H25=0,"",ΣΤΟΙΧΕΙΑ!H25)</f>
        <v/>
      </c>
      <c r="I5" s="442" t="str">
        <f>IF(ΣΤΟΙΧΕΙΑ!I25=0,"",ΣΤΟΙΧΕΙΑ!I25)</f>
        <v/>
      </c>
      <c r="J5" s="442" t="str">
        <f>IF(ΣΤΟΙΧΕΙΑ!J25=0,"",ΣΤΟΙΧΕΙΑ!J25)</f>
        <v/>
      </c>
      <c r="K5" s="442" t="str">
        <f>IF(ΣΤΟΙΧΕΙΑ!K25=0,"",ΣΤΟΙΧΕΙΑ!K25)</f>
        <v/>
      </c>
      <c r="L5" s="446" t="str">
        <f>IF(ΣΤΟΙΧΕΙΑ!L25=0,"",ΣΤΟΙΧΕΙΑ!L25)</f>
        <v/>
      </c>
      <c r="M5" s="446" t="str">
        <f>IF(ΣΤΟΙΧΕΙΑ!M25=0,"",ΣΤΟΙΧΕΙΑ!M25)</f>
        <v/>
      </c>
      <c r="N5" s="446" t="str">
        <f>IF(ΣΤΟΙΧΕΙΑ!N25=0,"",ΣΤΟΙΧΕΙΑ!N25)</f>
        <v/>
      </c>
      <c r="O5" s="446" t="str">
        <f>IF(ΣΤΟΙΧΕΙΑ!O25=0,"",ΣΤΟΙΧΕΙΑ!O25)</f>
        <v/>
      </c>
      <c r="P5" s="446" t="str">
        <f>IF(ΣΤΟΙΧΕΙΑ!P25=0,"",ΣΤΟΙΧΕΙΑ!P25)</f>
        <v/>
      </c>
      <c r="Q5" s="147">
        <f>IF(SUM(D5:P5)=0,"",SUM(D5:P5))</f>
        <v>100</v>
      </c>
    </row>
    <row r="6" spans="1:17" ht="30" customHeight="1">
      <c r="A6" s="41">
        <f>IF(B6="","",A5+1)</f>
        <v>2</v>
      </c>
      <c r="B6" s="303" t="str">
        <f>Δαπάνες!B10</f>
        <v>Α2</v>
      </c>
      <c r="C6" s="318" t="str">
        <f>IF(Δαπάνες!D10="","",Δαπάνες!D10)</f>
        <v>Καθαρισμός Κοινόχρηστων Χώρων</v>
      </c>
      <c r="D6" s="442" t="str">
        <f>IF(ΣΤΟΙΧΕΙΑ!D26=0,"",ΣΤΟΙΧΕΙΑ!D26)</f>
        <v/>
      </c>
      <c r="E6" s="442">
        <f>IF(ΣΤΟΙΧΕΙΑ!E26=0,"",ΣΤΟΙΧΕΙΑ!E26)</f>
        <v>70</v>
      </c>
      <c r="F6" s="442" t="str">
        <f>IF(ΣΤΟΙΧΕΙΑ!F26=0,"",ΣΤΟΙΧΕΙΑ!F26)</f>
        <v/>
      </c>
      <c r="G6" s="442" t="str">
        <f>IF(ΣΤΟΙΧΕΙΑ!G26=0,"",ΣΤΟΙΧΕΙΑ!G26)</f>
        <v/>
      </c>
      <c r="H6" s="442" t="str">
        <f>IF(ΣΤΟΙΧΕΙΑ!H26=0,"",ΣΤΟΙΧΕΙΑ!H26)</f>
        <v/>
      </c>
      <c r="I6" s="442" t="str">
        <f>IF(ΣΤΟΙΧΕΙΑ!I26=0,"",ΣΤΟΙΧΕΙΑ!I26)</f>
        <v/>
      </c>
      <c r="J6" s="442" t="str">
        <f>IF(ΣΤΟΙΧΕΙΑ!J26=0,"",ΣΤΟΙΧΕΙΑ!J26)</f>
        <v/>
      </c>
      <c r="K6" s="442" t="str">
        <f>IF(ΣΤΟΙΧΕΙΑ!K26=0,"",ΣΤΟΙΧΕΙΑ!K26)</f>
        <v/>
      </c>
      <c r="L6" s="446" t="str">
        <f>IF(ΣΤΟΙΧΕΙΑ!L26=0,"",ΣΤΟΙΧΕΙΑ!L26)</f>
        <v/>
      </c>
      <c r="M6" s="446" t="str">
        <f>IF(ΣΤΟΙΧΕΙΑ!M26=0,"",ΣΤΟΙΧΕΙΑ!M26)</f>
        <v/>
      </c>
      <c r="N6" s="446" t="str">
        <f>IF(ΣΤΟΙΧΕΙΑ!N26=0,"",ΣΤΟΙΧΕΙΑ!N26)</f>
        <v/>
      </c>
      <c r="O6" s="446" t="str">
        <f>IF(ΣΤΟΙΧΕΙΑ!O26=0,"",ΣΤΟΙΧΕΙΑ!O26)</f>
        <v/>
      </c>
      <c r="P6" s="446" t="str">
        <f>IF(ΣΤΟΙΧΕΙΑ!P26=0,"",ΣΤΟΙΧΕΙΑ!P26)</f>
        <v/>
      </c>
      <c r="Q6" s="147">
        <f t="shared" ref="Q6:Q16" si="1">IF(SUM(D6:P6)=0,"",SUM(D6:P6))</f>
        <v>70</v>
      </c>
    </row>
    <row r="7" spans="1:17" ht="30" customHeight="1">
      <c r="A7" s="41">
        <f t="shared" ref="A7:A16" si="2">IF(B7="","",A6+1)</f>
        <v>3</v>
      </c>
      <c r="B7" s="303" t="str">
        <f>Δαπάνες!B11</f>
        <v>Α3</v>
      </c>
      <c r="C7" s="318" t="str">
        <f>IF(Δαπάνες!D11="","",Δαπάνες!D11)</f>
        <v>Υλικά Αναλώσιμα (Λάμπες κλπ)</v>
      </c>
      <c r="D7" s="442" t="str">
        <f>IF(ΣΤΟΙΧΕΙΑ!D27=0,"",ΣΤΟΙΧΕΙΑ!D27)</f>
        <v/>
      </c>
      <c r="E7" s="442">
        <f>IF(ΣΤΟΙΧΕΙΑ!E27=0,"",ΣΤΟΙΧΕΙΑ!E27)</f>
        <v>10</v>
      </c>
      <c r="F7" s="442" t="str">
        <f>IF(ΣΤΟΙΧΕΙΑ!F27=0,"",ΣΤΟΙΧΕΙΑ!F27)</f>
        <v/>
      </c>
      <c r="G7" s="442" t="str">
        <f>IF(ΣΤΟΙΧΕΙΑ!G27=0,"",ΣΤΟΙΧΕΙΑ!G27)</f>
        <v/>
      </c>
      <c r="H7" s="442" t="str">
        <f>IF(ΣΤΟΙΧΕΙΑ!H27=0,"",ΣΤΟΙΧΕΙΑ!H27)</f>
        <v/>
      </c>
      <c r="I7" s="442" t="str">
        <f>IF(ΣΤΟΙΧΕΙΑ!I27=0,"",ΣΤΟΙΧΕΙΑ!I27)</f>
        <v/>
      </c>
      <c r="J7" s="442" t="str">
        <f>IF(ΣΤΟΙΧΕΙΑ!J27=0,"",ΣΤΟΙΧΕΙΑ!J27)</f>
        <v/>
      </c>
      <c r="K7" s="442" t="str">
        <f>IF(ΣΤΟΙΧΕΙΑ!K27=0,"",ΣΤΟΙΧΕΙΑ!K27)</f>
        <v/>
      </c>
      <c r="L7" s="446" t="str">
        <f>IF(ΣΤΟΙΧΕΙΑ!L27=0,"",ΣΤΟΙΧΕΙΑ!L27)</f>
        <v/>
      </c>
      <c r="M7" s="446" t="str">
        <f>IF(ΣΤΟΙΧΕΙΑ!M27=0,"",ΣΤΟΙΧΕΙΑ!M27)</f>
        <v/>
      </c>
      <c r="N7" s="446" t="str">
        <f>IF(ΣΤΟΙΧΕΙΑ!N27=0,"",ΣΤΟΙΧΕΙΑ!N27)</f>
        <v/>
      </c>
      <c r="O7" s="446" t="str">
        <f>IF(ΣΤΟΙΧΕΙΑ!O27=0,"",ΣΤΟΙΧΕΙΑ!O27)</f>
        <v/>
      </c>
      <c r="P7" s="446" t="str">
        <f>IF(ΣΤΟΙΧΕΙΑ!P27=0,"",ΣΤΟΙΧΕΙΑ!P27)</f>
        <v/>
      </c>
      <c r="Q7" s="147">
        <f t="shared" si="1"/>
        <v>10</v>
      </c>
    </row>
    <row r="8" spans="1:17" ht="30" customHeight="1">
      <c r="A8" s="41">
        <f t="shared" si="2"/>
        <v>4</v>
      </c>
      <c r="B8" s="250" t="str">
        <f>Δαπάνες!B12</f>
        <v>Β1</v>
      </c>
      <c r="C8" s="318" t="str">
        <f>IF(Δαπάνες!D12="","",Δαπάνες!D12)</f>
        <v>Συντήρηση Ανελκυστήρα</v>
      </c>
      <c r="D8" s="442" t="str">
        <f>IF(ΣΤΟΙΧΕΙΑ!D28=0,"",ΣΤΟΙΧΕΙΑ!D28)</f>
        <v/>
      </c>
      <c r="E8" s="442">
        <f>IF(ΣΤΟΙΧΕΙΑ!E28=0,"",ΣΤΟΙΧΕΙΑ!E28)</f>
        <v>50</v>
      </c>
      <c r="F8" s="442" t="str">
        <f>IF(ΣΤΟΙΧΕΙΑ!F28=0,"",ΣΤΟΙΧΕΙΑ!F28)</f>
        <v/>
      </c>
      <c r="G8" s="442" t="str">
        <f>IF(ΣΤΟΙΧΕΙΑ!G28=0,"",ΣΤΟΙΧΕΙΑ!G28)</f>
        <v/>
      </c>
      <c r="H8" s="442" t="str">
        <f>IF(ΣΤΟΙΧΕΙΑ!H28=0,"",ΣΤΟΙΧΕΙΑ!H28)</f>
        <v/>
      </c>
      <c r="I8" s="442" t="str">
        <f>IF(ΣΤΟΙΧΕΙΑ!I28=0,"",ΣΤΟΙΧΕΙΑ!I28)</f>
        <v/>
      </c>
      <c r="J8" s="442" t="str">
        <f>IF(ΣΤΟΙΧΕΙΑ!J28=0,"",ΣΤΟΙΧΕΙΑ!J28)</f>
        <v/>
      </c>
      <c r="K8" s="442" t="str">
        <f>IF(ΣΤΟΙΧΕΙΑ!K28=0,"",ΣΤΟΙΧΕΙΑ!K28)</f>
        <v/>
      </c>
      <c r="L8" s="446" t="str">
        <f>IF(ΣΤΟΙΧΕΙΑ!L28=0,"",ΣΤΟΙΧΕΙΑ!L28)</f>
        <v/>
      </c>
      <c r="M8" s="446" t="str">
        <f>IF(ΣΤΟΙΧΕΙΑ!M28=0,"",ΣΤΟΙΧΕΙΑ!M28)</f>
        <v/>
      </c>
      <c r="N8" s="446" t="str">
        <f>IF(ΣΤΟΙΧΕΙΑ!N28=0,"",ΣΤΟΙΧΕΙΑ!N28)</f>
        <v/>
      </c>
      <c r="O8" s="446" t="str">
        <f>IF(ΣΤΟΙΧΕΙΑ!O28=0,"",ΣΤΟΙΧΕΙΑ!O28)</f>
        <v/>
      </c>
      <c r="P8" s="446" t="str">
        <f>IF(ΣΤΟΙΧΕΙΑ!P28=0,"",ΣΤΟΙΧΕΙΑ!P28)</f>
        <v/>
      </c>
      <c r="Q8" s="147">
        <f t="shared" si="1"/>
        <v>50</v>
      </c>
    </row>
    <row r="9" spans="1:17" ht="30" customHeight="1">
      <c r="A9" s="41">
        <f t="shared" si="2"/>
        <v>5</v>
      </c>
      <c r="B9" s="304" t="str">
        <f>Δαπάνες!B13</f>
        <v>Γ1</v>
      </c>
      <c r="C9" s="318" t="str">
        <f>IF(Δαπάνες!D13="","",Δαπάνες!D13)</f>
        <v>Συντήρηση Κήπου</v>
      </c>
      <c r="D9" s="442" t="str">
        <f>IF(ΣΤΟΙΧΕΙΑ!D29=0,"",ΣΤΟΙΧΕΙΑ!D29)</f>
        <v/>
      </c>
      <c r="E9" s="442">
        <f>IF(ΣΤΟΙΧΕΙΑ!E29=0,"",ΣΤΟΙΧΕΙΑ!E29)</f>
        <v>60</v>
      </c>
      <c r="F9" s="442" t="str">
        <f>IF(ΣΤΟΙΧΕΙΑ!F29=0,"",ΣΤΟΙΧΕΙΑ!F29)</f>
        <v/>
      </c>
      <c r="G9" s="442" t="str">
        <f>IF(ΣΤΟΙΧΕΙΑ!G29=0,"",ΣΤΟΙΧΕΙΑ!G29)</f>
        <v/>
      </c>
      <c r="H9" s="442" t="str">
        <f>IF(ΣΤΟΙΧΕΙΑ!H29=0,"",ΣΤΟΙΧΕΙΑ!H29)</f>
        <v/>
      </c>
      <c r="I9" s="442" t="str">
        <f>IF(ΣΤΟΙΧΕΙΑ!I29=0,"",ΣΤΟΙΧΕΙΑ!I29)</f>
        <v/>
      </c>
      <c r="J9" s="442" t="str">
        <f>IF(ΣΤΟΙΧΕΙΑ!J29=0,"",ΣΤΟΙΧΕΙΑ!J29)</f>
        <v/>
      </c>
      <c r="K9" s="442" t="str">
        <f>IF(ΣΤΟΙΧΕΙΑ!K29=0,"",ΣΤΟΙΧΕΙΑ!K29)</f>
        <v/>
      </c>
      <c r="L9" s="446" t="str">
        <f>IF(ΣΤΟΙΧΕΙΑ!L29=0,"",ΣΤΟΙΧΕΙΑ!L29)</f>
        <v/>
      </c>
      <c r="M9" s="446" t="str">
        <f>IF(ΣΤΟΙΧΕΙΑ!M29=0,"",ΣΤΟΙΧΕΙΑ!M29)</f>
        <v/>
      </c>
      <c r="N9" s="446" t="str">
        <f>IF(ΣΤΟΙΧΕΙΑ!N29=0,"",ΣΤΟΙΧΕΙΑ!N29)</f>
        <v/>
      </c>
      <c r="O9" s="446" t="str">
        <f>IF(ΣΤΟΙΧΕΙΑ!O29=0,"",ΣΤΟΙΧΕΙΑ!O29)</f>
        <v/>
      </c>
      <c r="P9" s="446" t="str">
        <f>IF(ΣΤΟΙΧΕΙΑ!P29=0,"",ΣΤΟΙΧΕΙΑ!P29)</f>
        <v/>
      </c>
      <c r="Q9" s="147">
        <f t="shared" si="1"/>
        <v>60</v>
      </c>
    </row>
    <row r="10" spans="1:17" ht="30" customHeight="1">
      <c r="A10" s="41">
        <f t="shared" si="2"/>
        <v>6</v>
      </c>
      <c r="B10" s="304" t="str">
        <f>Δαπάνες!B14</f>
        <v>Γ2</v>
      </c>
      <c r="C10" s="318" t="str">
        <f>IF(Δαπάνες!D14="","",Δαπάνες!D14)</f>
        <v>ΕΥΔΑΠ (Νερό) Κοινόχρηστων Χώρων</v>
      </c>
      <c r="D10" s="442" t="str">
        <f>IF(ΣΤΟΙΧΕΙΑ!D30=0,"",ΣΤΟΙΧΕΙΑ!D30)</f>
        <v/>
      </c>
      <c r="E10" s="442">
        <f>IF(ΣΤΟΙΧΕΙΑ!E30=0,"",ΣΤΟΙΧΕΙΑ!E30)</f>
        <v>20</v>
      </c>
      <c r="F10" s="442" t="str">
        <f>IF(ΣΤΟΙΧΕΙΑ!F30=0,"",ΣΤΟΙΧΕΙΑ!F30)</f>
        <v/>
      </c>
      <c r="G10" s="442" t="str">
        <f>IF(ΣΤΟΙΧΕΙΑ!G30=0,"",ΣΤΟΙΧΕΙΑ!G30)</f>
        <v/>
      </c>
      <c r="H10" s="442" t="str">
        <f>IF(ΣΤΟΙΧΕΙΑ!H30=0,"",ΣΤΟΙΧΕΙΑ!H30)</f>
        <v/>
      </c>
      <c r="I10" s="442" t="str">
        <f>IF(ΣΤΟΙΧΕΙΑ!I30=0,"",ΣΤΟΙΧΕΙΑ!I30)</f>
        <v/>
      </c>
      <c r="J10" s="442" t="str">
        <f>IF(ΣΤΟΙΧΕΙΑ!J30=0,"",ΣΤΟΙΧΕΙΑ!J30)</f>
        <v/>
      </c>
      <c r="K10" s="442" t="str">
        <f>IF(ΣΤΟΙΧΕΙΑ!K30=0,"",ΣΤΟΙΧΕΙΑ!K30)</f>
        <v/>
      </c>
      <c r="L10" s="446" t="str">
        <f>IF(ΣΤΟΙΧΕΙΑ!L30=0,"",ΣΤΟΙΧΕΙΑ!L30)</f>
        <v/>
      </c>
      <c r="M10" s="446" t="str">
        <f>IF(ΣΤΟΙΧΕΙΑ!M30=0,"",ΣΤΟΙΧΕΙΑ!M30)</f>
        <v/>
      </c>
      <c r="N10" s="446" t="str">
        <f>IF(ΣΤΟΙΧΕΙΑ!N30=0,"",ΣΤΟΙΧΕΙΑ!N30)</f>
        <v/>
      </c>
      <c r="O10" s="446" t="str">
        <f>IF(ΣΤΟΙΧΕΙΑ!O30=0,"",ΣΤΟΙΧΕΙΑ!O30)</f>
        <v/>
      </c>
      <c r="P10" s="446" t="str">
        <f>IF(ΣΤΟΙΧΕΙΑ!P30=0,"",ΣΤΟΙΧΕΙΑ!P30)</f>
        <v/>
      </c>
      <c r="Q10" s="147">
        <f t="shared" si="1"/>
        <v>20</v>
      </c>
    </row>
    <row r="11" spans="1:17" ht="30" customHeight="1">
      <c r="A11" s="41">
        <f t="shared" si="2"/>
        <v>7</v>
      </c>
      <c r="B11" s="303" t="str">
        <f>Δαπάνες!B15</f>
        <v>Δ1</v>
      </c>
      <c r="C11" s="443" t="str">
        <f>IF(Δαπάνες!D15="","",Δαπάνες!D15)</f>
        <v>Πετρέλαιο Αυτόνομης Θέρμανσης</v>
      </c>
      <c r="D11" s="444" t="str">
        <f>IF(ΣΤΟΙΧΕΙΑ!D31=0,"",ΣΤΟΙΧΕΙΑ!D31)</f>
        <v/>
      </c>
      <c r="E11" s="444">
        <f>IF(ΣΤΟΙΧΕΙΑ!E31=0,"",ΣΤΟΙΧΕΙΑ!E31)</f>
        <v>700</v>
      </c>
      <c r="F11" s="444">
        <f>IF(ΣΤΟΙΧΕΙΑ!F31=0,"",ΣΤΟΙΧΕΙΑ!F31)</f>
        <v>390</v>
      </c>
      <c r="G11" s="444" t="str">
        <f>IF(ΣΤΟΙΧΕΙΑ!G31=0,"",ΣΤΟΙΧΕΙΑ!G31)</f>
        <v/>
      </c>
      <c r="H11" s="444" t="str">
        <f>IF(ΣΤΟΙΧΕΙΑ!H31=0,"",ΣΤΟΙΧΕΙΑ!H31)</f>
        <v/>
      </c>
      <c r="I11" s="444" t="str">
        <f>IF(ΣΤΟΙΧΕΙΑ!I31=0,"",ΣΤΟΙΧΕΙΑ!I31)</f>
        <v/>
      </c>
      <c r="J11" s="444" t="str">
        <f>IF(ΣΤΟΙΧΕΙΑ!J31=0,"",ΣΤΟΙΧΕΙΑ!J31)</f>
        <v/>
      </c>
      <c r="K11" s="444" t="str">
        <f>IF(ΣΤΟΙΧΕΙΑ!K31=0,"",ΣΤΟΙΧΕΙΑ!K31)</f>
        <v/>
      </c>
      <c r="L11" s="447" t="str">
        <f>IF(ΣΤΟΙΧΕΙΑ!L31=0,"",ΣΤΟΙΧΕΙΑ!L31)</f>
        <v/>
      </c>
      <c r="M11" s="447" t="str">
        <f>IF(ΣΤΟΙΧΕΙΑ!M31=0,"",ΣΤΟΙΧΕΙΑ!M31)</f>
        <v/>
      </c>
      <c r="N11" s="447" t="str">
        <f>IF(ΣΤΟΙΧΕΙΑ!N31=0,"",ΣΤΟΙΧΕΙΑ!N31)</f>
        <v/>
      </c>
      <c r="O11" s="447" t="str">
        <f>IF(ΣΤΟΙΧΕΙΑ!O31=0,"",ΣΤΟΙΧΕΙΑ!O31)</f>
        <v/>
      </c>
      <c r="P11" s="447" t="str">
        <f>IF(ΣΤΟΙΧΕΙΑ!P31=0,"",ΣΤΟΙΧΕΙΑ!P31)</f>
        <v/>
      </c>
      <c r="Q11" s="162">
        <f t="shared" si="1"/>
        <v>1090</v>
      </c>
    </row>
    <row r="12" spans="1:17" ht="30" customHeight="1">
      <c r="A12" s="41">
        <f t="shared" si="2"/>
        <v>8</v>
      </c>
      <c r="B12" s="303" t="str">
        <f>Δαπάνες!B16</f>
        <v>Δ2</v>
      </c>
      <c r="C12" s="318" t="str">
        <f>IF(Δαπάνες!D16="","",Δαπάνες!D16)</f>
        <v>Συντήρηση Καυστήρα</v>
      </c>
      <c r="D12" s="442" t="str">
        <f>IF(ΣΤΟΙΧΕΙΑ!D32=0,"",ΣΤΟΙΧΕΙΑ!D32)</f>
        <v/>
      </c>
      <c r="E12" s="442">
        <f>IF(ΣΤΟΙΧΕΙΑ!E32=0,"",ΣΤΟΙΧΕΙΑ!E32)</f>
        <v>70</v>
      </c>
      <c r="F12" s="442" t="str">
        <f>IF(ΣΤΟΙΧΕΙΑ!F32=0,"",ΣΤΟΙΧΕΙΑ!F32)</f>
        <v/>
      </c>
      <c r="G12" s="442" t="str">
        <f>IF(ΣΤΟΙΧΕΙΑ!G32=0,"",ΣΤΟΙΧΕΙΑ!G32)</f>
        <v/>
      </c>
      <c r="H12" s="442" t="str">
        <f>IF(ΣΤΟΙΧΕΙΑ!H32=0,"",ΣΤΟΙΧΕΙΑ!H32)</f>
        <v/>
      </c>
      <c r="I12" s="442" t="str">
        <f>IF(ΣΤΟΙΧΕΙΑ!I32=0,"",ΣΤΟΙΧΕΙΑ!I32)</f>
        <v/>
      </c>
      <c r="J12" s="442" t="str">
        <f>IF(ΣΤΟΙΧΕΙΑ!J32=0,"",ΣΤΟΙΧΕΙΑ!J32)</f>
        <v/>
      </c>
      <c r="K12" s="442" t="str">
        <f>IF(ΣΤΟΙΧΕΙΑ!K32=0,"",ΣΤΟΙΧΕΙΑ!K32)</f>
        <v/>
      </c>
      <c r="L12" s="446" t="str">
        <f>IF(ΣΤΟΙΧΕΙΑ!L32=0,"",ΣΤΟΙΧΕΙΑ!L32)</f>
        <v/>
      </c>
      <c r="M12" s="446" t="str">
        <f>IF(ΣΤΟΙΧΕΙΑ!M32=0,"",ΣΤΟΙΧΕΙΑ!M32)</f>
        <v/>
      </c>
      <c r="N12" s="446" t="str">
        <f>IF(ΣΤΟΙΧΕΙΑ!N32=0,"",ΣΤΟΙΧΕΙΑ!N32)</f>
        <v/>
      </c>
      <c r="O12" s="446" t="str">
        <f>IF(ΣΤΟΙΧΕΙΑ!O32=0,"",ΣΤΟΙΧΕΙΑ!O32)</f>
        <v/>
      </c>
      <c r="P12" s="446" t="str">
        <f>IF(ΣΤΟΙΧΕΙΑ!P32=0,"",ΣΤΟΙΧΕΙΑ!P32)</f>
        <v/>
      </c>
      <c r="Q12" s="147">
        <f t="shared" si="1"/>
        <v>70</v>
      </c>
    </row>
    <row r="13" spans="1:17" ht="30" customHeight="1">
      <c r="A13" s="41">
        <f t="shared" si="2"/>
        <v>9</v>
      </c>
      <c r="B13" s="250" t="str">
        <f>Δαπάνες!B17</f>
        <v>Ε1</v>
      </c>
      <c r="C13" s="318" t="str">
        <f>IF(Δαπάνες!D17="","",Δαπάνες!D17)</f>
        <v>Συντήρηση Πολυκατοικίας</v>
      </c>
      <c r="D13" s="442" t="str">
        <f>IF(ΣΤΟΙΧΕΙΑ!D33=0,"",ΣΤΟΙΧΕΙΑ!D33)</f>
        <v/>
      </c>
      <c r="E13" s="442">
        <f>IF(ΣΤΟΙΧΕΙΑ!E33=0,"",ΣΤΟΙΧΕΙΑ!E33)</f>
        <v>100</v>
      </c>
      <c r="F13" s="442" t="str">
        <f>IF(ΣΤΟΙΧΕΙΑ!F33=0,"",ΣΤΟΙΧΕΙΑ!F33)</f>
        <v/>
      </c>
      <c r="G13" s="442" t="str">
        <f>IF(ΣΤΟΙΧΕΙΑ!G33=0,"",ΣΤΟΙΧΕΙΑ!G33)</f>
        <v/>
      </c>
      <c r="H13" s="442" t="str">
        <f>IF(ΣΤΟΙΧΕΙΑ!H33=0,"",ΣΤΟΙΧΕΙΑ!H33)</f>
        <v/>
      </c>
      <c r="I13" s="442" t="str">
        <f>IF(ΣΤΟΙΧΕΙΑ!I33=0,"",ΣΤΟΙΧΕΙΑ!I33)</f>
        <v/>
      </c>
      <c r="J13" s="442" t="str">
        <f>IF(ΣΤΟΙΧΕΙΑ!J33=0,"",ΣΤΟΙΧΕΙΑ!J33)</f>
        <v/>
      </c>
      <c r="K13" s="442" t="str">
        <f>IF(ΣΤΟΙΧΕΙΑ!K33=0,"",ΣΤΟΙΧΕΙΑ!K33)</f>
        <v/>
      </c>
      <c r="L13" s="446" t="str">
        <f>IF(ΣΤΟΙΧΕΙΑ!L33=0,"",ΣΤΟΙΧΕΙΑ!L33)</f>
        <v/>
      </c>
      <c r="M13" s="446" t="str">
        <f>IF(ΣΤΟΙΧΕΙΑ!M33=0,"",ΣΤΟΙΧΕΙΑ!M33)</f>
        <v/>
      </c>
      <c r="N13" s="446" t="str">
        <f>IF(ΣΤΟΙΧΕΙΑ!N33=0,"",ΣΤΟΙΧΕΙΑ!N33)</f>
        <v/>
      </c>
      <c r="O13" s="446" t="str">
        <f>IF(ΣΤΟΙΧΕΙΑ!O33=0,"",ΣΤΟΙΧΕΙΑ!O33)</f>
        <v/>
      </c>
      <c r="P13" s="446" t="str">
        <f>IF(ΣΤΟΙΧΕΙΑ!P33=0,"",ΣΤΟΙΧΕΙΑ!P33)</f>
        <v/>
      </c>
      <c r="Q13" s="147">
        <f t="shared" si="1"/>
        <v>100</v>
      </c>
    </row>
    <row r="14" spans="1:17" ht="30" customHeight="1">
      <c r="A14" s="41">
        <f t="shared" si="2"/>
        <v>10</v>
      </c>
      <c r="B14" s="304" t="str">
        <f>Δαπάνες!B18</f>
        <v>Ζ1</v>
      </c>
      <c r="C14" s="318" t="str">
        <f>IF(Δαπάνες!D18="","",Δαπάνες!D18)</f>
        <v>Πάγιο Αποθεματικό</v>
      </c>
      <c r="D14" s="442" t="str">
        <f>IF(ΣΤΟΙΧΕΙΑ!D34=0,"",ΣΤΟΙΧΕΙΑ!D34)</f>
        <v/>
      </c>
      <c r="E14" s="442">
        <f>IF(ΣΤΟΙΧΕΙΑ!E34=0,"",ΣΤΟΙΧΕΙΑ!E34)</f>
        <v>200</v>
      </c>
      <c r="F14" s="442" t="str">
        <f>IF(ΣΤΟΙΧΕΙΑ!F34=0,"",ΣΤΟΙΧΕΙΑ!F34)</f>
        <v/>
      </c>
      <c r="G14" s="442" t="str">
        <f>IF(ΣΤΟΙΧΕΙΑ!G34=0,"",ΣΤΟΙΧΕΙΑ!G34)</f>
        <v/>
      </c>
      <c r="H14" s="442" t="str">
        <f>IF(ΣΤΟΙΧΕΙΑ!H34=0,"",ΣΤΟΙΧΕΙΑ!H34)</f>
        <v/>
      </c>
      <c r="I14" s="442" t="str">
        <f>IF(ΣΤΟΙΧΕΙΑ!I34=0,"",ΣΤΟΙΧΕΙΑ!I34)</f>
        <v/>
      </c>
      <c r="J14" s="442" t="str">
        <f>IF(ΣΤΟΙΧΕΙΑ!J34=0,"",ΣΤΟΙΧΕΙΑ!J34)</f>
        <v/>
      </c>
      <c r="K14" s="442" t="str">
        <f>IF(ΣΤΟΙΧΕΙΑ!K34=0,"",ΣΤΟΙΧΕΙΑ!K34)</f>
        <v/>
      </c>
      <c r="L14" s="446" t="str">
        <f>IF(ΣΤΟΙΧΕΙΑ!L34=0,"",ΣΤΟΙΧΕΙΑ!L34)</f>
        <v/>
      </c>
      <c r="M14" s="446" t="str">
        <f>IF(ΣΤΟΙΧΕΙΑ!M34=0,"",ΣΤΟΙΧΕΙΑ!M34)</f>
        <v/>
      </c>
      <c r="N14" s="446" t="str">
        <f>IF(ΣΤΟΙΧΕΙΑ!N34=0,"",ΣΤΟΙΧΕΙΑ!N34)</f>
        <v/>
      </c>
      <c r="O14" s="446" t="str">
        <f>IF(ΣΤΟΙΧΕΙΑ!O34=0,"",ΣΤΟΙΧΕΙΑ!O34)</f>
        <v/>
      </c>
      <c r="P14" s="446" t="str">
        <f>IF(ΣΤΟΙΧΕΙΑ!P34=0,"",ΣΤΟΙΧΕΙΑ!P34)</f>
        <v/>
      </c>
      <c r="Q14" s="147">
        <f t="shared" si="1"/>
        <v>200</v>
      </c>
    </row>
    <row r="15" spans="1:17" ht="30" customHeight="1">
      <c r="A15" s="41">
        <f t="shared" si="2"/>
        <v>11</v>
      </c>
      <c r="B15" s="303" t="str">
        <f>Δαπάνες!B19</f>
        <v>Η1</v>
      </c>
      <c r="C15" s="318" t="str">
        <f>IF(Δαπάνες!D19="","",Δαπάνες!D19)</f>
        <v>Αμοιβή Διαχειριστή</v>
      </c>
      <c r="D15" s="442" t="str">
        <f>IF(ΣΤΟΙΧΕΙΑ!D35=0,"",ΣΤΟΙΧΕΙΑ!D35)</f>
        <v/>
      </c>
      <c r="E15" s="442">
        <f>IF(ΣΤΟΙΧΕΙΑ!E35=0,"",ΣΤΟΙΧΕΙΑ!E35)</f>
        <v>80</v>
      </c>
      <c r="F15" s="442" t="str">
        <f>IF(ΣΤΟΙΧΕΙΑ!F35=0,"",ΣΤΟΙΧΕΙΑ!F35)</f>
        <v/>
      </c>
      <c r="G15" s="442" t="str">
        <f>IF(ΣΤΟΙΧΕΙΑ!G35=0,"",ΣΤΟΙΧΕΙΑ!G35)</f>
        <v/>
      </c>
      <c r="H15" s="442" t="str">
        <f>IF(ΣΤΟΙΧΕΙΑ!H35=0,"",ΣΤΟΙΧΕΙΑ!H35)</f>
        <v/>
      </c>
      <c r="I15" s="442" t="str">
        <f>IF(ΣΤΟΙΧΕΙΑ!I35=0,"",ΣΤΟΙΧΕΙΑ!I35)</f>
        <v/>
      </c>
      <c r="J15" s="442" t="str">
        <f>IF(ΣΤΟΙΧΕΙΑ!J35=0,"",ΣΤΟΙΧΕΙΑ!J35)</f>
        <v/>
      </c>
      <c r="K15" s="442" t="str">
        <f>IF(ΣΤΟΙΧΕΙΑ!K35=0,"",ΣΤΟΙΧΕΙΑ!K35)</f>
        <v/>
      </c>
      <c r="L15" s="446" t="str">
        <f>IF(ΣΤΟΙΧΕΙΑ!L35=0,"",ΣΤΟΙΧΕΙΑ!L35)</f>
        <v/>
      </c>
      <c r="M15" s="446" t="str">
        <f>IF(ΣΤΟΙΧΕΙΑ!M35=0,"",ΣΤΟΙΧΕΙΑ!M35)</f>
        <v/>
      </c>
      <c r="N15" s="446" t="str">
        <f>IF(ΣΤΟΙΧΕΙΑ!N35=0,"",ΣΤΟΙΧΕΙΑ!N35)</f>
        <v/>
      </c>
      <c r="O15" s="446" t="str">
        <f>IF(ΣΤΟΙΧΕΙΑ!O35=0,"",ΣΤΟΙΧΕΙΑ!O35)</f>
        <v/>
      </c>
      <c r="P15" s="446" t="str">
        <f>IF(ΣΤΟΙΧΕΙΑ!P35=0,"",ΣΤΟΙΧΕΙΑ!P35)</f>
        <v/>
      </c>
      <c r="Q15" s="147">
        <f t="shared" si="1"/>
        <v>80</v>
      </c>
    </row>
    <row r="16" spans="1:17" ht="30" customHeight="1">
      <c r="A16" s="41">
        <f t="shared" si="2"/>
        <v>12</v>
      </c>
      <c r="B16" s="303" t="str">
        <f>Δαπάνες!B20</f>
        <v>Η2</v>
      </c>
      <c r="C16" s="318" t="str">
        <f>IF(Δαπάνες!D20="","",Δαπάνες!D20)</f>
        <v>Έκδοση Κοινοχρήστων</v>
      </c>
      <c r="D16" s="442" t="str">
        <f>IF(ΣΤΟΙΧΕΙΑ!D36=0,"",ΣΤΟΙΧΕΙΑ!D36)</f>
        <v/>
      </c>
      <c r="E16" s="442">
        <f>IF(ΣΤΟΙΧΕΙΑ!E36=0,"",ΣΤΟΙΧΕΙΑ!E36)</f>
        <v>20</v>
      </c>
      <c r="F16" s="442" t="str">
        <f>IF(ΣΤΟΙΧΕΙΑ!F36=0,"",ΣΤΟΙΧΕΙΑ!F36)</f>
        <v/>
      </c>
      <c r="G16" s="442" t="str">
        <f>IF(ΣΤΟΙΧΕΙΑ!G36=0,"",ΣΤΟΙΧΕΙΑ!G36)</f>
        <v/>
      </c>
      <c r="H16" s="442" t="str">
        <f>IF(ΣΤΟΙΧΕΙΑ!H36=0,"",ΣΤΟΙΧΕΙΑ!H36)</f>
        <v/>
      </c>
      <c r="I16" s="442" t="str">
        <f>IF(ΣΤΟΙΧΕΙΑ!I36=0,"",ΣΤΟΙΧΕΙΑ!I36)</f>
        <v/>
      </c>
      <c r="J16" s="442" t="str">
        <f>IF(ΣΤΟΙΧΕΙΑ!J36=0,"",ΣΤΟΙΧΕΙΑ!J36)</f>
        <v/>
      </c>
      <c r="K16" s="442" t="str">
        <f>IF(ΣΤΟΙΧΕΙΑ!K36=0,"",ΣΤΟΙΧΕΙΑ!K36)</f>
        <v/>
      </c>
      <c r="L16" s="446" t="str">
        <f>IF(ΣΤΟΙΧΕΙΑ!L36=0,"",ΣΤΟΙΧΕΙΑ!L36)</f>
        <v/>
      </c>
      <c r="M16" s="446" t="str">
        <f>IF(ΣΤΟΙΧΕΙΑ!M36=0,"",ΣΤΟΙΧΕΙΑ!M36)</f>
        <v/>
      </c>
      <c r="N16" s="446" t="str">
        <f>IF(ΣΤΟΙΧΕΙΑ!N36=0,"",ΣΤΟΙΧΕΙΑ!N36)</f>
        <v/>
      </c>
      <c r="O16" s="446" t="str">
        <f>IF(ΣΤΟΙΧΕΙΑ!O36=0,"",ΣΤΟΙΧΕΙΑ!O36)</f>
        <v/>
      </c>
      <c r="P16" s="446" t="str">
        <f>IF(ΣΤΟΙΧΕΙΑ!P36=0,"",ΣΤΟΙΧΕΙΑ!P36)</f>
        <v/>
      </c>
      <c r="Q16" s="147">
        <f t="shared" si="1"/>
        <v>20</v>
      </c>
    </row>
    <row r="17" spans="1:17" s="6" customFormat="1">
      <c r="A17" s="748" t="s">
        <v>92</v>
      </c>
      <c r="B17" s="748"/>
      <c r="C17" s="748"/>
      <c r="D17" s="441" t="str">
        <f>IF(ΣΤΟΙΧΕΙΑ!D37=0,"",ΣΤΟΙΧΕΙΑ!D37)</f>
        <v/>
      </c>
      <c r="E17" s="441">
        <f>IF(ΣΤΟΙΧΕΙΑ!E37=0,"",ΣΤΟΙΧΕΙΑ!E37)</f>
        <v>1480</v>
      </c>
      <c r="F17" s="441">
        <f>IF(ΣΤΟΙΧΕΙΑ!F37=0,"",ΣΤΟΙΧΕΙΑ!F37)</f>
        <v>390</v>
      </c>
      <c r="G17" s="441" t="str">
        <f>IF(ΣΤΟΙΧΕΙΑ!G37=0,"",ΣΤΟΙΧΕΙΑ!G37)</f>
        <v/>
      </c>
      <c r="H17" s="441" t="str">
        <f>IF(ΣΤΟΙΧΕΙΑ!H37=0,"",ΣΤΟΙΧΕΙΑ!H37)</f>
        <v/>
      </c>
      <c r="I17" s="441" t="str">
        <f>IF(ΣΤΟΙΧΕΙΑ!I37=0,"",ΣΤΟΙΧΕΙΑ!I37)</f>
        <v/>
      </c>
      <c r="J17" s="441" t="str">
        <f>IF(ΣΤΟΙΧΕΙΑ!J37=0,"",ΣΤΟΙΧΕΙΑ!J37)</f>
        <v/>
      </c>
      <c r="K17" s="441" t="str">
        <f>IF(ΣΤΟΙΧΕΙΑ!K37=0,"",ΣΤΟΙΧΕΙΑ!K37)</f>
        <v/>
      </c>
      <c r="L17" s="448" t="str">
        <f>IF(ΣΤΟΙΧΕΙΑ!L37=0,"",ΣΤΟΙΧΕΙΑ!L37)</f>
        <v/>
      </c>
      <c r="M17" s="448" t="str">
        <f>IF(ΣΤΟΙΧΕΙΑ!M37=0,"",ΣΤΟΙΧΕΙΑ!M37)</f>
        <v/>
      </c>
      <c r="N17" s="448" t="str">
        <f>IF(ΣΤΟΙΧΕΙΑ!N37=0,"",ΣΤΟΙΧΕΙΑ!N37)</f>
        <v/>
      </c>
      <c r="O17" s="448" t="str">
        <f>IF(ΣΤΟΙΧΕΙΑ!O37=0,"",ΣΤΟΙΧΕΙΑ!O37)</f>
        <v/>
      </c>
      <c r="P17" s="448" t="str">
        <f>IF(ΣΤΟΙΧΕΙΑ!P37=0,"",ΣΤΟΙΧΕΙΑ!P37)</f>
        <v/>
      </c>
      <c r="Q17" s="148">
        <f t="shared" ref="Q17" si="3">SUM(Q5:Q16)</f>
        <v>1870</v>
      </c>
    </row>
    <row r="18" spans="1:17" s="105" customFormat="1" ht="9.9499999999999993" customHeight="1">
      <c r="Q18" s="435"/>
    </row>
    <row r="19" spans="1:17" ht="11.1" customHeight="1">
      <c r="A19" s="694" t="s">
        <v>24</v>
      </c>
      <c r="B19" s="694" t="s">
        <v>181</v>
      </c>
      <c r="C19" s="694" t="s">
        <v>78</v>
      </c>
      <c r="D19" s="437">
        <f>ΣΤΟΙΧΕΙΑ!D39</f>
        <v>40848</v>
      </c>
      <c r="E19" s="437">
        <f>ΣΤΟΙΧΕΙΑ!E39</f>
        <v>40878</v>
      </c>
      <c r="F19" s="437">
        <f>ΣΤΟΙΧΕΙΑ!F39</f>
        <v>40909</v>
      </c>
      <c r="G19" s="437">
        <f>ΣΤΟΙΧΕΙΑ!G39</f>
        <v>40940</v>
      </c>
      <c r="H19" s="437">
        <f>ΣΤΟΙΧΕΙΑ!H39</f>
        <v>40969</v>
      </c>
      <c r="I19" s="437">
        <f>ΣΤΟΙΧΕΙΑ!I39</f>
        <v>41000</v>
      </c>
      <c r="J19" s="437">
        <f>ΣΤΟΙΧΕΙΑ!J39</f>
        <v>41030</v>
      </c>
      <c r="K19" s="437">
        <f>ΣΤΟΙΧΕΙΑ!K39</f>
        <v>41061</v>
      </c>
      <c r="L19" s="437">
        <f>ΣΤΟΙΧΕΙΑ!L39</f>
        <v>41091</v>
      </c>
      <c r="M19" s="437">
        <f>ΣΤΟΙΧΕΙΑ!M39</f>
        <v>41122</v>
      </c>
      <c r="N19" s="437">
        <f>ΣΤΟΙΧΕΙΑ!N39</f>
        <v>41153</v>
      </c>
      <c r="O19" s="437">
        <f>ΣΤΟΙΧΕΙΑ!O39</f>
        <v>41183</v>
      </c>
      <c r="P19" s="437">
        <f>ΣΤΟΙΧΕΙΑ!P39</f>
        <v>41214</v>
      </c>
      <c r="Q19" s="973" t="s">
        <v>182</v>
      </c>
    </row>
    <row r="20" spans="1:17" ht="11.1" customHeight="1">
      <c r="A20" s="694"/>
      <c r="B20" s="694"/>
      <c r="C20" s="694"/>
      <c r="D20" s="438"/>
      <c r="E20" s="292"/>
      <c r="F20" s="292"/>
      <c r="G20" s="292"/>
      <c r="H20" s="292"/>
      <c r="I20" s="292"/>
      <c r="J20" s="292"/>
      <c r="K20" s="439"/>
      <c r="L20" s="440"/>
      <c r="M20" s="440"/>
      <c r="N20" s="440"/>
      <c r="O20" s="440"/>
      <c r="P20" s="440"/>
      <c r="Q20" s="974"/>
    </row>
    <row r="21" spans="1:17" ht="11.1" customHeight="1">
      <c r="A21" s="300">
        <f>A4</f>
        <v>1</v>
      </c>
      <c r="B21" s="300">
        <f t="shared" ref="B21:P21" si="4">B4</f>
        <v>2</v>
      </c>
      <c r="C21" s="300">
        <f t="shared" si="4"/>
        <v>3</v>
      </c>
      <c r="D21" s="300">
        <f t="shared" si="4"/>
        <v>4</v>
      </c>
      <c r="E21" s="300">
        <f t="shared" si="4"/>
        <v>5</v>
      </c>
      <c r="F21" s="300">
        <f t="shared" si="4"/>
        <v>6</v>
      </c>
      <c r="G21" s="300">
        <f t="shared" si="4"/>
        <v>7</v>
      </c>
      <c r="H21" s="300">
        <f t="shared" si="4"/>
        <v>8</v>
      </c>
      <c r="I21" s="300">
        <f t="shared" si="4"/>
        <v>9</v>
      </c>
      <c r="J21" s="300">
        <f t="shared" si="4"/>
        <v>10</v>
      </c>
      <c r="K21" s="300">
        <f t="shared" si="4"/>
        <v>11</v>
      </c>
      <c r="L21" s="300">
        <f t="shared" si="4"/>
        <v>12</v>
      </c>
      <c r="M21" s="300">
        <f t="shared" si="4"/>
        <v>13</v>
      </c>
      <c r="N21" s="300">
        <f t="shared" si="4"/>
        <v>14</v>
      </c>
      <c r="O21" s="300">
        <f t="shared" si="4"/>
        <v>15</v>
      </c>
      <c r="P21" s="300">
        <f t="shared" si="4"/>
        <v>16</v>
      </c>
      <c r="Q21" s="975"/>
    </row>
    <row r="22" spans="1:17" ht="20.100000000000001" customHeight="1">
      <c r="A22" s="41">
        <f>IF(B22="","",1)</f>
        <v>1</v>
      </c>
      <c r="B22" s="128" t="str">
        <f>IF(Διαμερίσματα!B6="","",Διαμερίσματα!B6)</f>
        <v>Κ1</v>
      </c>
      <c r="C22" s="318" t="str">
        <f>IF(Διαμερίσματα!I6="","",Διαμερίσματα!I6)</f>
        <v>Ιδιοκτήτης-1</v>
      </c>
      <c r="D22" s="227" t="str">
        <f>IF(ΣΤΟΙΧΕΙΑ!D41=0,"",ΣΤΟΙΧΕΙΑ!D41)</f>
        <v/>
      </c>
      <c r="E22" s="228">
        <f ca="1">IF(ΣΤΟΙΧΕΙΑ!E41=0,"",ΣΤΟΙΧΕΙΑ!E41)</f>
        <v>44.314208126686182</v>
      </c>
      <c r="F22" s="228" t="str">
        <f>IF(ΣΤΟΙΧΕΙΑ!F41=0,"",ΣΤΟΙΧΕΙΑ!F41)</f>
        <v/>
      </c>
      <c r="G22" s="228" t="str">
        <f>IF(ΣΤΟΙΧΕΙΑ!G41=0,"",ΣΤΟΙΧΕΙΑ!G41)</f>
        <v/>
      </c>
      <c r="H22" s="228" t="str">
        <f>IF(ΣΤΟΙΧΕΙΑ!H41=0,"",ΣΤΟΙΧΕΙΑ!H41)</f>
        <v/>
      </c>
      <c r="I22" s="228" t="str">
        <f>IF(ΣΤΟΙΧΕΙΑ!I41=0,"",ΣΤΟΙΧΕΙΑ!I41)</f>
        <v/>
      </c>
      <c r="J22" s="228" t="str">
        <f>IF(ΣΤΟΙΧΕΙΑ!J41=0,"",ΣΤΟΙΧΕΙΑ!J41)</f>
        <v/>
      </c>
      <c r="K22" s="228" t="str">
        <f>IF(ΣΤΟΙΧΕΙΑ!K41=0,"",ΣΤΟΙΧΕΙΑ!K41)</f>
        <v/>
      </c>
      <c r="L22" s="228" t="str">
        <f>IF(ΣΤΟΙΧΕΙΑ!L41=0,"",ΣΤΟΙΧΕΙΑ!L41)</f>
        <v/>
      </c>
      <c r="M22" s="228" t="str">
        <f>IF(ΣΤΟΙΧΕΙΑ!M41=0,"",ΣΤΟΙΧΕΙΑ!M41)</f>
        <v/>
      </c>
      <c r="N22" s="228" t="str">
        <f>IF(ΣΤΟΙΧΕΙΑ!N41=0,"",ΣΤΟΙΧΕΙΑ!N41)</f>
        <v/>
      </c>
      <c r="O22" s="228" t="str">
        <f>IF(ΣΤΟΙΧΕΙΑ!O41=0,"",ΣΤΟΙΧΕΙΑ!O41)</f>
        <v/>
      </c>
      <c r="P22" s="228" t="str">
        <f>IF(ΣΤΟΙΧΕΙΑ!P41=0,"",ΣΤΟΙΧΕΙΑ!P41)</f>
        <v/>
      </c>
      <c r="Q22" s="147">
        <f ca="1">IF(SUM(D22:P22)=0,"",SUM(D22:P22))</f>
        <v>44.314208126686182</v>
      </c>
    </row>
    <row r="23" spans="1:17" ht="20.100000000000001" customHeight="1">
      <c r="A23" s="41">
        <f>IF(B23="","",A22+1)</f>
        <v>2</v>
      </c>
      <c r="B23" s="128" t="str">
        <f>IF(Διαμερίσματα!B7="","",Διαμερίσματα!B7)</f>
        <v>Κ2</v>
      </c>
      <c r="C23" s="318" t="str">
        <f>IF(Διαμερίσματα!I7="","",Διαμερίσματα!I7)</f>
        <v>Ιδιοκτήτης-2</v>
      </c>
      <c r="D23" s="227" t="str">
        <f>IF(ΣΤΟΙΧΕΙΑ!D42=0,"",ΣΤΟΙΧΕΙΑ!D42)</f>
        <v/>
      </c>
      <c r="E23" s="228">
        <f ca="1">IF(ΣΤΟΙΧΕΙΑ!E42=0,"",ΣΤΟΙΧΕΙΑ!E42)</f>
        <v>49.190348052390995</v>
      </c>
      <c r="F23" s="228" t="str">
        <f>IF(ΣΤΟΙΧΕΙΑ!F42=0,"",ΣΤΟΙΧΕΙΑ!F42)</f>
        <v/>
      </c>
      <c r="G23" s="228" t="str">
        <f>IF(ΣΤΟΙΧΕΙΑ!G42=0,"",ΣΤΟΙΧΕΙΑ!G42)</f>
        <v/>
      </c>
      <c r="H23" s="228" t="str">
        <f>IF(ΣΤΟΙΧΕΙΑ!H42=0,"",ΣΤΟΙΧΕΙΑ!H42)</f>
        <v/>
      </c>
      <c r="I23" s="228" t="str">
        <f>IF(ΣΤΟΙΧΕΙΑ!I42=0,"",ΣΤΟΙΧΕΙΑ!I42)</f>
        <v/>
      </c>
      <c r="J23" s="228" t="str">
        <f>IF(ΣΤΟΙΧΕΙΑ!J42=0,"",ΣΤΟΙΧΕΙΑ!J42)</f>
        <v/>
      </c>
      <c r="K23" s="228" t="str">
        <f>IF(ΣΤΟΙΧΕΙΑ!K42=0,"",ΣΤΟΙΧΕΙΑ!K42)</f>
        <v/>
      </c>
      <c r="L23" s="228" t="str">
        <f>IF(ΣΤΟΙΧΕΙΑ!L42=0,"",ΣΤΟΙΧΕΙΑ!L42)</f>
        <v/>
      </c>
      <c r="M23" s="228" t="str">
        <f>IF(ΣΤΟΙΧΕΙΑ!M42=0,"",ΣΤΟΙΧΕΙΑ!M42)</f>
        <v/>
      </c>
      <c r="N23" s="228" t="str">
        <f>IF(ΣΤΟΙΧΕΙΑ!N42=0,"",ΣΤΟΙΧΕΙΑ!N42)</f>
        <v/>
      </c>
      <c r="O23" s="228" t="str">
        <f>IF(ΣΤΟΙΧΕΙΑ!O42=0,"",ΣΤΟΙΧΕΙΑ!O42)</f>
        <v/>
      </c>
      <c r="P23" s="228" t="str">
        <f>IF(ΣΤΟΙΧΕΙΑ!P42=0,"",ΣΤΟΙΧΕΙΑ!P42)</f>
        <v/>
      </c>
      <c r="Q23" s="147">
        <f t="shared" ref="Q23:Q30" ca="1" si="5">IF(SUM(D23:P23)=0,"",SUM(D23:P23))</f>
        <v>49.190348052390995</v>
      </c>
    </row>
    <row r="24" spans="1:17" ht="20.100000000000001" customHeight="1">
      <c r="A24" s="41">
        <f t="shared" ref="A24:A30" si="6">IF(B24="","",A23+1)</f>
        <v>3</v>
      </c>
      <c r="B24" s="128" t="str">
        <f>IF(Διαμερίσματα!B8="","",Διαμερίσματα!B8)</f>
        <v>Κ3</v>
      </c>
      <c r="C24" s="318" t="str">
        <f>IF(Διαμερίσματα!I8="","",Διαμερίσματα!I8)</f>
        <v>Ιδιοκτήτης-3</v>
      </c>
      <c r="D24" s="227" t="str">
        <f>IF(ΣΤΟΙΧΕΙΑ!D43=0,"",ΣΤΟΙΧΕΙΑ!D43)</f>
        <v/>
      </c>
      <c r="E24" s="228">
        <f ca="1">IF(ΣΤΟΙΧΕΙΑ!E43=0,"",ΣΤΟΙΧΕΙΑ!E43)</f>
        <v>225.0399534872713</v>
      </c>
      <c r="F24" s="228" t="str">
        <f>IF(ΣΤΟΙΧΕΙΑ!F43=0,"",ΣΤΟΙΧΕΙΑ!F43)</f>
        <v/>
      </c>
      <c r="G24" s="228" t="str">
        <f>IF(ΣΤΟΙΧΕΙΑ!G43=0,"",ΣΤΟΙΧΕΙΑ!G43)</f>
        <v/>
      </c>
      <c r="H24" s="228" t="str">
        <f>IF(ΣΤΟΙΧΕΙΑ!H43=0,"",ΣΤΟΙΧΕΙΑ!H43)</f>
        <v/>
      </c>
      <c r="I24" s="228" t="str">
        <f>IF(ΣΤΟΙΧΕΙΑ!I43=0,"",ΣΤΟΙΧΕΙΑ!I43)</f>
        <v/>
      </c>
      <c r="J24" s="228" t="str">
        <f>IF(ΣΤΟΙΧΕΙΑ!J43=0,"",ΣΤΟΙΧΕΙΑ!J43)</f>
        <v/>
      </c>
      <c r="K24" s="228" t="str">
        <f>IF(ΣΤΟΙΧΕΙΑ!K43=0,"",ΣΤΟΙΧΕΙΑ!K43)</f>
        <v/>
      </c>
      <c r="L24" s="228" t="str">
        <f>IF(ΣΤΟΙΧΕΙΑ!L43=0,"",ΣΤΟΙΧΕΙΑ!L43)</f>
        <v/>
      </c>
      <c r="M24" s="228" t="str">
        <f>IF(ΣΤΟΙΧΕΙΑ!M43=0,"",ΣΤΟΙΧΕΙΑ!M43)</f>
        <v/>
      </c>
      <c r="N24" s="228" t="str">
        <f>IF(ΣΤΟΙΧΕΙΑ!N43=0,"",ΣΤΟΙΧΕΙΑ!N43)</f>
        <v/>
      </c>
      <c r="O24" s="228" t="str">
        <f>IF(ΣΤΟΙΧΕΙΑ!O43=0,"",ΣΤΟΙΧΕΙΑ!O43)</f>
        <v/>
      </c>
      <c r="P24" s="228" t="str">
        <f>IF(ΣΤΟΙΧΕΙΑ!P43=0,"",ΣΤΟΙΧΕΙΑ!P43)</f>
        <v/>
      </c>
      <c r="Q24" s="147">
        <f t="shared" ca="1" si="5"/>
        <v>225.0399534872713</v>
      </c>
    </row>
    <row r="25" spans="1:17" ht="20.100000000000001" customHeight="1">
      <c r="A25" s="41">
        <f t="shared" si="6"/>
        <v>4</v>
      </c>
      <c r="B25" s="128" t="str">
        <f>IF(Διαμερίσματα!B9="","",Διαμερίσματα!B9)</f>
        <v>Α1</v>
      </c>
      <c r="C25" s="318" t="str">
        <f>IF(Διαμερίσματα!I9="","",Διαμερίσματα!I9)</f>
        <v>Ιδιοκτήτης-4</v>
      </c>
      <c r="D25" s="227" t="str">
        <f>IF(ΣΤΟΙΧΕΙΑ!D44=0,"",ΣΤΟΙΧΕΙΑ!D44)</f>
        <v/>
      </c>
      <c r="E25" s="228">
        <f ca="1">IF(ΣΤΟΙΧΕΙΑ!E44=0,"",ΣΤΟΙΧΕΙΑ!E44)</f>
        <v>178.03119085637255</v>
      </c>
      <c r="F25" s="228" t="str">
        <f>IF(ΣΤΟΙΧΕΙΑ!F44=0,"",ΣΤΟΙΧΕΙΑ!F44)</f>
        <v/>
      </c>
      <c r="G25" s="228" t="str">
        <f>IF(ΣΤΟΙΧΕΙΑ!G44=0,"",ΣΤΟΙΧΕΙΑ!G44)</f>
        <v/>
      </c>
      <c r="H25" s="228" t="str">
        <f>IF(ΣΤΟΙΧΕΙΑ!H44=0,"",ΣΤΟΙΧΕΙΑ!H44)</f>
        <v/>
      </c>
      <c r="I25" s="228" t="str">
        <f>IF(ΣΤΟΙΧΕΙΑ!I44=0,"",ΣΤΟΙΧΕΙΑ!I44)</f>
        <v/>
      </c>
      <c r="J25" s="228" t="str">
        <f>IF(ΣΤΟΙΧΕΙΑ!J44=0,"",ΣΤΟΙΧΕΙΑ!J44)</f>
        <v/>
      </c>
      <c r="K25" s="228" t="str">
        <f>IF(ΣΤΟΙΧΕΙΑ!K44=0,"",ΣΤΟΙΧΕΙΑ!K44)</f>
        <v/>
      </c>
      <c r="L25" s="228" t="str">
        <f>IF(ΣΤΟΙΧΕΙΑ!L44=0,"",ΣΤΟΙΧΕΙΑ!L44)</f>
        <v/>
      </c>
      <c r="M25" s="228" t="str">
        <f>IF(ΣΤΟΙΧΕΙΑ!M44=0,"",ΣΤΟΙΧΕΙΑ!M44)</f>
        <v/>
      </c>
      <c r="N25" s="228" t="str">
        <f>IF(ΣΤΟΙΧΕΙΑ!N44=0,"",ΣΤΟΙΧΕΙΑ!N44)</f>
        <v/>
      </c>
      <c r="O25" s="228" t="str">
        <f>IF(ΣΤΟΙΧΕΙΑ!O44=0,"",ΣΤΟΙΧΕΙΑ!O44)</f>
        <v/>
      </c>
      <c r="P25" s="228" t="str">
        <f>IF(ΣΤΟΙΧΕΙΑ!P44=0,"",ΣΤΟΙΧΕΙΑ!P44)</f>
        <v/>
      </c>
      <c r="Q25" s="147">
        <f t="shared" ca="1" si="5"/>
        <v>178.03119085637255</v>
      </c>
    </row>
    <row r="26" spans="1:17" ht="20.100000000000001" customHeight="1">
      <c r="A26" s="41">
        <f t="shared" si="6"/>
        <v>5</v>
      </c>
      <c r="B26" s="128" t="str">
        <f>IF(Διαμερίσματα!B10="","",Διαμερίσματα!B10)</f>
        <v>Α2</v>
      </c>
      <c r="C26" s="318" t="str">
        <f>IF(Διαμερίσματα!I10="","",Διαμερίσματα!I10)</f>
        <v>Ιδιοκτήτης-5</v>
      </c>
      <c r="D26" s="227" t="str">
        <f>IF(ΣΤΟΙΧΕΙΑ!D45=0,"",ΣΤΟΙΧΕΙΑ!D45)</f>
        <v/>
      </c>
      <c r="E26" s="228">
        <f ca="1">IF(ΣΤΟΙΧΕΙΑ!E45=0,"",ΣΤΟΙΧΕΙΑ!E45)</f>
        <v>164.47440806839413</v>
      </c>
      <c r="F26" s="228" t="str">
        <f>IF(ΣΤΟΙΧΕΙΑ!F45=0,"",ΣΤΟΙΧΕΙΑ!F45)</f>
        <v/>
      </c>
      <c r="G26" s="228" t="str">
        <f>IF(ΣΤΟΙΧΕΙΑ!G45=0,"",ΣΤΟΙΧΕΙΑ!G45)</f>
        <v/>
      </c>
      <c r="H26" s="228" t="str">
        <f>IF(ΣΤΟΙΧΕΙΑ!H45=0,"",ΣΤΟΙΧΕΙΑ!H45)</f>
        <v/>
      </c>
      <c r="I26" s="228" t="str">
        <f>IF(ΣΤΟΙΧΕΙΑ!I45=0,"",ΣΤΟΙΧΕΙΑ!I45)</f>
        <v/>
      </c>
      <c r="J26" s="228" t="str">
        <f>IF(ΣΤΟΙΧΕΙΑ!J45=0,"",ΣΤΟΙΧΕΙΑ!J45)</f>
        <v/>
      </c>
      <c r="K26" s="228" t="str">
        <f>IF(ΣΤΟΙΧΕΙΑ!K45=0,"",ΣΤΟΙΧΕΙΑ!K45)</f>
        <v/>
      </c>
      <c r="L26" s="228" t="str">
        <f>IF(ΣΤΟΙΧΕΙΑ!L45=0,"",ΣΤΟΙΧΕΙΑ!L45)</f>
        <v/>
      </c>
      <c r="M26" s="228" t="str">
        <f>IF(ΣΤΟΙΧΕΙΑ!M45=0,"",ΣΤΟΙΧΕΙΑ!M45)</f>
        <v/>
      </c>
      <c r="N26" s="228" t="str">
        <f>IF(ΣΤΟΙΧΕΙΑ!N45=0,"",ΣΤΟΙΧΕΙΑ!N45)</f>
        <v/>
      </c>
      <c r="O26" s="228" t="str">
        <f>IF(ΣΤΟΙΧΕΙΑ!O45=0,"",ΣΤΟΙΧΕΙΑ!O45)</f>
        <v/>
      </c>
      <c r="P26" s="228" t="str">
        <f>IF(ΣΤΟΙΧΕΙΑ!P45=0,"",ΣΤΟΙΧΕΙΑ!P45)</f>
        <v/>
      </c>
      <c r="Q26" s="147">
        <f t="shared" ca="1" si="5"/>
        <v>164.47440806839413</v>
      </c>
    </row>
    <row r="27" spans="1:17" ht="20.100000000000001" customHeight="1">
      <c r="A27" s="41">
        <f t="shared" si="6"/>
        <v>6</v>
      </c>
      <c r="B27" s="128" t="str">
        <f>IF(Διαμερίσματα!B11="","",Διαμερίσματα!B11)</f>
        <v>Α3</v>
      </c>
      <c r="C27" s="318" t="str">
        <f>IF(Διαμερίσματα!I11="","",Διαμερίσματα!I11)</f>
        <v>Ιδιοκτήτης-6</v>
      </c>
      <c r="D27" s="227" t="str">
        <f>IF(ΣΤΟΙΧΕΙΑ!D46=0,"",ΣΤΟΙΧΕΙΑ!D46)</f>
        <v/>
      </c>
      <c r="E27" s="228">
        <f ca="1">IF(ΣΤΟΙΧΕΙΑ!E46=0,"",ΣΤΟΙΧΕΙΑ!E46)</f>
        <v>29.674311909020545</v>
      </c>
      <c r="F27" s="228" t="str">
        <f>IF(ΣΤΟΙΧΕΙΑ!F46=0,"",ΣΤΟΙΧΕΙΑ!F46)</f>
        <v/>
      </c>
      <c r="G27" s="228" t="str">
        <f>IF(ΣΤΟΙΧΕΙΑ!G46=0,"",ΣΤΟΙΧΕΙΑ!G46)</f>
        <v/>
      </c>
      <c r="H27" s="228" t="str">
        <f>IF(ΣΤΟΙΧΕΙΑ!H46=0,"",ΣΤΟΙΧΕΙΑ!H46)</f>
        <v/>
      </c>
      <c r="I27" s="228" t="str">
        <f>IF(ΣΤΟΙΧΕΙΑ!I46=0,"",ΣΤΟΙΧΕΙΑ!I46)</f>
        <v/>
      </c>
      <c r="J27" s="228" t="str">
        <f>IF(ΣΤΟΙΧΕΙΑ!J46=0,"",ΣΤΟΙΧΕΙΑ!J46)</f>
        <v/>
      </c>
      <c r="K27" s="228" t="str">
        <f>IF(ΣΤΟΙΧΕΙΑ!K46=0,"",ΣΤΟΙΧΕΙΑ!K46)</f>
        <v/>
      </c>
      <c r="L27" s="228" t="str">
        <f>IF(ΣΤΟΙΧΕΙΑ!L46=0,"",ΣΤΟΙΧΕΙΑ!L46)</f>
        <v/>
      </c>
      <c r="M27" s="228" t="str">
        <f>IF(ΣΤΟΙΧΕΙΑ!M46=0,"",ΣΤΟΙΧΕΙΑ!M46)</f>
        <v/>
      </c>
      <c r="N27" s="228" t="str">
        <f>IF(ΣΤΟΙΧΕΙΑ!N46=0,"",ΣΤΟΙΧΕΙΑ!N46)</f>
        <v/>
      </c>
      <c r="O27" s="228" t="str">
        <f>IF(ΣΤΟΙΧΕΙΑ!O46=0,"",ΣΤΟΙΧΕΙΑ!O46)</f>
        <v/>
      </c>
      <c r="P27" s="228" t="str">
        <f>IF(ΣΤΟΙΧΕΙΑ!P46=0,"",ΣΤΟΙΧΕΙΑ!P46)</f>
        <v/>
      </c>
      <c r="Q27" s="147">
        <f t="shared" ca="1" si="5"/>
        <v>29.674311909020545</v>
      </c>
    </row>
    <row r="28" spans="1:17" ht="20.100000000000001" customHeight="1">
      <c r="A28" s="41">
        <f t="shared" si="6"/>
        <v>7</v>
      </c>
      <c r="B28" s="128" t="str">
        <f>IF(Διαμερίσματα!B12="","",Διαμερίσματα!B12)</f>
        <v>Α4</v>
      </c>
      <c r="C28" s="318" t="str">
        <f>IF(Διαμερίσματα!I12="","",Διαμερίσματα!I12)</f>
        <v>Ιδιοκτήτης-7</v>
      </c>
      <c r="D28" s="227" t="str">
        <f>IF(ΣΤΟΙΧΕΙΑ!D47=0,"",ΣΤΟΙΧΕΙΑ!D47)</f>
        <v/>
      </c>
      <c r="E28" s="228">
        <f ca="1">IF(ΣΤΟΙΧΕΙΑ!E47=0,"",ΣΤΟΙΧΕΙΑ!E47)</f>
        <v>78.110430280266428</v>
      </c>
      <c r="F28" s="228" t="str">
        <f>IF(ΣΤΟΙΧΕΙΑ!F47=0,"",ΣΤΟΙΧΕΙΑ!F47)</f>
        <v/>
      </c>
      <c r="G28" s="228" t="str">
        <f>IF(ΣΤΟΙΧΕΙΑ!G47=0,"",ΣΤΟΙΧΕΙΑ!G47)</f>
        <v/>
      </c>
      <c r="H28" s="228" t="str">
        <f>IF(ΣΤΟΙΧΕΙΑ!H47=0,"",ΣΤΟΙΧΕΙΑ!H47)</f>
        <v/>
      </c>
      <c r="I28" s="228" t="str">
        <f>IF(ΣΤΟΙΧΕΙΑ!I47=0,"",ΣΤΟΙΧΕΙΑ!I47)</f>
        <v/>
      </c>
      <c r="J28" s="228" t="str">
        <f>IF(ΣΤΟΙΧΕΙΑ!J47=0,"",ΣΤΟΙΧΕΙΑ!J47)</f>
        <v/>
      </c>
      <c r="K28" s="228" t="str">
        <f>IF(ΣΤΟΙΧΕΙΑ!K47=0,"",ΣΤΟΙΧΕΙΑ!K47)</f>
        <v/>
      </c>
      <c r="L28" s="228" t="str">
        <f>IF(ΣΤΟΙΧΕΙΑ!L47=0,"",ΣΤΟΙΧΕΙΑ!L47)</f>
        <v/>
      </c>
      <c r="M28" s="228" t="str">
        <f>IF(ΣΤΟΙΧΕΙΑ!M47=0,"",ΣΤΟΙΧΕΙΑ!M47)</f>
        <v/>
      </c>
      <c r="N28" s="228" t="str">
        <f>IF(ΣΤΟΙΧΕΙΑ!N47=0,"",ΣΤΟΙΧΕΙΑ!N47)</f>
        <v/>
      </c>
      <c r="O28" s="228" t="str">
        <f>IF(ΣΤΟΙΧΕΙΑ!O47=0,"",ΣΤΟΙΧΕΙΑ!O47)</f>
        <v/>
      </c>
      <c r="P28" s="228" t="str">
        <f>IF(ΣΤΟΙΧΕΙΑ!P47=0,"",ΣΤΟΙΧΕΙΑ!P47)</f>
        <v/>
      </c>
      <c r="Q28" s="147">
        <f t="shared" ca="1" si="5"/>
        <v>78.110430280266428</v>
      </c>
    </row>
    <row r="29" spans="1:17" ht="20.100000000000001" customHeight="1">
      <c r="A29" s="41">
        <f t="shared" si="6"/>
        <v>8</v>
      </c>
      <c r="B29" s="128" t="str">
        <f>IF(Διαμερίσματα!B13="","",Διαμερίσματα!B13)</f>
        <v>Β1</v>
      </c>
      <c r="C29" s="318" t="str">
        <f>IF(Διαμερίσματα!I13="","",Διαμερίσματα!I13)</f>
        <v>Ιδιοκτήτης-8</v>
      </c>
      <c r="D29" s="227" t="str">
        <f>IF(ΣΤΟΙΧΕΙΑ!D48=0,"",ΣΤΟΙΧΕΙΑ!D48)</f>
        <v/>
      </c>
      <c r="E29" s="228">
        <f ca="1">IF(ΣΤΟΙΧΕΙΑ!E48=0,"",ΣΤΟΙΧΕΙΑ!E48)</f>
        <v>77.398602290764842</v>
      </c>
      <c r="F29" s="228" t="str">
        <f>IF(ΣΤΟΙΧΕΙΑ!F48=0,"",ΣΤΟΙΧΕΙΑ!F48)</f>
        <v/>
      </c>
      <c r="G29" s="228" t="str">
        <f>IF(ΣΤΟΙΧΕΙΑ!G48=0,"",ΣΤΟΙΧΕΙΑ!G48)</f>
        <v/>
      </c>
      <c r="H29" s="228" t="str">
        <f>IF(ΣΤΟΙΧΕΙΑ!H48=0,"",ΣΤΟΙΧΕΙΑ!H48)</f>
        <v/>
      </c>
      <c r="I29" s="228" t="str">
        <f>IF(ΣΤΟΙΧΕΙΑ!I48=0,"",ΣΤΟΙΧΕΙΑ!I48)</f>
        <v/>
      </c>
      <c r="J29" s="228" t="str">
        <f>IF(ΣΤΟΙΧΕΙΑ!J48=0,"",ΣΤΟΙΧΕΙΑ!J48)</f>
        <v/>
      </c>
      <c r="K29" s="228" t="str">
        <f>IF(ΣΤΟΙΧΕΙΑ!K48=0,"",ΣΤΟΙΧΕΙΑ!K48)</f>
        <v/>
      </c>
      <c r="L29" s="228" t="str">
        <f>IF(ΣΤΟΙΧΕΙΑ!L48=0,"",ΣΤΟΙΧΕΙΑ!L48)</f>
        <v/>
      </c>
      <c r="M29" s="228" t="str">
        <f>IF(ΣΤΟΙΧΕΙΑ!M48=0,"",ΣΤΟΙΧΕΙΑ!M48)</f>
        <v/>
      </c>
      <c r="N29" s="228" t="str">
        <f>IF(ΣΤΟΙΧΕΙΑ!N48=0,"",ΣΤΟΙΧΕΙΑ!N48)</f>
        <v/>
      </c>
      <c r="O29" s="228" t="str">
        <f>IF(ΣΤΟΙΧΕΙΑ!O48=0,"",ΣΤΟΙΧΕΙΑ!O48)</f>
        <v/>
      </c>
      <c r="P29" s="228" t="str">
        <f>IF(ΣΤΟΙΧΕΙΑ!P48=0,"",ΣΤΟΙΧΕΙΑ!P48)</f>
        <v/>
      </c>
      <c r="Q29" s="147">
        <f t="shared" ca="1" si="5"/>
        <v>77.398602290764842</v>
      </c>
    </row>
    <row r="30" spans="1:17" ht="20.100000000000001" customHeight="1">
      <c r="A30" s="41">
        <f t="shared" si="6"/>
        <v>9</v>
      </c>
      <c r="B30" s="128" t="str">
        <f>IF(Διαμερίσματα!B14="","",Διαμερίσματα!B14)</f>
        <v>Β2</v>
      </c>
      <c r="C30" s="318" t="str">
        <f>IF(Διαμερίσματα!I14="","",Διαμερίσματα!I14)</f>
        <v>Ιδιοκτήτης-9</v>
      </c>
      <c r="D30" s="227" t="str">
        <f>IF(ΣΤΟΙΧΕΙΑ!D49=0,"",ΣΤΟΙΧΕΙΑ!D49)</f>
        <v/>
      </c>
      <c r="E30" s="228">
        <f ca="1">IF(ΣΤΟΙΧΕΙΑ!E49=0,"",ΣΤΟΙΧΕΙΑ!E49)</f>
        <v>133.28128926186497</v>
      </c>
      <c r="F30" s="228" t="str">
        <f>IF(ΣΤΟΙΧΕΙΑ!F49=0,"",ΣΤΟΙΧΕΙΑ!F49)</f>
        <v/>
      </c>
      <c r="G30" s="228" t="str">
        <f>IF(ΣΤΟΙΧΕΙΑ!G49=0,"",ΣΤΟΙΧΕΙΑ!G49)</f>
        <v/>
      </c>
      <c r="H30" s="228" t="str">
        <f>IF(ΣΤΟΙΧΕΙΑ!H49=0,"",ΣΤΟΙΧΕΙΑ!H49)</f>
        <v/>
      </c>
      <c r="I30" s="228" t="str">
        <f>IF(ΣΤΟΙΧΕΙΑ!I49=0,"",ΣΤΟΙΧΕΙΑ!I49)</f>
        <v/>
      </c>
      <c r="J30" s="228" t="str">
        <f>IF(ΣΤΟΙΧΕΙΑ!J49=0,"",ΣΤΟΙΧΕΙΑ!J49)</f>
        <v/>
      </c>
      <c r="K30" s="228" t="str">
        <f>IF(ΣΤΟΙΧΕΙΑ!K49=0,"",ΣΤΟΙΧΕΙΑ!K49)</f>
        <v/>
      </c>
      <c r="L30" s="228" t="str">
        <f>IF(ΣΤΟΙΧΕΙΑ!L49=0,"",ΣΤΟΙΧΕΙΑ!L49)</f>
        <v/>
      </c>
      <c r="M30" s="228" t="str">
        <f>IF(ΣΤΟΙΧΕΙΑ!M49=0,"",ΣΤΟΙΧΕΙΑ!M49)</f>
        <v/>
      </c>
      <c r="N30" s="228" t="str">
        <f>IF(ΣΤΟΙΧΕΙΑ!N49=0,"",ΣΤΟΙΧΕΙΑ!N49)</f>
        <v/>
      </c>
      <c r="O30" s="228" t="str">
        <f>IF(ΣΤΟΙΧΕΙΑ!O49=0,"",ΣΤΟΙΧΕΙΑ!O49)</f>
        <v/>
      </c>
      <c r="P30" s="228" t="str">
        <f>IF(ΣΤΟΙΧΕΙΑ!P49=0,"",ΣΤΟΙΧΕΙΑ!P49)</f>
        <v/>
      </c>
      <c r="Q30" s="147">
        <f t="shared" ca="1" si="5"/>
        <v>133.28128926186497</v>
      </c>
    </row>
    <row r="31" spans="1:17" s="467" customFormat="1" ht="20.100000000000001" customHeight="1">
      <c r="A31" s="41">
        <f t="shared" ref="A31:A32" si="7">IF(B31="","",A30+1)</f>
        <v>10</v>
      </c>
      <c r="B31" s="128" t="str">
        <f>IF(Διαμερίσματα!B15="","",Διαμερίσματα!B15)</f>
        <v>Β3</v>
      </c>
      <c r="C31" s="318" t="str">
        <f>IF(Διαμερίσματα!I15="","",Διαμερίσματα!I15)</f>
        <v>Ιδιοκτήτης-10</v>
      </c>
      <c r="D31" s="227" t="str">
        <f>IF(ΣΤΟΙΧΕΙΑ!D50=0,"",ΣΤΟΙΧΕΙΑ!D50)</f>
        <v/>
      </c>
      <c r="E31" s="228">
        <f ca="1">IF(ΣΤΟΙΧΕΙΑ!E50=0,"",ΣΤΟΙΧΕΙΑ!E50)</f>
        <v>236.65566490196161</v>
      </c>
      <c r="F31" s="228" t="str">
        <f>IF(ΣΤΟΙΧΕΙΑ!F50=0,"",ΣΤΟΙΧΕΙΑ!F50)</f>
        <v/>
      </c>
      <c r="G31" s="228" t="str">
        <f>IF(ΣΤΟΙΧΕΙΑ!G50=0,"",ΣΤΟΙΧΕΙΑ!G50)</f>
        <v/>
      </c>
      <c r="H31" s="228" t="str">
        <f>IF(ΣΤΟΙΧΕΙΑ!H50=0,"",ΣΤΟΙΧΕΙΑ!H50)</f>
        <v/>
      </c>
      <c r="I31" s="228" t="str">
        <f>IF(ΣΤΟΙΧΕΙΑ!I50=0,"",ΣΤΟΙΧΕΙΑ!I50)</f>
        <v/>
      </c>
      <c r="J31" s="228" t="str">
        <f>IF(ΣΤΟΙΧΕΙΑ!J50=0,"",ΣΤΟΙΧΕΙΑ!J50)</f>
        <v/>
      </c>
      <c r="K31" s="228" t="str">
        <f>IF(ΣΤΟΙΧΕΙΑ!K50=0,"",ΣΤΟΙΧΕΙΑ!K50)</f>
        <v/>
      </c>
      <c r="L31" s="228" t="str">
        <f>IF(ΣΤΟΙΧΕΙΑ!L50=0,"",ΣΤΟΙΧΕΙΑ!L50)</f>
        <v/>
      </c>
      <c r="M31" s="228" t="str">
        <f>IF(ΣΤΟΙΧΕΙΑ!M50=0,"",ΣΤΟΙΧΕΙΑ!M50)</f>
        <v/>
      </c>
      <c r="N31" s="228" t="str">
        <f>IF(ΣΤΟΙΧΕΙΑ!N50=0,"",ΣΤΟΙΧΕΙΑ!N50)</f>
        <v/>
      </c>
      <c r="O31" s="228" t="str">
        <f>IF(ΣΤΟΙΧΕΙΑ!O50=0,"",ΣΤΟΙΧΕΙΑ!O50)</f>
        <v/>
      </c>
      <c r="P31" s="228" t="str">
        <f>IF(ΣΤΟΙΧΕΙΑ!P50=0,"",ΣΤΟΙΧΕΙΑ!P50)</f>
        <v/>
      </c>
      <c r="Q31" s="147">
        <f t="shared" ref="Q31:Q32" ca="1" si="8">IF(SUM(D31:P31)=0,"",SUM(D31:P31))</f>
        <v>236.65566490196161</v>
      </c>
    </row>
    <row r="32" spans="1:17" s="467" customFormat="1" ht="20.100000000000001" customHeight="1">
      <c r="A32" s="41">
        <f t="shared" si="7"/>
        <v>11</v>
      </c>
      <c r="B32" s="128" t="str">
        <f>IF(Διαμερίσματα!B16="","",Διαμερίσματα!B16)</f>
        <v>Β4</v>
      </c>
      <c r="C32" s="318" t="str">
        <f>IF(Διαμερίσματα!I16="","",Διαμερίσματα!I16)</f>
        <v>Ιδιοκτήτης-11</v>
      </c>
      <c r="D32" s="227" t="str">
        <f>IF(ΣΤΟΙΧΕΙΑ!D51=0,"",ΣΤΟΙΧΕΙΑ!D51)</f>
        <v/>
      </c>
      <c r="E32" s="228" t="str">
        <f ca="1">IF(ΣΤΟΙΧΕΙΑ!E51=0,"",ΣΤΟΙΧΕΙΑ!E51)</f>
        <v/>
      </c>
      <c r="F32" s="228" t="str">
        <f>IF(ΣΤΟΙΧΕΙΑ!F51=0,"",ΣΤΟΙΧΕΙΑ!F51)</f>
        <v/>
      </c>
      <c r="G32" s="228" t="str">
        <f>IF(ΣΤΟΙΧΕΙΑ!G51=0,"",ΣΤΟΙΧΕΙΑ!G51)</f>
        <v/>
      </c>
      <c r="H32" s="228" t="str">
        <f>IF(ΣΤΟΙΧΕΙΑ!H51=0,"",ΣΤΟΙΧΕΙΑ!H51)</f>
        <v/>
      </c>
      <c r="I32" s="228" t="str">
        <f>IF(ΣΤΟΙΧΕΙΑ!I51=0,"",ΣΤΟΙΧΕΙΑ!I51)</f>
        <v/>
      </c>
      <c r="J32" s="228" t="str">
        <f>IF(ΣΤΟΙΧΕΙΑ!J51=0,"",ΣΤΟΙΧΕΙΑ!J51)</f>
        <v/>
      </c>
      <c r="K32" s="228" t="str">
        <f>IF(ΣΤΟΙΧΕΙΑ!K51=0,"",ΣΤΟΙΧΕΙΑ!K51)</f>
        <v/>
      </c>
      <c r="L32" s="228" t="str">
        <f>IF(ΣΤΟΙΧΕΙΑ!L51=0,"",ΣΤΟΙΧΕΙΑ!L51)</f>
        <v/>
      </c>
      <c r="M32" s="228" t="str">
        <f>IF(ΣΤΟΙΧΕΙΑ!M51=0,"",ΣΤΟΙΧΕΙΑ!M51)</f>
        <v/>
      </c>
      <c r="N32" s="228" t="str">
        <f>IF(ΣΤΟΙΧΕΙΑ!N51=0,"",ΣΤΟΙΧΕΙΑ!N51)</f>
        <v/>
      </c>
      <c r="O32" s="228" t="str">
        <f>IF(ΣΤΟΙΧΕΙΑ!O51=0,"",ΣΤΟΙΧΕΙΑ!O51)</f>
        <v/>
      </c>
      <c r="P32" s="228" t="str">
        <f>IF(ΣΤΟΙΧΕΙΑ!P51=0,"",ΣΤΟΙΧΕΙΑ!P51)</f>
        <v/>
      </c>
      <c r="Q32" s="147" t="str">
        <f t="shared" ca="1" si="8"/>
        <v/>
      </c>
    </row>
    <row r="33" spans="1:17" s="629" customFormat="1" ht="20.100000000000001" customHeight="1">
      <c r="A33" s="41">
        <f t="shared" ref="A33:A43" si="9">IF(B33="","",A32+1)</f>
        <v>12</v>
      </c>
      <c r="B33" s="128" t="str">
        <f>IF(Διαμερίσματα!B17="","",Διαμερίσματα!B17)</f>
        <v>Γ1</v>
      </c>
      <c r="C33" s="318" t="str">
        <f>IF(Διαμερίσματα!I17="","",Διαμερίσματα!I17)</f>
        <v>Ιδιοκτήτης-12</v>
      </c>
      <c r="D33" s="227" t="str">
        <f>IF(ΣΤΟΙΧΕΙΑ!D52=0,"",ΣΤΟΙΧΕΙΑ!D52)</f>
        <v/>
      </c>
      <c r="E33" s="228">
        <f ca="1">IF(ΣΤΟΙΧΕΙΑ!E52=0,"",ΣΤΟΙΧΕΙΑ!E52)</f>
        <v>26.341334434909303</v>
      </c>
      <c r="F33" s="228" t="str">
        <f>IF(ΣΤΟΙΧΕΙΑ!F52=0,"",ΣΤΟΙΧΕΙΑ!F52)</f>
        <v/>
      </c>
      <c r="G33" s="228" t="str">
        <f>IF(ΣΤΟΙΧΕΙΑ!G52=0,"",ΣΤΟΙΧΕΙΑ!G52)</f>
        <v/>
      </c>
      <c r="H33" s="228" t="str">
        <f>IF(ΣΤΟΙΧΕΙΑ!H52=0,"",ΣΤΟΙΧΕΙΑ!H52)</f>
        <v/>
      </c>
      <c r="I33" s="228" t="str">
        <f>IF(ΣΤΟΙΧΕΙΑ!I52=0,"",ΣΤΟΙΧΕΙΑ!I52)</f>
        <v/>
      </c>
      <c r="J33" s="228" t="str">
        <f>IF(ΣΤΟΙΧΕΙΑ!J52=0,"",ΣΤΟΙΧΕΙΑ!J52)</f>
        <v/>
      </c>
      <c r="K33" s="228" t="str">
        <f>IF(ΣΤΟΙΧΕΙΑ!K52=0,"",ΣΤΟΙΧΕΙΑ!K52)</f>
        <v/>
      </c>
      <c r="L33" s="228" t="str">
        <f>IF(ΣΤΟΙΧΕΙΑ!L52=0,"",ΣΤΟΙΧΕΙΑ!L52)</f>
        <v/>
      </c>
      <c r="M33" s="228" t="str">
        <f>IF(ΣΤΟΙΧΕΙΑ!M52=0,"",ΣΤΟΙΧΕΙΑ!M52)</f>
        <v/>
      </c>
      <c r="N33" s="228" t="str">
        <f>IF(ΣΤΟΙΧΕΙΑ!N52=0,"",ΣΤΟΙΧΕΙΑ!N52)</f>
        <v/>
      </c>
      <c r="O33" s="228" t="str">
        <f>IF(ΣΤΟΙΧΕΙΑ!O52=0,"",ΣΤΟΙΧΕΙΑ!O52)</f>
        <v/>
      </c>
      <c r="P33" s="228" t="str">
        <f>IF(ΣΤΟΙΧΕΙΑ!P52=0,"",ΣΤΟΙΧΕΙΑ!P52)</f>
        <v/>
      </c>
      <c r="Q33" s="147">
        <f t="shared" ref="Q33:Q43" ca="1" si="10">IF(SUM(D33:P33)=0,"",SUM(D33:P33))</f>
        <v>26.341334434909303</v>
      </c>
    </row>
    <row r="34" spans="1:17" s="629" customFormat="1" ht="20.100000000000001" customHeight="1">
      <c r="A34" s="41">
        <f t="shared" si="9"/>
        <v>13</v>
      </c>
      <c r="B34" s="128" t="str">
        <f>IF(Διαμερίσματα!B18="","",Διαμερίσματα!B18)</f>
        <v>Γ2</v>
      </c>
      <c r="C34" s="318" t="str">
        <f>IF(Διαμερίσματα!I18="","",Διαμερίσματα!I18)</f>
        <v>Ιδιοκτήτης-13</v>
      </c>
      <c r="D34" s="227" t="str">
        <f>IF(ΣΤΟΙΧΕΙΑ!D53=0,"",ΣΤΟΙΧΕΙΑ!D53)</f>
        <v/>
      </c>
      <c r="E34" s="228">
        <f ca="1">IF(ΣΤΟΙΧΕΙΑ!E53=0,"",ΣΤΟΙΧΕΙΑ!E53)</f>
        <v>26.37122660956501</v>
      </c>
      <c r="F34" s="228" t="str">
        <f>IF(ΣΤΟΙΧΕΙΑ!F53=0,"",ΣΤΟΙΧΕΙΑ!F53)</f>
        <v/>
      </c>
      <c r="G34" s="228" t="str">
        <f>IF(ΣΤΟΙΧΕΙΑ!G53=0,"",ΣΤΟΙΧΕΙΑ!G53)</f>
        <v/>
      </c>
      <c r="H34" s="228" t="str">
        <f>IF(ΣΤΟΙΧΕΙΑ!H53=0,"",ΣΤΟΙΧΕΙΑ!H53)</f>
        <v/>
      </c>
      <c r="I34" s="228" t="str">
        <f>IF(ΣΤΟΙΧΕΙΑ!I53=0,"",ΣΤΟΙΧΕΙΑ!I53)</f>
        <v/>
      </c>
      <c r="J34" s="228" t="str">
        <f>IF(ΣΤΟΙΧΕΙΑ!J53=0,"",ΣΤΟΙΧΕΙΑ!J53)</f>
        <v/>
      </c>
      <c r="K34" s="228" t="str">
        <f>IF(ΣΤΟΙΧΕΙΑ!K53=0,"",ΣΤΟΙΧΕΙΑ!K53)</f>
        <v/>
      </c>
      <c r="L34" s="228" t="str">
        <f>IF(ΣΤΟΙΧΕΙΑ!L53=0,"",ΣΤΟΙΧΕΙΑ!L53)</f>
        <v/>
      </c>
      <c r="M34" s="228" t="str">
        <f>IF(ΣΤΟΙΧΕΙΑ!M53=0,"",ΣΤΟΙΧΕΙΑ!M53)</f>
        <v/>
      </c>
      <c r="N34" s="228" t="str">
        <f>IF(ΣΤΟΙΧΕΙΑ!N53=0,"",ΣΤΟΙΧΕΙΑ!N53)</f>
        <v/>
      </c>
      <c r="O34" s="228" t="str">
        <f>IF(ΣΤΟΙΧΕΙΑ!O53=0,"",ΣΤΟΙΧΕΙΑ!O53)</f>
        <v/>
      </c>
      <c r="P34" s="228" t="str">
        <f>IF(ΣΤΟΙΧΕΙΑ!P53=0,"",ΣΤΟΙΧΕΙΑ!P53)</f>
        <v/>
      </c>
      <c r="Q34" s="147">
        <f t="shared" ca="1" si="10"/>
        <v>26.37122660956501</v>
      </c>
    </row>
    <row r="35" spans="1:17" s="629" customFormat="1" ht="20.100000000000001" customHeight="1">
      <c r="A35" s="41">
        <f t="shared" si="9"/>
        <v>14</v>
      </c>
      <c r="B35" s="128" t="str">
        <f>IF(Διαμερίσματα!B19="","",Διαμερίσματα!B19)</f>
        <v>Γ3</v>
      </c>
      <c r="C35" s="318" t="str">
        <f>IF(Διαμερίσματα!I19="","",Διαμερίσματα!I19)</f>
        <v>Ιδιοκτήτης-14</v>
      </c>
      <c r="D35" s="227" t="str">
        <f>IF(ΣΤΟΙΧΕΙΑ!D54=0,"",ΣΤΟΙΧΕΙΑ!D54)</f>
        <v/>
      </c>
      <c r="E35" s="228">
        <f ca="1">IF(ΣΤΟΙΧΕΙΑ!E54=0,"",ΣΤΟΙΧΕΙΑ!E54)</f>
        <v>26.37122660956501</v>
      </c>
      <c r="F35" s="228" t="str">
        <f>IF(ΣΤΟΙΧΕΙΑ!F54=0,"",ΣΤΟΙΧΕΙΑ!F54)</f>
        <v/>
      </c>
      <c r="G35" s="228" t="str">
        <f>IF(ΣΤΟΙΧΕΙΑ!G54=0,"",ΣΤΟΙΧΕΙΑ!G54)</f>
        <v/>
      </c>
      <c r="H35" s="228" t="str">
        <f>IF(ΣΤΟΙΧΕΙΑ!H54=0,"",ΣΤΟΙΧΕΙΑ!H54)</f>
        <v/>
      </c>
      <c r="I35" s="228" t="str">
        <f>IF(ΣΤΟΙΧΕΙΑ!I54=0,"",ΣΤΟΙΧΕΙΑ!I54)</f>
        <v/>
      </c>
      <c r="J35" s="228" t="str">
        <f>IF(ΣΤΟΙΧΕΙΑ!J54=0,"",ΣΤΟΙΧΕΙΑ!J54)</f>
        <v/>
      </c>
      <c r="K35" s="228" t="str">
        <f>IF(ΣΤΟΙΧΕΙΑ!K54=0,"",ΣΤΟΙΧΕΙΑ!K54)</f>
        <v/>
      </c>
      <c r="L35" s="228" t="str">
        <f>IF(ΣΤΟΙΧΕΙΑ!L54=0,"",ΣΤΟΙΧΕΙΑ!L54)</f>
        <v/>
      </c>
      <c r="M35" s="228" t="str">
        <f>IF(ΣΤΟΙΧΕΙΑ!M54=0,"",ΣΤΟΙΧΕΙΑ!M54)</f>
        <v/>
      </c>
      <c r="N35" s="228" t="str">
        <f>IF(ΣΤΟΙΧΕΙΑ!N54=0,"",ΣΤΟΙΧΕΙΑ!N54)</f>
        <v/>
      </c>
      <c r="O35" s="228" t="str">
        <f>IF(ΣΤΟΙΧΕΙΑ!O54=0,"",ΣΤΟΙΧΕΙΑ!O54)</f>
        <v/>
      </c>
      <c r="P35" s="228" t="str">
        <f>IF(ΣΤΟΙΧΕΙΑ!P54=0,"",ΣΤΟΙΧΕΙΑ!P54)</f>
        <v/>
      </c>
      <c r="Q35" s="147">
        <f t="shared" ca="1" si="10"/>
        <v>26.37122660956501</v>
      </c>
    </row>
    <row r="36" spans="1:17" s="629" customFormat="1" ht="20.100000000000001" customHeight="1">
      <c r="A36" s="41">
        <f t="shared" si="9"/>
        <v>15</v>
      </c>
      <c r="B36" s="128" t="str">
        <f>IF(Διαμερίσματα!B20="","",Διαμερίσματα!B20)</f>
        <v>Γ4</v>
      </c>
      <c r="C36" s="318" t="str">
        <f>IF(Διαμερίσματα!I20="","",Διαμερίσματα!I20)</f>
        <v>Ιδιοκτήτης-15</v>
      </c>
      <c r="D36" s="227" t="str">
        <f>IF(ΣΤΟΙΧΕΙΑ!D55=0,"",ΣΤΟΙΧΕΙΑ!D55)</f>
        <v/>
      </c>
      <c r="E36" s="228">
        <f ca="1">IF(ΣΤΟΙΧΕΙΑ!E55=0,"",ΣΤΟΙΧΕΙΑ!E55)</f>
        <v>26.37122660956501</v>
      </c>
      <c r="F36" s="228" t="str">
        <f>IF(ΣΤΟΙΧΕΙΑ!F55=0,"",ΣΤΟΙΧΕΙΑ!F55)</f>
        <v/>
      </c>
      <c r="G36" s="228" t="str">
        <f>IF(ΣΤΟΙΧΕΙΑ!G55=0,"",ΣΤΟΙΧΕΙΑ!G55)</f>
        <v/>
      </c>
      <c r="H36" s="228" t="str">
        <f>IF(ΣΤΟΙΧΕΙΑ!H55=0,"",ΣΤΟΙΧΕΙΑ!H55)</f>
        <v/>
      </c>
      <c r="I36" s="228" t="str">
        <f>IF(ΣΤΟΙΧΕΙΑ!I55=0,"",ΣΤΟΙΧΕΙΑ!I55)</f>
        <v/>
      </c>
      <c r="J36" s="228" t="str">
        <f>IF(ΣΤΟΙΧΕΙΑ!J55=0,"",ΣΤΟΙΧΕΙΑ!J55)</f>
        <v/>
      </c>
      <c r="K36" s="228" t="str">
        <f>IF(ΣΤΟΙΧΕΙΑ!K55=0,"",ΣΤΟΙΧΕΙΑ!K55)</f>
        <v/>
      </c>
      <c r="L36" s="228" t="str">
        <f>IF(ΣΤΟΙΧΕΙΑ!L55=0,"",ΣΤΟΙΧΕΙΑ!L55)</f>
        <v/>
      </c>
      <c r="M36" s="228" t="str">
        <f>IF(ΣΤΟΙΧΕΙΑ!M55=0,"",ΣΤΟΙΧΕΙΑ!M55)</f>
        <v/>
      </c>
      <c r="N36" s="228" t="str">
        <f>IF(ΣΤΟΙΧΕΙΑ!N55=0,"",ΣΤΟΙΧΕΙΑ!N55)</f>
        <v/>
      </c>
      <c r="O36" s="228" t="str">
        <f>IF(ΣΤΟΙΧΕΙΑ!O55=0,"",ΣΤΟΙΧΕΙΑ!O55)</f>
        <v/>
      </c>
      <c r="P36" s="228" t="str">
        <f>IF(ΣΤΟΙΧΕΙΑ!P55=0,"",ΣΤΟΙΧΕΙΑ!P55)</f>
        <v/>
      </c>
      <c r="Q36" s="147">
        <f t="shared" ca="1" si="10"/>
        <v>26.37122660956501</v>
      </c>
    </row>
    <row r="37" spans="1:17" s="629" customFormat="1" ht="20.100000000000001" customHeight="1">
      <c r="A37" s="41">
        <f t="shared" si="9"/>
        <v>16</v>
      </c>
      <c r="B37" s="128" t="str">
        <f>IF(Διαμερίσματα!B21="","",Διαμερίσματα!B21)</f>
        <v>Δ1</v>
      </c>
      <c r="C37" s="318" t="str">
        <f>IF(Διαμερίσματα!I21="","",Διαμερίσματα!I21)</f>
        <v>Ιδιοκτήτης-16</v>
      </c>
      <c r="D37" s="227" t="str">
        <f>IF(ΣΤΟΙΧΕΙΑ!D56=0,"",ΣΤΟΙΧΕΙΑ!D56)</f>
        <v/>
      </c>
      <c r="E37" s="228">
        <f ca="1">IF(ΣΤΟΙΧΕΙΑ!E56=0,"",ΣΤΟΙΧΕΙΑ!E56)</f>
        <v>26.37122660956501</v>
      </c>
      <c r="F37" s="228" t="str">
        <f>IF(ΣΤΟΙΧΕΙΑ!F56=0,"",ΣΤΟΙΧΕΙΑ!F56)</f>
        <v/>
      </c>
      <c r="G37" s="228" t="str">
        <f>IF(ΣΤΟΙΧΕΙΑ!G56=0,"",ΣΤΟΙΧΕΙΑ!G56)</f>
        <v/>
      </c>
      <c r="H37" s="228" t="str">
        <f>IF(ΣΤΟΙΧΕΙΑ!H56=0,"",ΣΤΟΙΧΕΙΑ!H56)</f>
        <v/>
      </c>
      <c r="I37" s="228" t="str">
        <f>IF(ΣΤΟΙΧΕΙΑ!I56=0,"",ΣΤΟΙΧΕΙΑ!I56)</f>
        <v/>
      </c>
      <c r="J37" s="228" t="str">
        <f>IF(ΣΤΟΙΧΕΙΑ!J56=0,"",ΣΤΟΙΧΕΙΑ!J56)</f>
        <v/>
      </c>
      <c r="K37" s="228" t="str">
        <f>IF(ΣΤΟΙΧΕΙΑ!K56=0,"",ΣΤΟΙΧΕΙΑ!K56)</f>
        <v/>
      </c>
      <c r="L37" s="228" t="str">
        <f>IF(ΣΤΟΙΧΕΙΑ!L56=0,"",ΣΤΟΙΧΕΙΑ!L56)</f>
        <v/>
      </c>
      <c r="M37" s="228" t="str">
        <f>IF(ΣΤΟΙΧΕΙΑ!M56=0,"",ΣΤΟΙΧΕΙΑ!M56)</f>
        <v/>
      </c>
      <c r="N37" s="228" t="str">
        <f>IF(ΣΤΟΙΧΕΙΑ!N56=0,"",ΣΤΟΙΧΕΙΑ!N56)</f>
        <v/>
      </c>
      <c r="O37" s="228" t="str">
        <f>IF(ΣΤΟΙΧΕΙΑ!O56=0,"",ΣΤΟΙΧΕΙΑ!O56)</f>
        <v/>
      </c>
      <c r="P37" s="228" t="str">
        <f>IF(ΣΤΟΙΧΕΙΑ!P56=0,"",ΣΤΟΙΧΕΙΑ!P56)</f>
        <v/>
      </c>
      <c r="Q37" s="147">
        <f t="shared" ca="1" si="10"/>
        <v>26.37122660956501</v>
      </c>
    </row>
    <row r="38" spans="1:17" s="629" customFormat="1" ht="20.100000000000001" customHeight="1">
      <c r="A38" s="41">
        <f t="shared" si="9"/>
        <v>17</v>
      </c>
      <c r="B38" s="128" t="str">
        <f>IF(Διαμερίσματα!B22="","",Διαμερίσματα!B22)</f>
        <v>Δ2</v>
      </c>
      <c r="C38" s="318" t="str">
        <f>IF(Διαμερίσματα!I22="","",Διαμερίσματα!I22)</f>
        <v>Ιδιοκτήτης-17</v>
      </c>
      <c r="D38" s="227" t="str">
        <f>IF(ΣΤΟΙΧΕΙΑ!D57=0,"",ΣΤΟΙΧΕΙΑ!D57)</f>
        <v/>
      </c>
      <c r="E38" s="228">
        <f ca="1">IF(ΣΤΟΙΧΕΙΑ!E57=0,"",ΣΤΟΙΧΕΙΑ!E57)</f>
        <v>26.37122660956501</v>
      </c>
      <c r="F38" s="228" t="str">
        <f>IF(ΣΤΟΙΧΕΙΑ!F57=0,"",ΣΤΟΙΧΕΙΑ!F57)</f>
        <v/>
      </c>
      <c r="G38" s="228" t="str">
        <f>IF(ΣΤΟΙΧΕΙΑ!G57=0,"",ΣΤΟΙΧΕΙΑ!G57)</f>
        <v/>
      </c>
      <c r="H38" s="228" t="str">
        <f>IF(ΣΤΟΙΧΕΙΑ!H57=0,"",ΣΤΟΙΧΕΙΑ!H57)</f>
        <v/>
      </c>
      <c r="I38" s="228" t="str">
        <f>IF(ΣΤΟΙΧΕΙΑ!I57=0,"",ΣΤΟΙΧΕΙΑ!I57)</f>
        <v/>
      </c>
      <c r="J38" s="228" t="str">
        <f>IF(ΣΤΟΙΧΕΙΑ!J57=0,"",ΣΤΟΙΧΕΙΑ!J57)</f>
        <v/>
      </c>
      <c r="K38" s="228" t="str">
        <f>IF(ΣΤΟΙΧΕΙΑ!K57=0,"",ΣΤΟΙΧΕΙΑ!K57)</f>
        <v/>
      </c>
      <c r="L38" s="228" t="str">
        <f>IF(ΣΤΟΙΧΕΙΑ!L57=0,"",ΣΤΟΙΧΕΙΑ!L57)</f>
        <v/>
      </c>
      <c r="M38" s="228" t="str">
        <f>IF(ΣΤΟΙΧΕΙΑ!M57=0,"",ΣΤΟΙΧΕΙΑ!M57)</f>
        <v/>
      </c>
      <c r="N38" s="228" t="str">
        <f>IF(ΣΤΟΙΧΕΙΑ!N57=0,"",ΣΤΟΙΧΕΙΑ!N57)</f>
        <v/>
      </c>
      <c r="O38" s="228" t="str">
        <f>IF(ΣΤΟΙΧΕΙΑ!O57=0,"",ΣΤΟΙΧΕΙΑ!O57)</f>
        <v/>
      </c>
      <c r="P38" s="228" t="str">
        <f>IF(ΣΤΟΙΧΕΙΑ!P57=0,"",ΣΤΟΙΧΕΙΑ!P57)</f>
        <v/>
      </c>
      <c r="Q38" s="147">
        <f t="shared" ca="1" si="10"/>
        <v>26.37122660956501</v>
      </c>
    </row>
    <row r="39" spans="1:17" s="629" customFormat="1" ht="20.100000000000001" customHeight="1">
      <c r="A39" s="41">
        <f t="shared" si="9"/>
        <v>18</v>
      </c>
      <c r="B39" s="128" t="str">
        <f>IF(Διαμερίσματα!B23="","",Διαμερίσματα!B23)</f>
        <v>Δ3</v>
      </c>
      <c r="C39" s="318" t="str">
        <f>IF(Διαμερίσματα!I23="","",Διαμερίσματα!I23)</f>
        <v>Ιδιοκτήτης-18</v>
      </c>
      <c r="D39" s="227" t="str">
        <f>IF(ΣΤΟΙΧΕΙΑ!D58=0,"",ΣΤΟΙΧΕΙΑ!D58)</f>
        <v/>
      </c>
      <c r="E39" s="228">
        <f ca="1">IF(ΣΤΟΙΧΕΙΑ!E58=0,"",ΣΤΟΙΧΕΙΑ!E58)</f>
        <v>26.518445453577037</v>
      </c>
      <c r="F39" s="228" t="str">
        <f>IF(ΣΤΟΙΧΕΙΑ!F58=0,"",ΣΤΟΙΧΕΙΑ!F58)</f>
        <v/>
      </c>
      <c r="G39" s="228" t="str">
        <f>IF(ΣΤΟΙΧΕΙΑ!G58=0,"",ΣΤΟΙΧΕΙΑ!G58)</f>
        <v/>
      </c>
      <c r="H39" s="228" t="str">
        <f>IF(ΣΤΟΙΧΕΙΑ!H58=0,"",ΣΤΟΙΧΕΙΑ!H58)</f>
        <v/>
      </c>
      <c r="I39" s="228" t="str">
        <f>IF(ΣΤΟΙΧΕΙΑ!I58=0,"",ΣΤΟΙΧΕΙΑ!I58)</f>
        <v/>
      </c>
      <c r="J39" s="228" t="str">
        <f>IF(ΣΤΟΙΧΕΙΑ!J58=0,"",ΣΤΟΙΧΕΙΑ!J58)</f>
        <v/>
      </c>
      <c r="K39" s="228" t="str">
        <f>IF(ΣΤΟΙΧΕΙΑ!K58=0,"",ΣΤΟΙΧΕΙΑ!K58)</f>
        <v/>
      </c>
      <c r="L39" s="228" t="str">
        <f>IF(ΣΤΟΙΧΕΙΑ!L58=0,"",ΣΤΟΙΧΕΙΑ!L58)</f>
        <v/>
      </c>
      <c r="M39" s="228" t="str">
        <f>IF(ΣΤΟΙΧΕΙΑ!M58=0,"",ΣΤΟΙΧΕΙΑ!M58)</f>
        <v/>
      </c>
      <c r="N39" s="228" t="str">
        <f>IF(ΣΤΟΙΧΕΙΑ!N58=0,"",ΣΤΟΙΧΕΙΑ!N58)</f>
        <v/>
      </c>
      <c r="O39" s="228" t="str">
        <f>IF(ΣΤΟΙΧΕΙΑ!O58=0,"",ΣΤΟΙΧΕΙΑ!O58)</f>
        <v/>
      </c>
      <c r="P39" s="228" t="str">
        <f>IF(ΣΤΟΙΧΕΙΑ!P58=0,"",ΣΤΟΙΧΕΙΑ!P58)</f>
        <v/>
      </c>
      <c r="Q39" s="147">
        <f t="shared" ca="1" si="10"/>
        <v>26.518445453577037</v>
      </c>
    </row>
    <row r="40" spans="1:17" s="629" customFormat="1" ht="20.100000000000001" customHeight="1">
      <c r="A40" s="41">
        <f t="shared" si="9"/>
        <v>19</v>
      </c>
      <c r="B40" s="128" t="str">
        <f>IF(Διαμερίσματα!B24="","",Διαμερίσματα!B24)</f>
        <v>Δ4</v>
      </c>
      <c r="C40" s="318" t="str">
        <f>IF(Διαμερίσματα!I24="","",Διαμερίσματα!I24)</f>
        <v>Ιδιοκτήτης-19</v>
      </c>
      <c r="D40" s="227" t="str">
        <f>IF(ΣΤΟΙΧΕΙΑ!D59=0,"",ΣΤΟΙΧΕΙΑ!D59)</f>
        <v/>
      </c>
      <c r="E40" s="228">
        <f ca="1">IF(ΣΤΟΙΧΕΙΑ!E59=0,"",ΣΤΟΙΧΕΙΑ!E59)</f>
        <v>26.37122660956501</v>
      </c>
      <c r="F40" s="228" t="str">
        <f>IF(ΣΤΟΙΧΕΙΑ!F59=0,"",ΣΤΟΙΧΕΙΑ!F59)</f>
        <v/>
      </c>
      <c r="G40" s="228" t="str">
        <f>IF(ΣΤΟΙΧΕΙΑ!G59=0,"",ΣΤΟΙΧΕΙΑ!G59)</f>
        <v/>
      </c>
      <c r="H40" s="228" t="str">
        <f>IF(ΣΤΟΙΧΕΙΑ!H59=0,"",ΣΤΟΙΧΕΙΑ!H59)</f>
        <v/>
      </c>
      <c r="I40" s="228" t="str">
        <f>IF(ΣΤΟΙΧΕΙΑ!I59=0,"",ΣΤΟΙΧΕΙΑ!I59)</f>
        <v/>
      </c>
      <c r="J40" s="228" t="str">
        <f>IF(ΣΤΟΙΧΕΙΑ!J59=0,"",ΣΤΟΙΧΕΙΑ!J59)</f>
        <v/>
      </c>
      <c r="K40" s="228" t="str">
        <f>IF(ΣΤΟΙΧΕΙΑ!K59=0,"",ΣΤΟΙΧΕΙΑ!K59)</f>
        <v/>
      </c>
      <c r="L40" s="228" t="str">
        <f>IF(ΣΤΟΙΧΕΙΑ!L59=0,"",ΣΤΟΙΧΕΙΑ!L59)</f>
        <v/>
      </c>
      <c r="M40" s="228" t="str">
        <f>IF(ΣΤΟΙΧΕΙΑ!M59=0,"",ΣΤΟΙΧΕΙΑ!M59)</f>
        <v/>
      </c>
      <c r="N40" s="228" t="str">
        <f>IF(ΣΤΟΙΧΕΙΑ!N59=0,"",ΣΤΟΙΧΕΙΑ!N59)</f>
        <v/>
      </c>
      <c r="O40" s="228" t="str">
        <f>IF(ΣΤΟΙΧΕΙΑ!O59=0,"",ΣΤΟΙΧΕΙΑ!O59)</f>
        <v/>
      </c>
      <c r="P40" s="228" t="str">
        <f>IF(ΣΤΟΙΧΕΙΑ!P59=0,"",ΣΤΟΙΧΕΙΑ!P59)</f>
        <v/>
      </c>
      <c r="Q40" s="147">
        <f t="shared" ca="1" si="10"/>
        <v>26.37122660956501</v>
      </c>
    </row>
    <row r="41" spans="1:17" s="629" customFormat="1" ht="20.100000000000001" customHeight="1">
      <c r="A41" s="41">
        <f t="shared" si="9"/>
        <v>20</v>
      </c>
      <c r="B41" s="128" t="str">
        <f>IF(Διαμερίσματα!B25="","",Διαμερίσματα!B25)</f>
        <v>Ε1</v>
      </c>
      <c r="C41" s="318" t="str">
        <f>IF(Διαμερίσματα!I25="","",Διαμερίσματα!I25)</f>
        <v>Ιδιοκτήτης-20</v>
      </c>
      <c r="D41" s="227" t="str">
        <f>IF(ΣΤΟΙΧΕΙΑ!D60=0,"",ΣΤΟΙΧΕΙΑ!D60)</f>
        <v/>
      </c>
      <c r="E41" s="228">
        <f ca="1">IF(ΣΤΟΙΧΕΙΑ!E60=0,"",ΣΤΟΙΧΕΙΑ!E60)</f>
        <v>26.37122660956501</v>
      </c>
      <c r="F41" s="228" t="str">
        <f>IF(ΣΤΟΙΧΕΙΑ!F60=0,"",ΣΤΟΙΧΕΙΑ!F60)</f>
        <v/>
      </c>
      <c r="G41" s="228" t="str">
        <f>IF(ΣΤΟΙΧΕΙΑ!G60=0,"",ΣΤΟΙΧΕΙΑ!G60)</f>
        <v/>
      </c>
      <c r="H41" s="228" t="str">
        <f>IF(ΣΤΟΙΧΕΙΑ!H60=0,"",ΣΤΟΙΧΕΙΑ!H60)</f>
        <v/>
      </c>
      <c r="I41" s="228" t="str">
        <f>IF(ΣΤΟΙΧΕΙΑ!I60=0,"",ΣΤΟΙΧΕΙΑ!I60)</f>
        <v/>
      </c>
      <c r="J41" s="228" t="str">
        <f>IF(ΣΤΟΙΧΕΙΑ!J60=0,"",ΣΤΟΙΧΕΙΑ!J60)</f>
        <v/>
      </c>
      <c r="K41" s="228" t="str">
        <f>IF(ΣΤΟΙΧΕΙΑ!K60=0,"",ΣΤΟΙΧΕΙΑ!K60)</f>
        <v/>
      </c>
      <c r="L41" s="228" t="str">
        <f>IF(ΣΤΟΙΧΕΙΑ!L60=0,"",ΣΤΟΙΧΕΙΑ!L60)</f>
        <v/>
      </c>
      <c r="M41" s="228" t="str">
        <f>IF(ΣΤΟΙΧΕΙΑ!M60=0,"",ΣΤΟΙΧΕΙΑ!M60)</f>
        <v/>
      </c>
      <c r="N41" s="228" t="str">
        <f>IF(ΣΤΟΙΧΕΙΑ!N60=0,"",ΣΤΟΙΧΕΙΑ!N60)</f>
        <v/>
      </c>
      <c r="O41" s="228" t="str">
        <f>IF(ΣΤΟΙΧΕΙΑ!O60=0,"",ΣΤΟΙΧΕΙΑ!O60)</f>
        <v/>
      </c>
      <c r="P41" s="228" t="str">
        <f>IF(ΣΤΟΙΧΕΙΑ!P60=0,"",ΣΤΟΙΧΕΙΑ!P60)</f>
        <v/>
      </c>
      <c r="Q41" s="147">
        <f t="shared" ca="1" si="10"/>
        <v>26.37122660956501</v>
      </c>
    </row>
    <row r="42" spans="1:17" s="629" customFormat="1" ht="20.100000000000001" customHeight="1">
      <c r="A42" s="41">
        <f t="shared" si="9"/>
        <v>21</v>
      </c>
      <c r="B42" s="128" t="str">
        <f>IF(Διαμερίσματα!B26="","",Διαμερίσματα!B26)</f>
        <v>Ε2</v>
      </c>
      <c r="C42" s="318" t="str">
        <f>IF(Διαμερίσματα!I26="","",Διαμερίσματα!I26)</f>
        <v>Ιδιοκτήτης-21</v>
      </c>
      <c r="D42" s="227" t="str">
        <f>IF(ΣΤΟΙΧΕΙΑ!D61=0,"",ΣΤΟΙΧΕΙΑ!D61)</f>
        <v/>
      </c>
      <c r="E42" s="228">
        <f ca="1">IF(ΣΤΟΙΧΕΙΑ!E61=0,"",ΣΤΟΙΧΕΙΑ!E61)</f>
        <v>26.37122660956501</v>
      </c>
      <c r="F42" s="228" t="str">
        <f>IF(ΣΤΟΙΧΕΙΑ!F61=0,"",ΣΤΟΙΧΕΙΑ!F61)</f>
        <v/>
      </c>
      <c r="G42" s="228" t="str">
        <f>IF(ΣΤΟΙΧΕΙΑ!G61=0,"",ΣΤΟΙΧΕΙΑ!G61)</f>
        <v/>
      </c>
      <c r="H42" s="228" t="str">
        <f>IF(ΣΤΟΙΧΕΙΑ!H61=0,"",ΣΤΟΙΧΕΙΑ!H61)</f>
        <v/>
      </c>
      <c r="I42" s="228" t="str">
        <f>IF(ΣΤΟΙΧΕΙΑ!I61=0,"",ΣΤΟΙΧΕΙΑ!I61)</f>
        <v/>
      </c>
      <c r="J42" s="228" t="str">
        <f>IF(ΣΤΟΙΧΕΙΑ!J61=0,"",ΣΤΟΙΧΕΙΑ!J61)</f>
        <v/>
      </c>
      <c r="K42" s="228" t="str">
        <f>IF(ΣΤΟΙΧΕΙΑ!K61=0,"",ΣΤΟΙΧΕΙΑ!K61)</f>
        <v/>
      </c>
      <c r="L42" s="228" t="str">
        <f>IF(ΣΤΟΙΧΕΙΑ!L61=0,"",ΣΤΟΙΧΕΙΑ!L61)</f>
        <v/>
      </c>
      <c r="M42" s="228" t="str">
        <f>IF(ΣΤΟΙΧΕΙΑ!M61=0,"",ΣΤΟΙΧΕΙΑ!M61)</f>
        <v/>
      </c>
      <c r="N42" s="228" t="str">
        <f>IF(ΣΤΟΙΧΕΙΑ!N61=0,"",ΣΤΟΙΧΕΙΑ!N61)</f>
        <v/>
      </c>
      <c r="O42" s="228" t="str">
        <f>IF(ΣΤΟΙΧΕΙΑ!O61=0,"",ΣΤΟΙΧΕΙΑ!O61)</f>
        <v/>
      </c>
      <c r="P42" s="228" t="str">
        <f>IF(ΣΤΟΙΧΕΙΑ!P61=0,"",ΣΤΟΙΧΕΙΑ!P61)</f>
        <v/>
      </c>
      <c r="Q42" s="147">
        <f t="shared" ca="1" si="10"/>
        <v>26.37122660956501</v>
      </c>
    </row>
    <row r="43" spans="1:17" s="467" customFormat="1" ht="20.100000000000001" customHeight="1">
      <c r="A43" s="41">
        <f t="shared" si="9"/>
        <v>22</v>
      </c>
      <c r="B43" s="128" t="str">
        <f>IF(Διαμερίσματα!B27="","",Διαμερίσματα!B27)</f>
        <v>Ε3</v>
      </c>
      <c r="C43" s="318" t="str">
        <f>IF(Διαμερίσματα!I27="","",Διαμερίσματα!I27)</f>
        <v>Ιδιοκτήτης-22</v>
      </c>
      <c r="D43" s="227" t="str">
        <f>IF(ΣΤΟΙΧΕΙΑ!D62=0,"",ΣΤΟΙΧΕΙΑ!D62)</f>
        <v/>
      </c>
      <c r="E43" s="228" t="str">
        <f ca="1">IF(ΣΤΟΙΧΕΙΑ!E62=0,"",ΣΤΟΙΧΕΙΑ!E62)</f>
        <v/>
      </c>
      <c r="F43" s="228" t="str">
        <f>IF(ΣΤΟΙΧΕΙΑ!F62=0,"",ΣΤΟΙΧΕΙΑ!F62)</f>
        <v/>
      </c>
      <c r="G43" s="228" t="str">
        <f>IF(ΣΤΟΙΧΕΙΑ!G62=0,"",ΣΤΟΙΧΕΙΑ!G62)</f>
        <v/>
      </c>
      <c r="H43" s="228" t="str">
        <f>IF(ΣΤΟΙΧΕΙΑ!H62=0,"",ΣΤΟΙΧΕΙΑ!H62)</f>
        <v/>
      </c>
      <c r="I43" s="228" t="str">
        <f>IF(ΣΤΟΙΧΕΙΑ!I62=0,"",ΣΤΟΙΧΕΙΑ!I62)</f>
        <v/>
      </c>
      <c r="J43" s="228" t="str">
        <f>IF(ΣΤΟΙΧΕΙΑ!J62=0,"",ΣΤΟΙΧΕΙΑ!J62)</f>
        <v/>
      </c>
      <c r="K43" s="228" t="str">
        <f>IF(ΣΤΟΙΧΕΙΑ!K62=0,"",ΣΤΟΙΧΕΙΑ!K62)</f>
        <v/>
      </c>
      <c r="L43" s="228" t="str">
        <f>IF(ΣΤΟΙΧΕΙΑ!L62=0,"",ΣΤΟΙΧΕΙΑ!L62)</f>
        <v/>
      </c>
      <c r="M43" s="228" t="str">
        <f>IF(ΣΤΟΙΧΕΙΑ!M62=0,"",ΣΤΟΙΧΕΙΑ!M62)</f>
        <v/>
      </c>
      <c r="N43" s="228" t="str">
        <f>IF(ΣΤΟΙΧΕΙΑ!N62=0,"",ΣΤΟΙΧΕΙΑ!N62)</f>
        <v/>
      </c>
      <c r="O43" s="228" t="str">
        <f>IF(ΣΤΟΙΧΕΙΑ!O62=0,"",ΣΤΟΙΧΕΙΑ!O62)</f>
        <v/>
      </c>
      <c r="P43" s="228" t="str">
        <f>IF(ΣΤΟΙΧΕΙΑ!P62=0,"",ΣΤΟΙΧΕΙΑ!P62)</f>
        <v/>
      </c>
      <c r="Q43" s="147" t="str">
        <f t="shared" ca="1" si="10"/>
        <v/>
      </c>
    </row>
    <row r="44" spans="1:17" s="6" customFormat="1">
      <c r="A44" s="748" t="s">
        <v>92</v>
      </c>
      <c r="B44" s="748"/>
      <c r="C44" s="748"/>
      <c r="D44" s="441" t="str">
        <f>IF(ΣΤΟΙΧΕΙΑ!D63=0,"",ΣΤΟΙΧΕΙΑ!D63)</f>
        <v/>
      </c>
      <c r="E44" s="445">
        <f ca="1">IF(ΣΤΟΙΧΕΙΑ!E63=0,"",ΣΤΟΙΧΕΙΑ!E63)</f>
        <v>1479.9999999999995</v>
      </c>
      <c r="F44" s="445" t="str">
        <f>IF(ΣΤΟΙΧΕΙΑ!F63=0,"",ΣΤΟΙΧΕΙΑ!F63)</f>
        <v/>
      </c>
      <c r="G44" s="445" t="str">
        <f>IF(ΣΤΟΙΧΕΙΑ!G63=0,"",ΣΤΟΙΧΕΙΑ!G63)</f>
        <v/>
      </c>
      <c r="H44" s="445" t="str">
        <f>IF(ΣΤΟΙΧΕΙΑ!H63=0,"",ΣΤΟΙΧΕΙΑ!H63)</f>
        <v/>
      </c>
      <c r="I44" s="445" t="str">
        <f>IF(ΣΤΟΙΧΕΙΑ!I63=0,"",ΣΤΟΙΧΕΙΑ!I63)</f>
        <v/>
      </c>
      <c r="J44" s="445" t="str">
        <f>IF(ΣΤΟΙΧΕΙΑ!J63=0,"",ΣΤΟΙΧΕΙΑ!J63)</f>
        <v/>
      </c>
      <c r="K44" s="445" t="str">
        <f>IF(ΣΤΟΙΧΕΙΑ!K63=0,"",ΣΤΟΙΧΕΙΑ!K63)</f>
        <v/>
      </c>
      <c r="L44" s="445" t="str">
        <f>IF(ΣΤΟΙΧΕΙΑ!L63=0,"",ΣΤΟΙΧΕΙΑ!L63)</f>
        <v/>
      </c>
      <c r="M44" s="445" t="str">
        <f>IF(ΣΤΟΙΧΕΙΑ!M63=0,"",ΣΤΟΙΧΕΙΑ!M63)</f>
        <v/>
      </c>
      <c r="N44" s="445" t="str">
        <f>IF(ΣΤΟΙΧΕΙΑ!N63=0,"",ΣΤΟΙΧΕΙΑ!N63)</f>
        <v/>
      </c>
      <c r="O44" s="445" t="str">
        <f>IF(ΣΤΟΙΧΕΙΑ!O63=0,"",ΣΤΟΙΧΕΙΑ!O63)</f>
        <v/>
      </c>
      <c r="P44" s="445" t="str">
        <f>IF(ΣΤΟΙΧΕΙΑ!P63=0,"",ΣΤΟΙΧΕΙΑ!P63)</f>
        <v/>
      </c>
      <c r="Q44" s="148">
        <f ca="1">SUM(Q22:Q43)</f>
        <v>1479.9999999999995</v>
      </c>
    </row>
    <row r="45" spans="1:17" ht="39.950000000000003" customHeight="1"/>
    <row r="46" spans="1:17" ht="125.1" customHeight="1">
      <c r="F46" s="969" t="s">
        <v>183</v>
      </c>
      <c r="G46" s="969"/>
      <c r="H46" s="969"/>
      <c r="I46" s="969"/>
      <c r="J46" s="969"/>
      <c r="K46" s="969"/>
      <c r="L46" s="969"/>
      <c r="M46" s="969"/>
      <c r="N46" s="969"/>
      <c r="O46" s="969"/>
      <c r="P46" s="969"/>
      <c r="Q46" s="969"/>
    </row>
    <row r="47" spans="1:17" ht="11.1" customHeight="1">
      <c r="A47" s="967" t="s">
        <v>24</v>
      </c>
      <c r="B47" s="967" t="s">
        <v>180</v>
      </c>
      <c r="C47" s="967" t="s">
        <v>32</v>
      </c>
      <c r="D47" s="437">
        <f>D2</f>
        <v>40848</v>
      </c>
      <c r="E47" s="437">
        <f t="shared" ref="E47:P47" si="11">E2</f>
        <v>40878</v>
      </c>
      <c r="F47" s="437">
        <f t="shared" si="11"/>
        <v>40909</v>
      </c>
      <c r="G47" s="437">
        <f t="shared" si="11"/>
        <v>40940</v>
      </c>
      <c r="H47" s="437">
        <f t="shared" si="11"/>
        <v>40969</v>
      </c>
      <c r="I47" s="437">
        <f t="shared" si="11"/>
        <v>41000</v>
      </c>
      <c r="J47" s="437">
        <f t="shared" si="11"/>
        <v>41030</v>
      </c>
      <c r="K47" s="437">
        <f t="shared" si="11"/>
        <v>41061</v>
      </c>
      <c r="L47" s="437">
        <f t="shared" si="11"/>
        <v>41091</v>
      </c>
      <c r="M47" s="437">
        <f t="shared" si="11"/>
        <v>41122</v>
      </c>
      <c r="N47" s="437">
        <f t="shared" si="11"/>
        <v>41153</v>
      </c>
      <c r="O47" s="437">
        <f t="shared" si="11"/>
        <v>41183</v>
      </c>
      <c r="P47" s="437">
        <f t="shared" si="11"/>
        <v>41214</v>
      </c>
      <c r="Q47" s="970" t="s">
        <v>23</v>
      </c>
    </row>
    <row r="48" spans="1:17" ht="11.1" customHeight="1">
      <c r="A48" s="968"/>
      <c r="B48" s="968"/>
      <c r="C48" s="968"/>
      <c r="D48" s="438"/>
      <c r="E48" s="292"/>
      <c r="F48" s="292"/>
      <c r="G48" s="292"/>
      <c r="H48" s="292"/>
      <c r="I48" s="292"/>
      <c r="J48" s="292"/>
      <c r="K48" s="439"/>
      <c r="L48" s="440"/>
      <c r="M48" s="440"/>
      <c r="N48" s="440"/>
      <c r="O48" s="440"/>
      <c r="P48" s="440"/>
      <c r="Q48" s="971"/>
    </row>
    <row r="49" spans="1:17" ht="11.1" customHeight="1">
      <c r="A49" s="300">
        <f>A4</f>
        <v>1</v>
      </c>
      <c r="B49" s="300">
        <f t="shared" ref="B49:P49" si="12">B4</f>
        <v>2</v>
      </c>
      <c r="C49" s="300">
        <f t="shared" si="12"/>
        <v>3</v>
      </c>
      <c r="D49" s="300">
        <f t="shared" si="12"/>
        <v>4</v>
      </c>
      <c r="E49" s="300">
        <f t="shared" si="12"/>
        <v>5</v>
      </c>
      <c r="F49" s="300">
        <f t="shared" si="12"/>
        <v>6</v>
      </c>
      <c r="G49" s="300">
        <f t="shared" si="12"/>
        <v>7</v>
      </c>
      <c r="H49" s="300">
        <f t="shared" si="12"/>
        <v>8</v>
      </c>
      <c r="I49" s="300">
        <f t="shared" si="12"/>
        <v>9</v>
      </c>
      <c r="J49" s="300">
        <f t="shared" si="12"/>
        <v>10</v>
      </c>
      <c r="K49" s="300">
        <f t="shared" si="12"/>
        <v>11</v>
      </c>
      <c r="L49" s="300">
        <f t="shared" si="12"/>
        <v>12</v>
      </c>
      <c r="M49" s="300">
        <f t="shared" si="12"/>
        <v>13</v>
      </c>
      <c r="N49" s="300">
        <f t="shared" si="12"/>
        <v>14</v>
      </c>
      <c r="O49" s="300">
        <f t="shared" si="12"/>
        <v>15</v>
      </c>
      <c r="P49" s="300">
        <f t="shared" si="12"/>
        <v>16</v>
      </c>
      <c r="Q49" s="972"/>
    </row>
    <row r="50" spans="1:17" ht="30" customHeight="1">
      <c r="A50" s="41">
        <f>IF(B50="","",1)</f>
        <v>1</v>
      </c>
      <c r="B50" s="303" t="str">
        <f>Δαπάνες!B9</f>
        <v>Α1</v>
      </c>
      <c r="C50" s="318" t="str">
        <f>IF(Δαπάνες!D9="","",Δαπάνες!D9)</f>
        <v>ΔΕΗ Κοινόχρηστων Χώρων</v>
      </c>
      <c r="D50" s="442" t="str">
        <f>IF(ΣΤΟΙΧΕΙΑ!D25=0,"",ΣΤΟΙΧΕΙΑ!D25)</f>
        <v/>
      </c>
      <c r="E50" s="442">
        <f>IF(ΣΤΟΙΧΕΙΑ!E25=0,"",ΣΤΟΙΧΕΙΑ!E25)</f>
        <v>100</v>
      </c>
      <c r="F50" s="442" t="str">
        <f>IF(ΣΤΟΙΧΕΙΑ!F25=0,"",ΣΤΟΙΧΕΙΑ!F25)</f>
        <v/>
      </c>
      <c r="G50" s="442" t="str">
        <f>IF(ΣΤΟΙΧΕΙΑ!G25=0,"",ΣΤΟΙΧΕΙΑ!G25)</f>
        <v/>
      </c>
      <c r="H50" s="442" t="str">
        <f>IF(ΣΤΟΙΧΕΙΑ!H25=0,"",ΣΤΟΙΧΕΙΑ!H25)</f>
        <v/>
      </c>
      <c r="I50" s="442" t="str">
        <f>IF(ΣΤΟΙΧΕΙΑ!I25=0,"",ΣΤΟΙΧΕΙΑ!I25)</f>
        <v/>
      </c>
      <c r="J50" s="442" t="str">
        <f>IF(ΣΤΟΙΧΕΙΑ!J25=0,"",ΣΤΟΙΧΕΙΑ!J25)</f>
        <v/>
      </c>
      <c r="K50" s="442" t="str">
        <f>IF(ΣΤΟΙΧΕΙΑ!K25=0,"",ΣΤΟΙΧΕΙΑ!K25)</f>
        <v/>
      </c>
      <c r="L50" s="442" t="str">
        <f>IF(ΣΤΟΙΧΕΙΑ!L25=0,"",ΣΤΟΙΧΕΙΑ!L25)</f>
        <v/>
      </c>
      <c r="M50" s="442" t="str">
        <f>IF(ΣΤΟΙΧΕΙΑ!M25=0,"",ΣΤΟΙΧΕΙΑ!M25)</f>
        <v/>
      </c>
      <c r="N50" s="442" t="str">
        <f>IF(ΣΤΟΙΧΕΙΑ!N25=0,"",ΣΤΟΙΧΕΙΑ!N25)</f>
        <v/>
      </c>
      <c r="O50" s="442" t="str">
        <f>IF(ΣΤΟΙΧΕΙΑ!O25=0,"",ΣΤΟΙΧΕΙΑ!O25)</f>
        <v/>
      </c>
      <c r="P50" s="442" t="str">
        <f>IF(ΣΤΟΙΧΕΙΑ!P25=0,"",ΣΤΟΙΧΕΙΑ!P25)</f>
        <v/>
      </c>
      <c r="Q50" s="147">
        <f t="shared" ref="Q50:Q61" si="13">IF(SUM(D50:P50)=0,"",SUM(D50:P50))</f>
        <v>100</v>
      </c>
    </row>
    <row r="51" spans="1:17" ht="30" customHeight="1">
      <c r="A51" s="41">
        <f>IF(B51="","",A50+1)</f>
        <v>2</v>
      </c>
      <c r="B51" s="303" t="str">
        <f>Δαπάνες!B10</f>
        <v>Α2</v>
      </c>
      <c r="C51" s="318" t="str">
        <f>IF(Δαπάνες!D10="","",Δαπάνες!D10)</f>
        <v>Καθαρισμός Κοινόχρηστων Χώρων</v>
      </c>
      <c r="D51" s="442" t="str">
        <f>IF(ΣΤΟΙΧΕΙΑ!D26=0,"",ΣΤΟΙΧΕΙΑ!D26)</f>
        <v/>
      </c>
      <c r="E51" s="442">
        <f>IF(ΣΤΟΙΧΕΙΑ!E26=0,"",ΣΤΟΙΧΕΙΑ!E26)</f>
        <v>70</v>
      </c>
      <c r="F51" s="442" t="str">
        <f>IF(ΣΤΟΙΧΕΙΑ!F26=0,"",ΣΤΟΙΧΕΙΑ!F26)</f>
        <v/>
      </c>
      <c r="G51" s="442" t="str">
        <f>IF(ΣΤΟΙΧΕΙΑ!G26=0,"",ΣΤΟΙΧΕΙΑ!G26)</f>
        <v/>
      </c>
      <c r="H51" s="442" t="str">
        <f>IF(ΣΤΟΙΧΕΙΑ!H26=0,"",ΣΤΟΙΧΕΙΑ!H26)</f>
        <v/>
      </c>
      <c r="I51" s="442" t="str">
        <f>IF(ΣΤΟΙΧΕΙΑ!I26=0,"",ΣΤΟΙΧΕΙΑ!I26)</f>
        <v/>
      </c>
      <c r="J51" s="442" t="str">
        <f>IF(ΣΤΟΙΧΕΙΑ!J26=0,"",ΣΤΟΙΧΕΙΑ!J26)</f>
        <v/>
      </c>
      <c r="K51" s="442" t="str">
        <f>IF(ΣΤΟΙΧΕΙΑ!K26=0,"",ΣΤΟΙΧΕΙΑ!K26)</f>
        <v/>
      </c>
      <c r="L51" s="442" t="str">
        <f>IF(ΣΤΟΙΧΕΙΑ!L26=0,"",ΣΤΟΙΧΕΙΑ!L26)</f>
        <v/>
      </c>
      <c r="M51" s="442" t="str">
        <f>IF(ΣΤΟΙΧΕΙΑ!M26=0,"",ΣΤΟΙΧΕΙΑ!M26)</f>
        <v/>
      </c>
      <c r="N51" s="442" t="str">
        <f>IF(ΣΤΟΙΧΕΙΑ!N26=0,"",ΣΤΟΙΧΕΙΑ!N26)</f>
        <v/>
      </c>
      <c r="O51" s="442" t="str">
        <f>IF(ΣΤΟΙΧΕΙΑ!O26=0,"",ΣΤΟΙΧΕΙΑ!O26)</f>
        <v/>
      </c>
      <c r="P51" s="442" t="str">
        <f>IF(ΣΤΟΙΧΕΙΑ!P26=0,"",ΣΤΟΙΧΕΙΑ!P26)</f>
        <v/>
      </c>
      <c r="Q51" s="147">
        <f t="shared" si="13"/>
        <v>70</v>
      </c>
    </row>
    <row r="52" spans="1:17" ht="30" customHeight="1">
      <c r="A52" s="41">
        <f t="shared" ref="A52:A61" si="14">IF(B52="","",A51+1)</f>
        <v>3</v>
      </c>
      <c r="B52" s="303" t="str">
        <f>Δαπάνες!B11</f>
        <v>Α3</v>
      </c>
      <c r="C52" s="318" t="str">
        <f>IF(Δαπάνες!D11="","",Δαπάνες!D11)</f>
        <v>Υλικά Αναλώσιμα (Λάμπες κλπ)</v>
      </c>
      <c r="D52" s="442" t="str">
        <f>IF(ΣΤΟΙΧΕΙΑ!D27=0,"",ΣΤΟΙΧΕΙΑ!D27)</f>
        <v/>
      </c>
      <c r="E52" s="442">
        <f>IF(ΣΤΟΙΧΕΙΑ!E27=0,"",ΣΤΟΙΧΕΙΑ!E27)</f>
        <v>10</v>
      </c>
      <c r="F52" s="442" t="str">
        <f>IF(ΣΤΟΙΧΕΙΑ!F27=0,"",ΣΤΟΙΧΕΙΑ!F27)</f>
        <v/>
      </c>
      <c r="G52" s="442" t="str">
        <f>IF(ΣΤΟΙΧΕΙΑ!G27=0,"",ΣΤΟΙΧΕΙΑ!G27)</f>
        <v/>
      </c>
      <c r="H52" s="442" t="str">
        <f>IF(ΣΤΟΙΧΕΙΑ!H27=0,"",ΣΤΟΙΧΕΙΑ!H27)</f>
        <v/>
      </c>
      <c r="I52" s="442" t="str">
        <f>IF(ΣΤΟΙΧΕΙΑ!I27=0,"",ΣΤΟΙΧΕΙΑ!I27)</f>
        <v/>
      </c>
      <c r="J52" s="442" t="str">
        <f>IF(ΣΤΟΙΧΕΙΑ!J27=0,"",ΣΤΟΙΧΕΙΑ!J27)</f>
        <v/>
      </c>
      <c r="K52" s="442" t="str">
        <f>IF(ΣΤΟΙΧΕΙΑ!K27=0,"",ΣΤΟΙΧΕΙΑ!K27)</f>
        <v/>
      </c>
      <c r="L52" s="442" t="str">
        <f>IF(ΣΤΟΙΧΕΙΑ!L27=0,"",ΣΤΟΙΧΕΙΑ!L27)</f>
        <v/>
      </c>
      <c r="M52" s="442" t="str">
        <f>IF(ΣΤΟΙΧΕΙΑ!M27=0,"",ΣΤΟΙΧΕΙΑ!M27)</f>
        <v/>
      </c>
      <c r="N52" s="442" t="str">
        <f>IF(ΣΤΟΙΧΕΙΑ!N27=0,"",ΣΤΟΙΧΕΙΑ!N27)</f>
        <v/>
      </c>
      <c r="O52" s="442" t="str">
        <f>IF(ΣΤΟΙΧΕΙΑ!O27=0,"",ΣΤΟΙΧΕΙΑ!O27)</f>
        <v/>
      </c>
      <c r="P52" s="442" t="str">
        <f>IF(ΣΤΟΙΧΕΙΑ!P27=0,"",ΣΤΟΙΧΕΙΑ!P27)</f>
        <v/>
      </c>
      <c r="Q52" s="147">
        <f t="shared" si="13"/>
        <v>10</v>
      </c>
    </row>
    <row r="53" spans="1:17" ht="30" customHeight="1">
      <c r="A53" s="41">
        <f t="shared" si="14"/>
        <v>4</v>
      </c>
      <c r="B53" s="250" t="str">
        <f>Δαπάνες!B12</f>
        <v>Β1</v>
      </c>
      <c r="C53" s="318" t="str">
        <f>IF(Δαπάνες!D12="","",Δαπάνες!D12)</f>
        <v>Συντήρηση Ανελκυστήρα</v>
      </c>
      <c r="D53" s="442" t="str">
        <f>IF(ΣΤΟΙΧΕΙΑ!D28=0,"",ΣΤΟΙΧΕΙΑ!D28)</f>
        <v/>
      </c>
      <c r="E53" s="442">
        <f>IF(ΣΤΟΙΧΕΙΑ!E28=0,"",ΣΤΟΙΧΕΙΑ!E28)</f>
        <v>50</v>
      </c>
      <c r="F53" s="442" t="str">
        <f>IF(ΣΤΟΙΧΕΙΑ!F28=0,"",ΣΤΟΙΧΕΙΑ!F28)</f>
        <v/>
      </c>
      <c r="G53" s="442" t="str">
        <f>IF(ΣΤΟΙΧΕΙΑ!G28=0,"",ΣΤΟΙΧΕΙΑ!G28)</f>
        <v/>
      </c>
      <c r="H53" s="442" t="str">
        <f>IF(ΣΤΟΙΧΕΙΑ!H28=0,"",ΣΤΟΙΧΕΙΑ!H28)</f>
        <v/>
      </c>
      <c r="I53" s="442" t="str">
        <f>IF(ΣΤΟΙΧΕΙΑ!I28=0,"",ΣΤΟΙΧΕΙΑ!I28)</f>
        <v/>
      </c>
      <c r="J53" s="442" t="str">
        <f>IF(ΣΤΟΙΧΕΙΑ!J28=0,"",ΣΤΟΙΧΕΙΑ!J28)</f>
        <v/>
      </c>
      <c r="K53" s="442" t="str">
        <f>IF(ΣΤΟΙΧΕΙΑ!K28=0,"",ΣΤΟΙΧΕΙΑ!K28)</f>
        <v/>
      </c>
      <c r="L53" s="442" t="str">
        <f>IF(ΣΤΟΙΧΕΙΑ!L28=0,"",ΣΤΟΙΧΕΙΑ!L28)</f>
        <v/>
      </c>
      <c r="M53" s="442" t="str">
        <f>IF(ΣΤΟΙΧΕΙΑ!M28=0,"",ΣΤΟΙΧΕΙΑ!M28)</f>
        <v/>
      </c>
      <c r="N53" s="442" t="str">
        <f>IF(ΣΤΟΙΧΕΙΑ!N28=0,"",ΣΤΟΙΧΕΙΑ!N28)</f>
        <v/>
      </c>
      <c r="O53" s="442" t="str">
        <f>IF(ΣΤΟΙΧΕΙΑ!O28=0,"",ΣΤΟΙΧΕΙΑ!O28)</f>
        <v/>
      </c>
      <c r="P53" s="442" t="str">
        <f>IF(ΣΤΟΙΧΕΙΑ!P28=0,"",ΣΤΟΙΧΕΙΑ!P28)</f>
        <v/>
      </c>
      <c r="Q53" s="147">
        <f t="shared" si="13"/>
        <v>50</v>
      </c>
    </row>
    <row r="54" spans="1:17" ht="30" customHeight="1">
      <c r="A54" s="41">
        <f t="shared" si="14"/>
        <v>5</v>
      </c>
      <c r="B54" s="304" t="str">
        <f>Δαπάνες!B13</f>
        <v>Γ1</v>
      </c>
      <c r="C54" s="318" t="str">
        <f>IF(Δαπάνες!D13="","",Δαπάνες!D13)</f>
        <v>Συντήρηση Κήπου</v>
      </c>
      <c r="D54" s="442" t="str">
        <f>IF(ΣΤΟΙΧΕΙΑ!D29=0,"",ΣΤΟΙΧΕΙΑ!D29)</f>
        <v/>
      </c>
      <c r="E54" s="442">
        <f>IF(ΣΤΟΙΧΕΙΑ!E29=0,"",ΣΤΟΙΧΕΙΑ!E29)</f>
        <v>60</v>
      </c>
      <c r="F54" s="442" t="str">
        <f>IF(ΣΤΟΙΧΕΙΑ!F29=0,"",ΣΤΟΙΧΕΙΑ!F29)</f>
        <v/>
      </c>
      <c r="G54" s="442" t="str">
        <f>IF(ΣΤΟΙΧΕΙΑ!G29=0,"",ΣΤΟΙΧΕΙΑ!G29)</f>
        <v/>
      </c>
      <c r="H54" s="442" t="str">
        <f>IF(ΣΤΟΙΧΕΙΑ!H29=0,"",ΣΤΟΙΧΕΙΑ!H29)</f>
        <v/>
      </c>
      <c r="I54" s="442" t="str">
        <f>IF(ΣΤΟΙΧΕΙΑ!I29=0,"",ΣΤΟΙΧΕΙΑ!I29)</f>
        <v/>
      </c>
      <c r="J54" s="442" t="str">
        <f>IF(ΣΤΟΙΧΕΙΑ!J29=0,"",ΣΤΟΙΧΕΙΑ!J29)</f>
        <v/>
      </c>
      <c r="K54" s="442" t="str">
        <f>IF(ΣΤΟΙΧΕΙΑ!K29=0,"",ΣΤΟΙΧΕΙΑ!K29)</f>
        <v/>
      </c>
      <c r="L54" s="442" t="str">
        <f>IF(ΣΤΟΙΧΕΙΑ!L29=0,"",ΣΤΟΙΧΕΙΑ!L29)</f>
        <v/>
      </c>
      <c r="M54" s="442" t="str">
        <f>IF(ΣΤΟΙΧΕΙΑ!M29=0,"",ΣΤΟΙΧΕΙΑ!M29)</f>
        <v/>
      </c>
      <c r="N54" s="442" t="str">
        <f>IF(ΣΤΟΙΧΕΙΑ!N29=0,"",ΣΤΟΙΧΕΙΑ!N29)</f>
        <v/>
      </c>
      <c r="O54" s="442" t="str">
        <f>IF(ΣΤΟΙΧΕΙΑ!O29=0,"",ΣΤΟΙΧΕΙΑ!O29)</f>
        <v/>
      </c>
      <c r="P54" s="442" t="str">
        <f>IF(ΣΤΟΙΧΕΙΑ!P29=0,"",ΣΤΟΙΧΕΙΑ!P29)</f>
        <v/>
      </c>
      <c r="Q54" s="147">
        <f t="shared" si="13"/>
        <v>60</v>
      </c>
    </row>
    <row r="55" spans="1:17" ht="30" customHeight="1">
      <c r="A55" s="41">
        <f t="shared" si="14"/>
        <v>6</v>
      </c>
      <c r="B55" s="304" t="str">
        <f>Δαπάνες!B14</f>
        <v>Γ2</v>
      </c>
      <c r="C55" s="318" t="str">
        <f>IF(Δαπάνες!D14="","",Δαπάνες!D14)</f>
        <v>ΕΥΔΑΠ (Νερό) Κοινόχρηστων Χώρων</v>
      </c>
      <c r="D55" s="442" t="str">
        <f>IF(ΣΤΟΙΧΕΙΑ!D30=0,"",ΣΤΟΙΧΕΙΑ!D30)</f>
        <v/>
      </c>
      <c r="E55" s="442">
        <f>IF(ΣΤΟΙΧΕΙΑ!E30=0,"",ΣΤΟΙΧΕΙΑ!E30)</f>
        <v>20</v>
      </c>
      <c r="F55" s="442" t="str">
        <f>IF(ΣΤΟΙΧΕΙΑ!F30=0,"",ΣΤΟΙΧΕΙΑ!F30)</f>
        <v/>
      </c>
      <c r="G55" s="442" t="str">
        <f>IF(ΣΤΟΙΧΕΙΑ!G30=0,"",ΣΤΟΙΧΕΙΑ!G30)</f>
        <v/>
      </c>
      <c r="H55" s="442" t="str">
        <f>IF(ΣΤΟΙΧΕΙΑ!H30=0,"",ΣΤΟΙΧΕΙΑ!H30)</f>
        <v/>
      </c>
      <c r="I55" s="442" t="str">
        <f>IF(ΣΤΟΙΧΕΙΑ!I30=0,"",ΣΤΟΙΧΕΙΑ!I30)</f>
        <v/>
      </c>
      <c r="J55" s="442" t="str">
        <f>IF(ΣΤΟΙΧΕΙΑ!J30=0,"",ΣΤΟΙΧΕΙΑ!J30)</f>
        <v/>
      </c>
      <c r="K55" s="442" t="str">
        <f>IF(ΣΤΟΙΧΕΙΑ!K30=0,"",ΣΤΟΙΧΕΙΑ!K30)</f>
        <v/>
      </c>
      <c r="L55" s="442" t="str">
        <f>IF(ΣΤΟΙΧΕΙΑ!L30=0,"",ΣΤΟΙΧΕΙΑ!L30)</f>
        <v/>
      </c>
      <c r="M55" s="442" t="str">
        <f>IF(ΣΤΟΙΧΕΙΑ!M30=0,"",ΣΤΟΙΧΕΙΑ!M30)</f>
        <v/>
      </c>
      <c r="N55" s="442" t="str">
        <f>IF(ΣΤΟΙΧΕΙΑ!N30=0,"",ΣΤΟΙΧΕΙΑ!N30)</f>
        <v/>
      </c>
      <c r="O55" s="442" t="str">
        <f>IF(ΣΤΟΙΧΕΙΑ!O30=0,"",ΣΤΟΙΧΕΙΑ!O30)</f>
        <v/>
      </c>
      <c r="P55" s="442" t="str">
        <f>IF(ΣΤΟΙΧΕΙΑ!P30=0,"",ΣΤΟΙΧΕΙΑ!P30)</f>
        <v/>
      </c>
      <c r="Q55" s="147">
        <f t="shared" si="13"/>
        <v>20</v>
      </c>
    </row>
    <row r="56" spans="1:17" ht="30" customHeight="1">
      <c r="A56" s="41">
        <f t="shared" si="14"/>
        <v>7</v>
      </c>
      <c r="B56" s="303" t="str">
        <f>Δαπάνες!B15</f>
        <v>Δ1</v>
      </c>
      <c r="C56" s="443" t="str">
        <f>IF(Δαπάνες!D15="","",Δαπάνες!D15)</f>
        <v>Πετρέλαιο Αυτόνομης Θέρμανσης</v>
      </c>
      <c r="D56" s="444" t="str">
        <f>IF(ΣΤΟΙΧΕΙΑ!D31=0,"",ΣΤΟΙΧΕΙΑ!D31)</f>
        <v/>
      </c>
      <c r="E56" s="444">
        <f>IF(ΣΤΟΙΧΕΙΑ!E31=0,"",ΣΤΟΙΧΕΙΑ!E31)</f>
        <v>700</v>
      </c>
      <c r="F56" s="444">
        <f>IF(ΣΤΟΙΧΕΙΑ!F31=0,"",ΣΤΟΙΧΕΙΑ!F31)</f>
        <v>390</v>
      </c>
      <c r="G56" s="444" t="str">
        <f>IF(ΣΤΟΙΧΕΙΑ!G31=0,"",ΣΤΟΙΧΕΙΑ!G31)</f>
        <v/>
      </c>
      <c r="H56" s="444" t="str">
        <f>IF(ΣΤΟΙΧΕΙΑ!H31=0,"",ΣΤΟΙΧΕΙΑ!H31)</f>
        <v/>
      </c>
      <c r="I56" s="444" t="str">
        <f>IF(ΣΤΟΙΧΕΙΑ!I31=0,"",ΣΤΟΙΧΕΙΑ!I31)</f>
        <v/>
      </c>
      <c r="J56" s="444" t="str">
        <f>IF(ΣΤΟΙΧΕΙΑ!J31=0,"",ΣΤΟΙΧΕΙΑ!J31)</f>
        <v/>
      </c>
      <c r="K56" s="444" t="str">
        <f>IF(ΣΤΟΙΧΕΙΑ!K31=0,"",ΣΤΟΙΧΕΙΑ!K31)</f>
        <v/>
      </c>
      <c r="L56" s="444" t="str">
        <f>IF(ΣΤΟΙΧΕΙΑ!L31=0,"",ΣΤΟΙΧΕΙΑ!L31)</f>
        <v/>
      </c>
      <c r="M56" s="444" t="str">
        <f>IF(ΣΤΟΙΧΕΙΑ!M31=0,"",ΣΤΟΙΧΕΙΑ!M31)</f>
        <v/>
      </c>
      <c r="N56" s="444" t="str">
        <f>IF(ΣΤΟΙΧΕΙΑ!N31=0,"",ΣΤΟΙΧΕΙΑ!N31)</f>
        <v/>
      </c>
      <c r="O56" s="444" t="str">
        <f>IF(ΣΤΟΙΧΕΙΑ!O31=0,"",ΣΤΟΙΧΕΙΑ!O31)</f>
        <v/>
      </c>
      <c r="P56" s="444" t="str">
        <f>IF(ΣΤΟΙΧΕΙΑ!P31=0,"",ΣΤΟΙΧΕΙΑ!P31)</f>
        <v/>
      </c>
      <c r="Q56" s="162">
        <f t="shared" si="13"/>
        <v>1090</v>
      </c>
    </row>
    <row r="57" spans="1:17" ht="30" customHeight="1">
      <c r="A57" s="41">
        <f t="shared" si="14"/>
        <v>8</v>
      </c>
      <c r="B57" s="303" t="str">
        <f>Δαπάνες!B16</f>
        <v>Δ2</v>
      </c>
      <c r="C57" s="318" t="str">
        <f>IF(Δαπάνες!D16="","",Δαπάνες!D16)</f>
        <v>Συντήρηση Καυστήρα</v>
      </c>
      <c r="D57" s="442" t="str">
        <f>IF(ΣΤΟΙΧΕΙΑ!D32=0,"",ΣΤΟΙΧΕΙΑ!D32)</f>
        <v/>
      </c>
      <c r="E57" s="442">
        <f>IF(ΣΤΟΙΧΕΙΑ!E32=0,"",ΣΤΟΙΧΕΙΑ!E32)</f>
        <v>70</v>
      </c>
      <c r="F57" s="442" t="str">
        <f>IF(ΣΤΟΙΧΕΙΑ!F32=0,"",ΣΤΟΙΧΕΙΑ!F32)</f>
        <v/>
      </c>
      <c r="G57" s="442" t="str">
        <f>IF(ΣΤΟΙΧΕΙΑ!G32=0,"",ΣΤΟΙΧΕΙΑ!G32)</f>
        <v/>
      </c>
      <c r="H57" s="442" t="str">
        <f>IF(ΣΤΟΙΧΕΙΑ!H32=0,"",ΣΤΟΙΧΕΙΑ!H32)</f>
        <v/>
      </c>
      <c r="I57" s="442" t="str">
        <f>IF(ΣΤΟΙΧΕΙΑ!I32=0,"",ΣΤΟΙΧΕΙΑ!I32)</f>
        <v/>
      </c>
      <c r="J57" s="442" t="str">
        <f>IF(ΣΤΟΙΧΕΙΑ!J32=0,"",ΣΤΟΙΧΕΙΑ!J32)</f>
        <v/>
      </c>
      <c r="K57" s="442" t="str">
        <f>IF(ΣΤΟΙΧΕΙΑ!K32=0,"",ΣΤΟΙΧΕΙΑ!K32)</f>
        <v/>
      </c>
      <c r="L57" s="442" t="str">
        <f>IF(ΣΤΟΙΧΕΙΑ!L32=0,"",ΣΤΟΙΧΕΙΑ!L32)</f>
        <v/>
      </c>
      <c r="M57" s="442" t="str">
        <f>IF(ΣΤΟΙΧΕΙΑ!M32=0,"",ΣΤΟΙΧΕΙΑ!M32)</f>
        <v/>
      </c>
      <c r="N57" s="442" t="str">
        <f>IF(ΣΤΟΙΧΕΙΑ!N32=0,"",ΣΤΟΙΧΕΙΑ!N32)</f>
        <v/>
      </c>
      <c r="O57" s="442" t="str">
        <f>IF(ΣΤΟΙΧΕΙΑ!O32=0,"",ΣΤΟΙΧΕΙΑ!O32)</f>
        <v/>
      </c>
      <c r="P57" s="442" t="str">
        <f>IF(ΣΤΟΙΧΕΙΑ!P32=0,"",ΣΤΟΙΧΕΙΑ!P32)</f>
        <v/>
      </c>
      <c r="Q57" s="147">
        <f t="shared" si="13"/>
        <v>70</v>
      </c>
    </row>
    <row r="58" spans="1:17" ht="30" customHeight="1">
      <c r="A58" s="41">
        <f t="shared" si="14"/>
        <v>9</v>
      </c>
      <c r="B58" s="250" t="str">
        <f>Δαπάνες!B17</f>
        <v>Ε1</v>
      </c>
      <c r="C58" s="318" t="str">
        <f>IF(Δαπάνες!D17="","",Δαπάνες!D17)</f>
        <v>Συντήρηση Πολυκατοικίας</v>
      </c>
      <c r="D58" s="442" t="str">
        <f>IF(ΣΤΟΙΧΕΙΑ!D33=0,"",ΣΤΟΙΧΕΙΑ!D33)</f>
        <v/>
      </c>
      <c r="E58" s="442">
        <f>IF(ΣΤΟΙΧΕΙΑ!E33=0,"",ΣΤΟΙΧΕΙΑ!E33)</f>
        <v>100</v>
      </c>
      <c r="F58" s="442" t="str">
        <f>IF(ΣΤΟΙΧΕΙΑ!F33=0,"",ΣΤΟΙΧΕΙΑ!F33)</f>
        <v/>
      </c>
      <c r="G58" s="442" t="str">
        <f>IF(ΣΤΟΙΧΕΙΑ!G33=0,"",ΣΤΟΙΧΕΙΑ!G33)</f>
        <v/>
      </c>
      <c r="H58" s="442" t="str">
        <f>IF(ΣΤΟΙΧΕΙΑ!H33=0,"",ΣΤΟΙΧΕΙΑ!H33)</f>
        <v/>
      </c>
      <c r="I58" s="442" t="str">
        <f>IF(ΣΤΟΙΧΕΙΑ!I33=0,"",ΣΤΟΙΧΕΙΑ!I33)</f>
        <v/>
      </c>
      <c r="J58" s="442" t="str">
        <f>IF(ΣΤΟΙΧΕΙΑ!J33=0,"",ΣΤΟΙΧΕΙΑ!J33)</f>
        <v/>
      </c>
      <c r="K58" s="442" t="str">
        <f>IF(ΣΤΟΙΧΕΙΑ!K33=0,"",ΣΤΟΙΧΕΙΑ!K33)</f>
        <v/>
      </c>
      <c r="L58" s="442" t="str">
        <f>IF(ΣΤΟΙΧΕΙΑ!L33=0,"",ΣΤΟΙΧΕΙΑ!L33)</f>
        <v/>
      </c>
      <c r="M58" s="442" t="str">
        <f>IF(ΣΤΟΙΧΕΙΑ!M33=0,"",ΣΤΟΙΧΕΙΑ!M33)</f>
        <v/>
      </c>
      <c r="N58" s="442" t="str">
        <f>IF(ΣΤΟΙΧΕΙΑ!N33=0,"",ΣΤΟΙΧΕΙΑ!N33)</f>
        <v/>
      </c>
      <c r="O58" s="442" t="str">
        <f>IF(ΣΤΟΙΧΕΙΑ!O33=0,"",ΣΤΟΙΧΕΙΑ!O33)</f>
        <v/>
      </c>
      <c r="P58" s="442" t="str">
        <f>IF(ΣΤΟΙΧΕΙΑ!P33=0,"",ΣΤΟΙΧΕΙΑ!P33)</f>
        <v/>
      </c>
      <c r="Q58" s="147">
        <f t="shared" si="13"/>
        <v>100</v>
      </c>
    </row>
    <row r="59" spans="1:17" ht="30" customHeight="1">
      <c r="A59" s="41">
        <f t="shared" si="14"/>
        <v>10</v>
      </c>
      <c r="B59" s="304" t="str">
        <f>Δαπάνες!B18</f>
        <v>Ζ1</v>
      </c>
      <c r="C59" s="318" t="str">
        <f>IF(Δαπάνες!D18="","",Δαπάνες!D18)</f>
        <v>Πάγιο Αποθεματικό</v>
      </c>
      <c r="D59" s="442" t="str">
        <f>IF(ΣΤΟΙΧΕΙΑ!D34=0,"",ΣΤΟΙΧΕΙΑ!D34)</f>
        <v/>
      </c>
      <c r="E59" s="442">
        <f>IF(ΣΤΟΙΧΕΙΑ!E34=0,"",ΣΤΟΙΧΕΙΑ!E34)</f>
        <v>200</v>
      </c>
      <c r="F59" s="442" t="str">
        <f>IF(ΣΤΟΙΧΕΙΑ!F34=0,"",ΣΤΟΙΧΕΙΑ!F34)</f>
        <v/>
      </c>
      <c r="G59" s="442" t="str">
        <f>IF(ΣΤΟΙΧΕΙΑ!G34=0,"",ΣΤΟΙΧΕΙΑ!G34)</f>
        <v/>
      </c>
      <c r="H59" s="442" t="str">
        <f>IF(ΣΤΟΙΧΕΙΑ!H34=0,"",ΣΤΟΙΧΕΙΑ!H34)</f>
        <v/>
      </c>
      <c r="I59" s="442" t="str">
        <f>IF(ΣΤΟΙΧΕΙΑ!I34=0,"",ΣΤΟΙΧΕΙΑ!I34)</f>
        <v/>
      </c>
      <c r="J59" s="442" t="str">
        <f>IF(ΣΤΟΙΧΕΙΑ!J34=0,"",ΣΤΟΙΧΕΙΑ!J34)</f>
        <v/>
      </c>
      <c r="K59" s="442" t="str">
        <f>IF(ΣΤΟΙΧΕΙΑ!K34=0,"",ΣΤΟΙΧΕΙΑ!K34)</f>
        <v/>
      </c>
      <c r="L59" s="442" t="str">
        <f>IF(ΣΤΟΙΧΕΙΑ!L34=0,"",ΣΤΟΙΧΕΙΑ!L34)</f>
        <v/>
      </c>
      <c r="M59" s="442" t="str">
        <f>IF(ΣΤΟΙΧΕΙΑ!M34=0,"",ΣΤΟΙΧΕΙΑ!M34)</f>
        <v/>
      </c>
      <c r="N59" s="442" t="str">
        <f>IF(ΣΤΟΙΧΕΙΑ!N34=0,"",ΣΤΟΙΧΕΙΑ!N34)</f>
        <v/>
      </c>
      <c r="O59" s="442" t="str">
        <f>IF(ΣΤΟΙΧΕΙΑ!O34=0,"",ΣΤΟΙΧΕΙΑ!O34)</f>
        <v/>
      </c>
      <c r="P59" s="442" t="str">
        <f>IF(ΣΤΟΙΧΕΙΑ!P34=0,"",ΣΤΟΙΧΕΙΑ!P34)</f>
        <v/>
      </c>
      <c r="Q59" s="147">
        <f t="shared" si="13"/>
        <v>200</v>
      </c>
    </row>
    <row r="60" spans="1:17" ht="30" customHeight="1">
      <c r="A60" s="41">
        <f t="shared" si="14"/>
        <v>11</v>
      </c>
      <c r="B60" s="303" t="str">
        <f>Δαπάνες!B19</f>
        <v>Η1</v>
      </c>
      <c r="C60" s="318" t="str">
        <f>IF(Δαπάνες!D19="","",Δαπάνες!D19)</f>
        <v>Αμοιβή Διαχειριστή</v>
      </c>
      <c r="D60" s="442" t="str">
        <f>IF(ΣΤΟΙΧΕΙΑ!D35=0,"",ΣΤΟΙΧΕΙΑ!D35)</f>
        <v/>
      </c>
      <c r="E60" s="442">
        <f>IF(ΣΤΟΙΧΕΙΑ!E35=0,"",ΣΤΟΙΧΕΙΑ!E35)</f>
        <v>80</v>
      </c>
      <c r="F60" s="442" t="str">
        <f>IF(ΣΤΟΙΧΕΙΑ!F35=0,"",ΣΤΟΙΧΕΙΑ!F35)</f>
        <v/>
      </c>
      <c r="G60" s="442" t="str">
        <f>IF(ΣΤΟΙΧΕΙΑ!G35=0,"",ΣΤΟΙΧΕΙΑ!G35)</f>
        <v/>
      </c>
      <c r="H60" s="442" t="str">
        <f>IF(ΣΤΟΙΧΕΙΑ!H35=0,"",ΣΤΟΙΧΕΙΑ!H35)</f>
        <v/>
      </c>
      <c r="I60" s="442" t="str">
        <f>IF(ΣΤΟΙΧΕΙΑ!I35=0,"",ΣΤΟΙΧΕΙΑ!I35)</f>
        <v/>
      </c>
      <c r="J60" s="442" t="str">
        <f>IF(ΣΤΟΙΧΕΙΑ!J35=0,"",ΣΤΟΙΧΕΙΑ!J35)</f>
        <v/>
      </c>
      <c r="K60" s="442" t="str">
        <f>IF(ΣΤΟΙΧΕΙΑ!K35=0,"",ΣΤΟΙΧΕΙΑ!K35)</f>
        <v/>
      </c>
      <c r="L60" s="442" t="str">
        <f>IF(ΣΤΟΙΧΕΙΑ!L35=0,"",ΣΤΟΙΧΕΙΑ!L35)</f>
        <v/>
      </c>
      <c r="M60" s="442" t="str">
        <f>IF(ΣΤΟΙΧΕΙΑ!M35=0,"",ΣΤΟΙΧΕΙΑ!M35)</f>
        <v/>
      </c>
      <c r="N60" s="442" t="str">
        <f>IF(ΣΤΟΙΧΕΙΑ!N35=0,"",ΣΤΟΙΧΕΙΑ!N35)</f>
        <v/>
      </c>
      <c r="O60" s="442" t="str">
        <f>IF(ΣΤΟΙΧΕΙΑ!O35=0,"",ΣΤΟΙΧΕΙΑ!O35)</f>
        <v/>
      </c>
      <c r="P60" s="442" t="str">
        <f>IF(ΣΤΟΙΧΕΙΑ!P35=0,"",ΣΤΟΙΧΕΙΑ!P35)</f>
        <v/>
      </c>
      <c r="Q60" s="147">
        <f t="shared" si="13"/>
        <v>80</v>
      </c>
    </row>
    <row r="61" spans="1:17" ht="30" customHeight="1">
      <c r="A61" s="41">
        <f t="shared" si="14"/>
        <v>12</v>
      </c>
      <c r="B61" s="303" t="str">
        <f>Δαπάνες!B20</f>
        <v>Η2</v>
      </c>
      <c r="C61" s="318" t="str">
        <f>IF(Δαπάνες!D20="","",Δαπάνες!D20)</f>
        <v>Έκδοση Κοινοχρήστων</v>
      </c>
      <c r="D61" s="442" t="str">
        <f>IF(ΣΤΟΙΧΕΙΑ!D36=0,"",ΣΤΟΙΧΕΙΑ!D36)</f>
        <v/>
      </c>
      <c r="E61" s="442">
        <f>IF(ΣΤΟΙΧΕΙΑ!E36=0,"",ΣΤΟΙΧΕΙΑ!E36)</f>
        <v>20</v>
      </c>
      <c r="F61" s="442" t="str">
        <f>IF(ΣΤΟΙΧΕΙΑ!F36=0,"",ΣΤΟΙΧΕΙΑ!F36)</f>
        <v/>
      </c>
      <c r="G61" s="442" t="str">
        <f>IF(ΣΤΟΙΧΕΙΑ!G36=0,"",ΣΤΟΙΧΕΙΑ!G36)</f>
        <v/>
      </c>
      <c r="H61" s="442" t="str">
        <f>IF(ΣΤΟΙΧΕΙΑ!H36=0,"",ΣΤΟΙΧΕΙΑ!H36)</f>
        <v/>
      </c>
      <c r="I61" s="442" t="str">
        <f>IF(ΣΤΟΙΧΕΙΑ!I36=0,"",ΣΤΟΙΧΕΙΑ!I36)</f>
        <v/>
      </c>
      <c r="J61" s="442" t="str">
        <f>IF(ΣΤΟΙΧΕΙΑ!J36=0,"",ΣΤΟΙΧΕΙΑ!J36)</f>
        <v/>
      </c>
      <c r="K61" s="442" t="str">
        <f>IF(ΣΤΟΙΧΕΙΑ!K36=0,"",ΣΤΟΙΧΕΙΑ!K36)</f>
        <v/>
      </c>
      <c r="L61" s="442" t="str">
        <f>IF(ΣΤΟΙΧΕΙΑ!L36=0,"",ΣΤΟΙΧΕΙΑ!L36)</f>
        <v/>
      </c>
      <c r="M61" s="442" t="str">
        <f>IF(ΣΤΟΙΧΕΙΑ!M36=0,"",ΣΤΟΙΧΕΙΑ!M36)</f>
        <v/>
      </c>
      <c r="N61" s="442" t="str">
        <f>IF(ΣΤΟΙΧΕΙΑ!N36=0,"",ΣΤΟΙΧΕΙΑ!N36)</f>
        <v/>
      </c>
      <c r="O61" s="442" t="str">
        <f>IF(ΣΤΟΙΧΕΙΑ!O36=0,"",ΣΤΟΙΧΕΙΑ!O36)</f>
        <v/>
      </c>
      <c r="P61" s="442" t="str">
        <f>IF(ΣΤΟΙΧΕΙΑ!P36=0,"",ΣΤΟΙΧΕΙΑ!P36)</f>
        <v/>
      </c>
      <c r="Q61" s="147">
        <f t="shared" si="13"/>
        <v>20</v>
      </c>
    </row>
    <row r="62" spans="1:17" s="6" customFormat="1">
      <c r="A62" s="748" t="s">
        <v>92</v>
      </c>
      <c r="B62" s="748"/>
      <c r="C62" s="748"/>
      <c r="D62" s="441" t="str">
        <f>IF(ΣΤΟΙΧΕΙΑ!D37=0,"",ΣΤΟΙΧΕΙΑ!D37)</f>
        <v/>
      </c>
      <c r="E62" s="441">
        <f>IF(ΣΤΟΙΧΕΙΑ!E37=0,"",ΣΤΟΙΧΕΙΑ!E37)</f>
        <v>1480</v>
      </c>
      <c r="F62" s="441">
        <f>IF(ΣΤΟΙΧΕΙΑ!F37=0,"",ΣΤΟΙΧΕΙΑ!F37)</f>
        <v>390</v>
      </c>
      <c r="G62" s="441" t="str">
        <f>IF(ΣΤΟΙΧΕΙΑ!G37=0,"",ΣΤΟΙΧΕΙΑ!G37)</f>
        <v/>
      </c>
      <c r="H62" s="441" t="str">
        <f>IF(ΣΤΟΙΧΕΙΑ!H37=0,"",ΣΤΟΙΧΕΙΑ!H37)</f>
        <v/>
      </c>
      <c r="I62" s="441" t="str">
        <f>IF(ΣΤΟΙΧΕΙΑ!I37=0,"",ΣΤΟΙΧΕΙΑ!I37)</f>
        <v/>
      </c>
      <c r="J62" s="441" t="str">
        <f>IF(ΣΤΟΙΧΕΙΑ!J37=0,"",ΣΤΟΙΧΕΙΑ!J37)</f>
        <v/>
      </c>
      <c r="K62" s="441" t="str">
        <f>IF(ΣΤΟΙΧΕΙΑ!K37=0,"",ΣΤΟΙΧΕΙΑ!K37)</f>
        <v/>
      </c>
      <c r="L62" s="441" t="str">
        <f>IF(ΣΤΟΙΧΕΙΑ!L37=0,"",ΣΤΟΙΧΕΙΑ!L37)</f>
        <v/>
      </c>
      <c r="M62" s="441" t="str">
        <f>IF(ΣΤΟΙΧΕΙΑ!M37=0,"",ΣΤΟΙΧΕΙΑ!M37)</f>
        <v/>
      </c>
      <c r="N62" s="441" t="str">
        <f>IF(ΣΤΟΙΧΕΙΑ!N37=0,"",ΣΤΟΙΧΕΙΑ!N37)</f>
        <v/>
      </c>
      <c r="O62" s="441" t="str">
        <f>IF(ΣΤΟΙΧΕΙΑ!O37=0,"",ΣΤΟΙΧΕΙΑ!O37)</f>
        <v/>
      </c>
      <c r="P62" s="441" t="str">
        <f>IF(ΣΤΟΙΧΕΙΑ!P37=0,"",ΣΤΟΙΧΕΙΑ!P37)</f>
        <v/>
      </c>
      <c r="Q62" s="148">
        <f t="shared" ref="Q62" si="15">SUM(Q50:Q61)</f>
        <v>1870</v>
      </c>
    </row>
    <row r="63" spans="1:17" s="105" customFormat="1" ht="9.9499999999999993" customHeight="1">
      <c r="Q63" s="435"/>
    </row>
    <row r="64" spans="1:17" ht="11.1" customHeight="1">
      <c r="A64" s="967" t="s">
        <v>24</v>
      </c>
      <c r="B64" s="967" t="s">
        <v>181</v>
      </c>
      <c r="C64" s="967" t="s">
        <v>78</v>
      </c>
      <c r="D64" s="437">
        <f>D19</f>
        <v>40848</v>
      </c>
      <c r="E64" s="437">
        <f t="shared" ref="E64:P64" si="16">E19</f>
        <v>40878</v>
      </c>
      <c r="F64" s="437">
        <f t="shared" si="16"/>
        <v>40909</v>
      </c>
      <c r="G64" s="437">
        <f t="shared" si="16"/>
        <v>40940</v>
      </c>
      <c r="H64" s="437">
        <f t="shared" si="16"/>
        <v>40969</v>
      </c>
      <c r="I64" s="437">
        <f t="shared" si="16"/>
        <v>41000</v>
      </c>
      <c r="J64" s="437">
        <f t="shared" si="16"/>
        <v>41030</v>
      </c>
      <c r="K64" s="437">
        <f t="shared" si="16"/>
        <v>41061</v>
      </c>
      <c r="L64" s="437">
        <f t="shared" si="16"/>
        <v>41091</v>
      </c>
      <c r="M64" s="437">
        <f t="shared" si="16"/>
        <v>41122</v>
      </c>
      <c r="N64" s="437">
        <f t="shared" si="16"/>
        <v>41153</v>
      </c>
      <c r="O64" s="437">
        <f t="shared" si="16"/>
        <v>41183</v>
      </c>
      <c r="P64" s="437">
        <f t="shared" si="16"/>
        <v>41214</v>
      </c>
      <c r="Q64" s="973" t="s">
        <v>182</v>
      </c>
    </row>
    <row r="65" spans="1:17" ht="11.1" customHeight="1">
      <c r="A65" s="968"/>
      <c r="B65" s="968"/>
      <c r="C65" s="968"/>
      <c r="D65" s="438"/>
      <c r="E65" s="292"/>
      <c r="F65" s="292"/>
      <c r="G65" s="292"/>
      <c r="H65" s="292"/>
      <c r="I65" s="292"/>
      <c r="J65" s="292"/>
      <c r="K65" s="439"/>
      <c r="L65" s="440"/>
      <c r="M65" s="440"/>
      <c r="N65" s="440"/>
      <c r="O65" s="440"/>
      <c r="P65" s="440"/>
      <c r="Q65" s="974"/>
    </row>
    <row r="66" spans="1:17" ht="11.1" customHeight="1">
      <c r="A66" s="300">
        <f>A4</f>
        <v>1</v>
      </c>
      <c r="B66" s="300">
        <f t="shared" ref="B66:P66" si="17">B4</f>
        <v>2</v>
      </c>
      <c r="C66" s="300">
        <f t="shared" si="17"/>
        <v>3</v>
      </c>
      <c r="D66" s="300">
        <f t="shared" si="17"/>
        <v>4</v>
      </c>
      <c r="E66" s="300">
        <f t="shared" si="17"/>
        <v>5</v>
      </c>
      <c r="F66" s="300">
        <f t="shared" si="17"/>
        <v>6</v>
      </c>
      <c r="G66" s="300">
        <f t="shared" si="17"/>
        <v>7</v>
      </c>
      <c r="H66" s="300">
        <f t="shared" si="17"/>
        <v>8</v>
      </c>
      <c r="I66" s="300">
        <f t="shared" si="17"/>
        <v>9</v>
      </c>
      <c r="J66" s="300">
        <f t="shared" si="17"/>
        <v>10</v>
      </c>
      <c r="K66" s="300">
        <f t="shared" si="17"/>
        <v>11</v>
      </c>
      <c r="L66" s="300">
        <f t="shared" si="17"/>
        <v>12</v>
      </c>
      <c r="M66" s="300">
        <f t="shared" si="17"/>
        <v>13</v>
      </c>
      <c r="N66" s="300">
        <f t="shared" si="17"/>
        <v>14</v>
      </c>
      <c r="O66" s="300">
        <f t="shared" si="17"/>
        <v>15</v>
      </c>
      <c r="P66" s="300">
        <f t="shared" si="17"/>
        <v>16</v>
      </c>
      <c r="Q66" s="975"/>
    </row>
    <row r="67" spans="1:17" ht="20.100000000000001" customHeight="1">
      <c r="A67" s="41">
        <f>IF(B67="","",1)</f>
        <v>1</v>
      </c>
      <c r="B67" s="128" t="str">
        <f>IF(Διαμερίσματα!B6="","",Διαμερίσματα!B6)</f>
        <v>Κ1</v>
      </c>
      <c r="C67" s="318" t="str">
        <f>IF(Διαμερίσματα!I6="","",Διαμερίσματα!I6)</f>
        <v>Ιδιοκτήτης-1</v>
      </c>
      <c r="D67" s="436" t="str">
        <f>IF(ΣΤΟΙΧΕΙΑ!D41=0,"",ΣΤΟΙΧΕΙΑ!D41)</f>
        <v/>
      </c>
      <c r="E67" s="436">
        <f ca="1">IF(ΣΤΟΙΧΕΙΑ!E41=0,"",ΣΤΟΙΧΕΙΑ!E41)</f>
        <v>44.314208126686182</v>
      </c>
      <c r="F67" s="436" t="str">
        <f>IF(ΣΤΟΙΧΕΙΑ!F41=0,"",ΣΤΟΙΧΕΙΑ!F41)</f>
        <v/>
      </c>
      <c r="G67" s="436" t="str">
        <f>IF(ΣΤΟΙΧΕΙΑ!G41=0,"",ΣΤΟΙΧΕΙΑ!G41)</f>
        <v/>
      </c>
      <c r="H67" s="436" t="str">
        <f>IF(ΣΤΟΙΧΕΙΑ!H41=0,"",ΣΤΟΙΧΕΙΑ!H41)</f>
        <v/>
      </c>
      <c r="I67" s="436" t="str">
        <f>IF(ΣΤΟΙΧΕΙΑ!I41=0,"",ΣΤΟΙΧΕΙΑ!I41)</f>
        <v/>
      </c>
      <c r="J67" s="436" t="str">
        <f>IF(ΣΤΟΙΧΕΙΑ!J41=0,"",ΣΤΟΙΧΕΙΑ!J41)</f>
        <v/>
      </c>
      <c r="K67" s="436" t="str">
        <f>IF(ΣΤΟΙΧΕΙΑ!K41=0,"",ΣΤΟΙΧΕΙΑ!K41)</f>
        <v/>
      </c>
      <c r="L67" s="436" t="str">
        <f>IF(ΣΤΟΙΧΕΙΑ!L41=0,"",ΣΤΟΙΧΕΙΑ!L41)</f>
        <v/>
      </c>
      <c r="M67" s="436" t="str">
        <f>IF(ΣΤΟΙΧΕΙΑ!M41=0,"",ΣΤΟΙΧΕΙΑ!M41)</f>
        <v/>
      </c>
      <c r="N67" s="436" t="str">
        <f>IF(ΣΤΟΙΧΕΙΑ!N41=0,"",ΣΤΟΙΧΕΙΑ!N41)</f>
        <v/>
      </c>
      <c r="O67" s="436" t="str">
        <f>IF(ΣΤΟΙΧΕΙΑ!O41=0,"",ΣΤΟΙΧΕΙΑ!O41)</f>
        <v/>
      </c>
      <c r="P67" s="436" t="str">
        <f>IF(ΣΤΟΙΧΕΙΑ!P41=0,"",ΣΤΟΙΧΕΙΑ!P41)</f>
        <v/>
      </c>
      <c r="Q67" s="147">
        <f t="shared" ref="Q67:Q75" ca="1" si="18">IF(SUM(D67:P67)=0,"",SUM(D67:P67))</f>
        <v>44.314208126686182</v>
      </c>
    </row>
    <row r="68" spans="1:17" ht="20.100000000000001" customHeight="1">
      <c r="A68" s="41">
        <f>IF(B68="","",A67+1)</f>
        <v>2</v>
      </c>
      <c r="B68" s="128" t="str">
        <f>IF(Διαμερίσματα!B7="","",Διαμερίσματα!B7)</f>
        <v>Κ2</v>
      </c>
      <c r="C68" s="318" t="str">
        <f>IF(Διαμερίσματα!I7="","",Διαμερίσματα!I7)</f>
        <v>Ιδιοκτήτης-2</v>
      </c>
      <c r="D68" s="436" t="str">
        <f>IF(ΣΤΟΙΧΕΙΑ!D42=0,"",ΣΤΟΙΧΕΙΑ!D42)</f>
        <v/>
      </c>
      <c r="E68" s="436">
        <f ca="1">IF(ΣΤΟΙΧΕΙΑ!E42=0,"",ΣΤΟΙΧΕΙΑ!E42)</f>
        <v>49.190348052390995</v>
      </c>
      <c r="F68" s="436" t="str">
        <f>IF(ΣΤΟΙΧΕΙΑ!F42=0,"",ΣΤΟΙΧΕΙΑ!F42)</f>
        <v/>
      </c>
      <c r="G68" s="436" t="str">
        <f>IF(ΣΤΟΙΧΕΙΑ!G42=0,"",ΣΤΟΙΧΕΙΑ!G42)</f>
        <v/>
      </c>
      <c r="H68" s="436" t="str">
        <f>IF(ΣΤΟΙΧΕΙΑ!H42=0,"",ΣΤΟΙΧΕΙΑ!H42)</f>
        <v/>
      </c>
      <c r="I68" s="436" t="str">
        <f>IF(ΣΤΟΙΧΕΙΑ!I42=0,"",ΣΤΟΙΧΕΙΑ!I42)</f>
        <v/>
      </c>
      <c r="J68" s="436" t="str">
        <f>IF(ΣΤΟΙΧΕΙΑ!J42=0,"",ΣΤΟΙΧΕΙΑ!J42)</f>
        <v/>
      </c>
      <c r="K68" s="436" t="str">
        <f>IF(ΣΤΟΙΧΕΙΑ!K42=0,"",ΣΤΟΙΧΕΙΑ!K42)</f>
        <v/>
      </c>
      <c r="L68" s="436" t="str">
        <f>IF(ΣΤΟΙΧΕΙΑ!L42=0,"",ΣΤΟΙΧΕΙΑ!L42)</f>
        <v/>
      </c>
      <c r="M68" s="436" t="str">
        <f>IF(ΣΤΟΙΧΕΙΑ!M42=0,"",ΣΤΟΙΧΕΙΑ!M42)</f>
        <v/>
      </c>
      <c r="N68" s="436" t="str">
        <f>IF(ΣΤΟΙΧΕΙΑ!N42=0,"",ΣΤΟΙΧΕΙΑ!N42)</f>
        <v/>
      </c>
      <c r="O68" s="436" t="str">
        <f>IF(ΣΤΟΙΧΕΙΑ!O42=0,"",ΣΤΟΙΧΕΙΑ!O42)</f>
        <v/>
      </c>
      <c r="P68" s="436" t="str">
        <f>IF(ΣΤΟΙΧΕΙΑ!P42=0,"",ΣΤΟΙΧΕΙΑ!P42)</f>
        <v/>
      </c>
      <c r="Q68" s="147">
        <f t="shared" ca="1" si="18"/>
        <v>49.190348052390995</v>
      </c>
    </row>
    <row r="69" spans="1:17" ht="20.100000000000001" customHeight="1">
      <c r="A69" s="41">
        <f t="shared" ref="A69:A75" si="19">IF(B69="","",A68+1)</f>
        <v>3</v>
      </c>
      <c r="B69" s="128" t="str">
        <f>IF(Διαμερίσματα!B8="","",Διαμερίσματα!B8)</f>
        <v>Κ3</v>
      </c>
      <c r="C69" s="318" t="str">
        <f>IF(Διαμερίσματα!I8="","",Διαμερίσματα!I8)</f>
        <v>Ιδιοκτήτης-3</v>
      </c>
      <c r="D69" s="436" t="str">
        <f>IF(ΣΤΟΙΧΕΙΑ!D43=0,"",ΣΤΟΙΧΕΙΑ!D43)</f>
        <v/>
      </c>
      <c r="E69" s="436">
        <f ca="1">IF(ΣΤΟΙΧΕΙΑ!E43=0,"",ΣΤΟΙΧΕΙΑ!E43)</f>
        <v>225.0399534872713</v>
      </c>
      <c r="F69" s="436" t="str">
        <f>IF(ΣΤΟΙΧΕΙΑ!F43=0,"",ΣΤΟΙΧΕΙΑ!F43)</f>
        <v/>
      </c>
      <c r="G69" s="436" t="str">
        <f>IF(ΣΤΟΙΧΕΙΑ!G43=0,"",ΣΤΟΙΧΕΙΑ!G43)</f>
        <v/>
      </c>
      <c r="H69" s="436" t="str">
        <f>IF(ΣΤΟΙΧΕΙΑ!H43=0,"",ΣΤΟΙΧΕΙΑ!H43)</f>
        <v/>
      </c>
      <c r="I69" s="436" t="str">
        <f>IF(ΣΤΟΙΧΕΙΑ!I43=0,"",ΣΤΟΙΧΕΙΑ!I43)</f>
        <v/>
      </c>
      <c r="J69" s="436" t="str">
        <f>IF(ΣΤΟΙΧΕΙΑ!J43=0,"",ΣΤΟΙΧΕΙΑ!J43)</f>
        <v/>
      </c>
      <c r="K69" s="436" t="str">
        <f>IF(ΣΤΟΙΧΕΙΑ!K43=0,"",ΣΤΟΙΧΕΙΑ!K43)</f>
        <v/>
      </c>
      <c r="L69" s="436" t="str">
        <f>IF(ΣΤΟΙΧΕΙΑ!L43=0,"",ΣΤΟΙΧΕΙΑ!L43)</f>
        <v/>
      </c>
      <c r="M69" s="436" t="str">
        <f>IF(ΣΤΟΙΧΕΙΑ!M43=0,"",ΣΤΟΙΧΕΙΑ!M43)</f>
        <v/>
      </c>
      <c r="N69" s="436" t="str">
        <f>IF(ΣΤΟΙΧΕΙΑ!N43=0,"",ΣΤΟΙΧΕΙΑ!N43)</f>
        <v/>
      </c>
      <c r="O69" s="436" t="str">
        <f>IF(ΣΤΟΙΧΕΙΑ!O43=0,"",ΣΤΟΙΧΕΙΑ!O43)</f>
        <v/>
      </c>
      <c r="P69" s="436" t="str">
        <f>IF(ΣΤΟΙΧΕΙΑ!P43=0,"",ΣΤΟΙΧΕΙΑ!P43)</f>
        <v/>
      </c>
      <c r="Q69" s="147">
        <f t="shared" ca="1" si="18"/>
        <v>225.0399534872713</v>
      </c>
    </row>
    <row r="70" spans="1:17" ht="20.100000000000001" customHeight="1">
      <c r="A70" s="41">
        <f t="shared" si="19"/>
        <v>4</v>
      </c>
      <c r="B70" s="128" t="str">
        <f>IF(Διαμερίσματα!B9="","",Διαμερίσματα!B9)</f>
        <v>Α1</v>
      </c>
      <c r="C70" s="318" t="str">
        <f>IF(Διαμερίσματα!I9="","",Διαμερίσματα!I9)</f>
        <v>Ιδιοκτήτης-4</v>
      </c>
      <c r="D70" s="436" t="str">
        <f>IF(ΣΤΟΙΧΕΙΑ!D44=0,"",ΣΤΟΙΧΕΙΑ!D44)</f>
        <v/>
      </c>
      <c r="E70" s="436">
        <f ca="1">IF(ΣΤΟΙΧΕΙΑ!E44=0,"",ΣΤΟΙΧΕΙΑ!E44)</f>
        <v>178.03119085637255</v>
      </c>
      <c r="F70" s="436" t="str">
        <f>IF(ΣΤΟΙΧΕΙΑ!F44=0,"",ΣΤΟΙΧΕΙΑ!F44)</f>
        <v/>
      </c>
      <c r="G70" s="436" t="str">
        <f>IF(ΣΤΟΙΧΕΙΑ!G44=0,"",ΣΤΟΙΧΕΙΑ!G44)</f>
        <v/>
      </c>
      <c r="H70" s="436" t="str">
        <f>IF(ΣΤΟΙΧΕΙΑ!H44=0,"",ΣΤΟΙΧΕΙΑ!H44)</f>
        <v/>
      </c>
      <c r="I70" s="436" t="str">
        <f>IF(ΣΤΟΙΧΕΙΑ!I44=0,"",ΣΤΟΙΧΕΙΑ!I44)</f>
        <v/>
      </c>
      <c r="J70" s="436" t="str">
        <f>IF(ΣΤΟΙΧΕΙΑ!J44=0,"",ΣΤΟΙΧΕΙΑ!J44)</f>
        <v/>
      </c>
      <c r="K70" s="436" t="str">
        <f>IF(ΣΤΟΙΧΕΙΑ!K44=0,"",ΣΤΟΙΧΕΙΑ!K44)</f>
        <v/>
      </c>
      <c r="L70" s="436" t="str">
        <f>IF(ΣΤΟΙΧΕΙΑ!L44=0,"",ΣΤΟΙΧΕΙΑ!L44)</f>
        <v/>
      </c>
      <c r="M70" s="436" t="str">
        <f>IF(ΣΤΟΙΧΕΙΑ!M44=0,"",ΣΤΟΙΧΕΙΑ!M44)</f>
        <v/>
      </c>
      <c r="N70" s="436" t="str">
        <f>IF(ΣΤΟΙΧΕΙΑ!N44=0,"",ΣΤΟΙΧΕΙΑ!N44)</f>
        <v/>
      </c>
      <c r="O70" s="436" t="str">
        <f>IF(ΣΤΟΙΧΕΙΑ!O44=0,"",ΣΤΟΙΧΕΙΑ!O44)</f>
        <v/>
      </c>
      <c r="P70" s="436" t="str">
        <f>IF(ΣΤΟΙΧΕΙΑ!P44=0,"",ΣΤΟΙΧΕΙΑ!P44)</f>
        <v/>
      </c>
      <c r="Q70" s="147">
        <f t="shared" ca="1" si="18"/>
        <v>178.03119085637255</v>
      </c>
    </row>
    <row r="71" spans="1:17" ht="20.100000000000001" customHeight="1">
      <c r="A71" s="41">
        <f t="shared" si="19"/>
        <v>5</v>
      </c>
      <c r="B71" s="128" t="str">
        <f>IF(Διαμερίσματα!B10="","",Διαμερίσματα!B10)</f>
        <v>Α2</v>
      </c>
      <c r="C71" s="318" t="str">
        <f>IF(Διαμερίσματα!I10="","",Διαμερίσματα!I10)</f>
        <v>Ιδιοκτήτης-5</v>
      </c>
      <c r="D71" s="436" t="str">
        <f>IF(ΣΤΟΙΧΕΙΑ!D45=0,"",ΣΤΟΙΧΕΙΑ!D45)</f>
        <v/>
      </c>
      <c r="E71" s="436">
        <f ca="1">IF(ΣΤΟΙΧΕΙΑ!E45=0,"",ΣΤΟΙΧΕΙΑ!E45)</f>
        <v>164.47440806839413</v>
      </c>
      <c r="F71" s="436" t="str">
        <f>IF(ΣΤΟΙΧΕΙΑ!F45=0,"",ΣΤΟΙΧΕΙΑ!F45)</f>
        <v/>
      </c>
      <c r="G71" s="436" t="str">
        <f>IF(ΣΤΟΙΧΕΙΑ!G45=0,"",ΣΤΟΙΧΕΙΑ!G45)</f>
        <v/>
      </c>
      <c r="H71" s="436" t="str">
        <f>IF(ΣΤΟΙΧΕΙΑ!H45=0,"",ΣΤΟΙΧΕΙΑ!H45)</f>
        <v/>
      </c>
      <c r="I71" s="436" t="str">
        <f>IF(ΣΤΟΙΧΕΙΑ!I45=0,"",ΣΤΟΙΧΕΙΑ!I45)</f>
        <v/>
      </c>
      <c r="J71" s="436" t="str">
        <f>IF(ΣΤΟΙΧΕΙΑ!J45=0,"",ΣΤΟΙΧΕΙΑ!J45)</f>
        <v/>
      </c>
      <c r="K71" s="436" t="str">
        <f>IF(ΣΤΟΙΧΕΙΑ!K45=0,"",ΣΤΟΙΧΕΙΑ!K45)</f>
        <v/>
      </c>
      <c r="L71" s="436" t="str">
        <f>IF(ΣΤΟΙΧΕΙΑ!L45=0,"",ΣΤΟΙΧΕΙΑ!L45)</f>
        <v/>
      </c>
      <c r="M71" s="436" t="str">
        <f>IF(ΣΤΟΙΧΕΙΑ!M45=0,"",ΣΤΟΙΧΕΙΑ!M45)</f>
        <v/>
      </c>
      <c r="N71" s="436" t="str">
        <f>IF(ΣΤΟΙΧΕΙΑ!N45=0,"",ΣΤΟΙΧΕΙΑ!N45)</f>
        <v/>
      </c>
      <c r="O71" s="436" t="str">
        <f>IF(ΣΤΟΙΧΕΙΑ!O45=0,"",ΣΤΟΙΧΕΙΑ!O45)</f>
        <v/>
      </c>
      <c r="P71" s="436" t="str">
        <f>IF(ΣΤΟΙΧΕΙΑ!P45=0,"",ΣΤΟΙΧΕΙΑ!P45)</f>
        <v/>
      </c>
      <c r="Q71" s="147">
        <f t="shared" ca="1" si="18"/>
        <v>164.47440806839413</v>
      </c>
    </row>
    <row r="72" spans="1:17" ht="20.100000000000001" customHeight="1">
      <c r="A72" s="41">
        <f t="shared" si="19"/>
        <v>6</v>
      </c>
      <c r="B72" s="128" t="str">
        <f>IF(Διαμερίσματα!B11="","",Διαμερίσματα!B11)</f>
        <v>Α3</v>
      </c>
      <c r="C72" s="318" t="str">
        <f>IF(Διαμερίσματα!I11="","",Διαμερίσματα!I11)</f>
        <v>Ιδιοκτήτης-6</v>
      </c>
      <c r="D72" s="436" t="str">
        <f>IF(ΣΤΟΙΧΕΙΑ!D46=0,"",ΣΤΟΙΧΕΙΑ!D46)</f>
        <v/>
      </c>
      <c r="E72" s="436">
        <f ca="1">IF(ΣΤΟΙΧΕΙΑ!E46=0,"",ΣΤΟΙΧΕΙΑ!E46)</f>
        <v>29.674311909020545</v>
      </c>
      <c r="F72" s="436" t="str">
        <f>IF(ΣΤΟΙΧΕΙΑ!F46=0,"",ΣΤΟΙΧΕΙΑ!F46)</f>
        <v/>
      </c>
      <c r="G72" s="436" t="str">
        <f>IF(ΣΤΟΙΧΕΙΑ!G46=0,"",ΣΤΟΙΧΕΙΑ!G46)</f>
        <v/>
      </c>
      <c r="H72" s="436" t="str">
        <f>IF(ΣΤΟΙΧΕΙΑ!H46=0,"",ΣΤΟΙΧΕΙΑ!H46)</f>
        <v/>
      </c>
      <c r="I72" s="436" t="str">
        <f>IF(ΣΤΟΙΧΕΙΑ!I46=0,"",ΣΤΟΙΧΕΙΑ!I46)</f>
        <v/>
      </c>
      <c r="J72" s="436" t="str">
        <f>IF(ΣΤΟΙΧΕΙΑ!J46=0,"",ΣΤΟΙΧΕΙΑ!J46)</f>
        <v/>
      </c>
      <c r="K72" s="436" t="str">
        <f>IF(ΣΤΟΙΧΕΙΑ!K46=0,"",ΣΤΟΙΧΕΙΑ!K46)</f>
        <v/>
      </c>
      <c r="L72" s="436" t="str">
        <f>IF(ΣΤΟΙΧΕΙΑ!L46=0,"",ΣΤΟΙΧΕΙΑ!L46)</f>
        <v/>
      </c>
      <c r="M72" s="436" t="str">
        <f>IF(ΣΤΟΙΧΕΙΑ!M46=0,"",ΣΤΟΙΧΕΙΑ!M46)</f>
        <v/>
      </c>
      <c r="N72" s="436" t="str">
        <f>IF(ΣΤΟΙΧΕΙΑ!N46=0,"",ΣΤΟΙΧΕΙΑ!N46)</f>
        <v/>
      </c>
      <c r="O72" s="436" t="str">
        <f>IF(ΣΤΟΙΧΕΙΑ!O46=0,"",ΣΤΟΙΧΕΙΑ!O46)</f>
        <v/>
      </c>
      <c r="P72" s="436" t="str">
        <f>IF(ΣΤΟΙΧΕΙΑ!P46=0,"",ΣΤΟΙΧΕΙΑ!P46)</f>
        <v/>
      </c>
      <c r="Q72" s="147">
        <f t="shared" ca="1" si="18"/>
        <v>29.674311909020545</v>
      </c>
    </row>
    <row r="73" spans="1:17" ht="20.100000000000001" customHeight="1">
      <c r="A73" s="41">
        <f t="shared" si="19"/>
        <v>7</v>
      </c>
      <c r="B73" s="128" t="str">
        <f>IF(Διαμερίσματα!B12="","",Διαμερίσματα!B12)</f>
        <v>Α4</v>
      </c>
      <c r="C73" s="318" t="str">
        <f>IF(Διαμερίσματα!I12="","",Διαμερίσματα!I12)</f>
        <v>Ιδιοκτήτης-7</v>
      </c>
      <c r="D73" s="436" t="str">
        <f>IF(ΣΤΟΙΧΕΙΑ!D47=0,"",ΣΤΟΙΧΕΙΑ!D47)</f>
        <v/>
      </c>
      <c r="E73" s="436">
        <f ca="1">IF(ΣΤΟΙΧΕΙΑ!E47=0,"",ΣΤΟΙΧΕΙΑ!E47)</f>
        <v>78.110430280266428</v>
      </c>
      <c r="F73" s="436" t="str">
        <f>IF(ΣΤΟΙΧΕΙΑ!F47=0,"",ΣΤΟΙΧΕΙΑ!F47)</f>
        <v/>
      </c>
      <c r="G73" s="436" t="str">
        <f>IF(ΣΤΟΙΧΕΙΑ!G47=0,"",ΣΤΟΙΧΕΙΑ!G47)</f>
        <v/>
      </c>
      <c r="H73" s="436" t="str">
        <f>IF(ΣΤΟΙΧΕΙΑ!H47=0,"",ΣΤΟΙΧΕΙΑ!H47)</f>
        <v/>
      </c>
      <c r="I73" s="436" t="str">
        <f>IF(ΣΤΟΙΧΕΙΑ!I47=0,"",ΣΤΟΙΧΕΙΑ!I47)</f>
        <v/>
      </c>
      <c r="J73" s="436" t="str">
        <f>IF(ΣΤΟΙΧΕΙΑ!J47=0,"",ΣΤΟΙΧΕΙΑ!J47)</f>
        <v/>
      </c>
      <c r="K73" s="436" t="str">
        <f>IF(ΣΤΟΙΧΕΙΑ!K47=0,"",ΣΤΟΙΧΕΙΑ!K47)</f>
        <v/>
      </c>
      <c r="L73" s="436" t="str">
        <f>IF(ΣΤΟΙΧΕΙΑ!L47=0,"",ΣΤΟΙΧΕΙΑ!L47)</f>
        <v/>
      </c>
      <c r="M73" s="436" t="str">
        <f>IF(ΣΤΟΙΧΕΙΑ!M47=0,"",ΣΤΟΙΧΕΙΑ!M47)</f>
        <v/>
      </c>
      <c r="N73" s="436" t="str">
        <f>IF(ΣΤΟΙΧΕΙΑ!N47=0,"",ΣΤΟΙΧΕΙΑ!N47)</f>
        <v/>
      </c>
      <c r="O73" s="436" t="str">
        <f>IF(ΣΤΟΙΧΕΙΑ!O47=0,"",ΣΤΟΙΧΕΙΑ!O47)</f>
        <v/>
      </c>
      <c r="P73" s="436" t="str">
        <f>IF(ΣΤΟΙΧΕΙΑ!P47=0,"",ΣΤΟΙΧΕΙΑ!P47)</f>
        <v/>
      </c>
      <c r="Q73" s="147">
        <f t="shared" ca="1" si="18"/>
        <v>78.110430280266428</v>
      </c>
    </row>
    <row r="74" spans="1:17" ht="20.100000000000001" customHeight="1">
      <c r="A74" s="41">
        <f t="shared" si="19"/>
        <v>8</v>
      </c>
      <c r="B74" s="128" t="str">
        <f>IF(Διαμερίσματα!B13="","",Διαμερίσματα!B13)</f>
        <v>Β1</v>
      </c>
      <c r="C74" s="318" t="str">
        <f>IF(Διαμερίσματα!I13="","",Διαμερίσματα!I13)</f>
        <v>Ιδιοκτήτης-8</v>
      </c>
      <c r="D74" s="436" t="str">
        <f>IF(ΣΤΟΙΧΕΙΑ!D48=0,"",ΣΤΟΙΧΕΙΑ!D48)</f>
        <v/>
      </c>
      <c r="E74" s="436">
        <f ca="1">IF(ΣΤΟΙΧΕΙΑ!E48=0,"",ΣΤΟΙΧΕΙΑ!E48)</f>
        <v>77.398602290764842</v>
      </c>
      <c r="F74" s="436" t="str">
        <f>IF(ΣΤΟΙΧΕΙΑ!F48=0,"",ΣΤΟΙΧΕΙΑ!F48)</f>
        <v/>
      </c>
      <c r="G74" s="436" t="str">
        <f>IF(ΣΤΟΙΧΕΙΑ!G48=0,"",ΣΤΟΙΧΕΙΑ!G48)</f>
        <v/>
      </c>
      <c r="H74" s="436" t="str">
        <f>IF(ΣΤΟΙΧΕΙΑ!H48=0,"",ΣΤΟΙΧΕΙΑ!H48)</f>
        <v/>
      </c>
      <c r="I74" s="436" t="str">
        <f>IF(ΣΤΟΙΧΕΙΑ!I48=0,"",ΣΤΟΙΧΕΙΑ!I48)</f>
        <v/>
      </c>
      <c r="J74" s="436" t="str">
        <f>IF(ΣΤΟΙΧΕΙΑ!J48=0,"",ΣΤΟΙΧΕΙΑ!J48)</f>
        <v/>
      </c>
      <c r="K74" s="436" t="str">
        <f>IF(ΣΤΟΙΧΕΙΑ!K48=0,"",ΣΤΟΙΧΕΙΑ!K48)</f>
        <v/>
      </c>
      <c r="L74" s="436" t="str">
        <f>IF(ΣΤΟΙΧΕΙΑ!L48=0,"",ΣΤΟΙΧΕΙΑ!L48)</f>
        <v/>
      </c>
      <c r="M74" s="436" t="str">
        <f>IF(ΣΤΟΙΧΕΙΑ!M48=0,"",ΣΤΟΙΧΕΙΑ!M48)</f>
        <v/>
      </c>
      <c r="N74" s="436" t="str">
        <f>IF(ΣΤΟΙΧΕΙΑ!N48=0,"",ΣΤΟΙΧΕΙΑ!N48)</f>
        <v/>
      </c>
      <c r="O74" s="436" t="str">
        <f>IF(ΣΤΟΙΧΕΙΑ!O48=0,"",ΣΤΟΙΧΕΙΑ!O48)</f>
        <v/>
      </c>
      <c r="P74" s="436" t="str">
        <f>IF(ΣΤΟΙΧΕΙΑ!P48=0,"",ΣΤΟΙΧΕΙΑ!P48)</f>
        <v/>
      </c>
      <c r="Q74" s="147">
        <f t="shared" ca="1" si="18"/>
        <v>77.398602290764842</v>
      </c>
    </row>
    <row r="75" spans="1:17" ht="20.100000000000001" customHeight="1">
      <c r="A75" s="41">
        <f t="shared" si="19"/>
        <v>9</v>
      </c>
      <c r="B75" s="128" t="str">
        <f>IF(Διαμερίσματα!B14="","",Διαμερίσματα!B14)</f>
        <v>Β2</v>
      </c>
      <c r="C75" s="318" t="str">
        <f>IF(Διαμερίσματα!I14="","",Διαμερίσματα!I14)</f>
        <v>Ιδιοκτήτης-9</v>
      </c>
      <c r="D75" s="436" t="str">
        <f>IF(ΣΤΟΙΧΕΙΑ!D49=0,"",ΣΤΟΙΧΕΙΑ!D49)</f>
        <v/>
      </c>
      <c r="E75" s="436">
        <f ca="1">IF(ΣΤΟΙΧΕΙΑ!E49=0,"",ΣΤΟΙΧΕΙΑ!E49)</f>
        <v>133.28128926186497</v>
      </c>
      <c r="F75" s="436" t="str">
        <f>IF(ΣΤΟΙΧΕΙΑ!F49=0,"",ΣΤΟΙΧΕΙΑ!F49)</f>
        <v/>
      </c>
      <c r="G75" s="436" t="str">
        <f>IF(ΣΤΟΙΧΕΙΑ!G49=0,"",ΣΤΟΙΧΕΙΑ!G49)</f>
        <v/>
      </c>
      <c r="H75" s="436" t="str">
        <f>IF(ΣΤΟΙΧΕΙΑ!H49=0,"",ΣΤΟΙΧΕΙΑ!H49)</f>
        <v/>
      </c>
      <c r="I75" s="436" t="str">
        <f>IF(ΣΤΟΙΧΕΙΑ!I49=0,"",ΣΤΟΙΧΕΙΑ!I49)</f>
        <v/>
      </c>
      <c r="J75" s="436" t="str">
        <f>IF(ΣΤΟΙΧΕΙΑ!J49=0,"",ΣΤΟΙΧΕΙΑ!J49)</f>
        <v/>
      </c>
      <c r="K75" s="436" t="str">
        <f>IF(ΣΤΟΙΧΕΙΑ!K49=0,"",ΣΤΟΙΧΕΙΑ!K49)</f>
        <v/>
      </c>
      <c r="L75" s="436" t="str">
        <f>IF(ΣΤΟΙΧΕΙΑ!L49=0,"",ΣΤΟΙΧΕΙΑ!L49)</f>
        <v/>
      </c>
      <c r="M75" s="436" t="str">
        <f>IF(ΣΤΟΙΧΕΙΑ!M49=0,"",ΣΤΟΙΧΕΙΑ!M49)</f>
        <v/>
      </c>
      <c r="N75" s="436" t="str">
        <f>IF(ΣΤΟΙΧΕΙΑ!N49=0,"",ΣΤΟΙΧΕΙΑ!N49)</f>
        <v/>
      </c>
      <c r="O75" s="436" t="str">
        <f>IF(ΣΤΟΙΧΕΙΑ!O49=0,"",ΣΤΟΙΧΕΙΑ!O49)</f>
        <v/>
      </c>
      <c r="P75" s="436" t="str">
        <f>IF(ΣΤΟΙΧΕΙΑ!P49=0,"",ΣΤΟΙΧΕΙΑ!P49)</f>
        <v/>
      </c>
      <c r="Q75" s="147">
        <f t="shared" ca="1" si="18"/>
        <v>133.28128926186497</v>
      </c>
    </row>
    <row r="76" spans="1:17" s="467" customFormat="1" ht="20.100000000000001" customHeight="1">
      <c r="A76" s="41">
        <f t="shared" ref="A76:A77" si="20">IF(B76="","",A75+1)</f>
        <v>10</v>
      </c>
      <c r="B76" s="128" t="str">
        <f>IF(Διαμερίσματα!B15="","",Διαμερίσματα!B15)</f>
        <v>Β3</v>
      </c>
      <c r="C76" s="318" t="str">
        <f>IF(Διαμερίσματα!I15="","",Διαμερίσματα!I15)</f>
        <v>Ιδιοκτήτης-10</v>
      </c>
      <c r="D76" s="436" t="str">
        <f>IF(ΣΤΟΙΧΕΙΑ!D50=0,"",ΣΤΟΙΧΕΙΑ!D50)</f>
        <v/>
      </c>
      <c r="E76" s="436">
        <f ca="1">IF(ΣΤΟΙΧΕΙΑ!E50=0,"",ΣΤΟΙΧΕΙΑ!E50)</f>
        <v>236.65566490196161</v>
      </c>
      <c r="F76" s="436" t="str">
        <f>IF(ΣΤΟΙΧΕΙΑ!F50=0,"",ΣΤΟΙΧΕΙΑ!F50)</f>
        <v/>
      </c>
      <c r="G76" s="436" t="str">
        <f>IF(ΣΤΟΙΧΕΙΑ!G50=0,"",ΣΤΟΙΧΕΙΑ!G50)</f>
        <v/>
      </c>
      <c r="H76" s="436" t="str">
        <f>IF(ΣΤΟΙΧΕΙΑ!H50=0,"",ΣΤΟΙΧΕΙΑ!H50)</f>
        <v/>
      </c>
      <c r="I76" s="436" t="str">
        <f>IF(ΣΤΟΙΧΕΙΑ!I50=0,"",ΣΤΟΙΧΕΙΑ!I50)</f>
        <v/>
      </c>
      <c r="J76" s="436" t="str">
        <f>IF(ΣΤΟΙΧΕΙΑ!J50=0,"",ΣΤΟΙΧΕΙΑ!J50)</f>
        <v/>
      </c>
      <c r="K76" s="436" t="str">
        <f>IF(ΣΤΟΙΧΕΙΑ!K50=0,"",ΣΤΟΙΧΕΙΑ!K50)</f>
        <v/>
      </c>
      <c r="L76" s="436" t="str">
        <f>IF(ΣΤΟΙΧΕΙΑ!L50=0,"",ΣΤΟΙΧΕΙΑ!L50)</f>
        <v/>
      </c>
      <c r="M76" s="436" t="str">
        <f>IF(ΣΤΟΙΧΕΙΑ!M50=0,"",ΣΤΟΙΧΕΙΑ!M50)</f>
        <v/>
      </c>
      <c r="N76" s="436" t="str">
        <f>IF(ΣΤΟΙΧΕΙΑ!N50=0,"",ΣΤΟΙΧΕΙΑ!N50)</f>
        <v/>
      </c>
      <c r="O76" s="436" t="str">
        <f>IF(ΣΤΟΙΧΕΙΑ!O50=0,"",ΣΤΟΙΧΕΙΑ!O50)</f>
        <v/>
      </c>
      <c r="P76" s="436" t="str">
        <f>IF(ΣΤΟΙΧΕΙΑ!P50=0,"",ΣΤΟΙΧΕΙΑ!P50)</f>
        <v/>
      </c>
      <c r="Q76" s="147">
        <f t="shared" ref="Q76:Q77" ca="1" si="21">IF(SUM(D76:P76)=0,"",SUM(D76:P76))</f>
        <v>236.65566490196161</v>
      </c>
    </row>
    <row r="77" spans="1:17" s="467" customFormat="1" ht="20.100000000000001" customHeight="1">
      <c r="A77" s="41">
        <f t="shared" si="20"/>
        <v>11</v>
      </c>
      <c r="B77" s="128" t="str">
        <f>IF(Διαμερίσματα!B16="","",Διαμερίσματα!B16)</f>
        <v>Β4</v>
      </c>
      <c r="C77" s="318" t="str">
        <f>IF(Διαμερίσματα!I16="","",Διαμερίσματα!I16)</f>
        <v>Ιδιοκτήτης-11</v>
      </c>
      <c r="D77" s="436" t="str">
        <f>IF(ΣΤΟΙΧΕΙΑ!D51=0,"",ΣΤΟΙΧΕΙΑ!D51)</f>
        <v/>
      </c>
      <c r="E77" s="436" t="str">
        <f ca="1">IF(ΣΤΟΙΧΕΙΑ!E51=0,"",ΣΤΟΙΧΕΙΑ!E51)</f>
        <v/>
      </c>
      <c r="F77" s="436" t="str">
        <f>IF(ΣΤΟΙΧΕΙΑ!F51=0,"",ΣΤΟΙΧΕΙΑ!F51)</f>
        <v/>
      </c>
      <c r="G77" s="436" t="str">
        <f>IF(ΣΤΟΙΧΕΙΑ!G51=0,"",ΣΤΟΙΧΕΙΑ!G51)</f>
        <v/>
      </c>
      <c r="H77" s="436" t="str">
        <f>IF(ΣΤΟΙΧΕΙΑ!H51=0,"",ΣΤΟΙΧΕΙΑ!H51)</f>
        <v/>
      </c>
      <c r="I77" s="436" t="str">
        <f>IF(ΣΤΟΙΧΕΙΑ!I51=0,"",ΣΤΟΙΧΕΙΑ!I51)</f>
        <v/>
      </c>
      <c r="J77" s="436" t="str">
        <f>IF(ΣΤΟΙΧΕΙΑ!J51=0,"",ΣΤΟΙΧΕΙΑ!J51)</f>
        <v/>
      </c>
      <c r="K77" s="436" t="str">
        <f>IF(ΣΤΟΙΧΕΙΑ!K51=0,"",ΣΤΟΙΧΕΙΑ!K51)</f>
        <v/>
      </c>
      <c r="L77" s="436" t="str">
        <f>IF(ΣΤΟΙΧΕΙΑ!L51=0,"",ΣΤΟΙΧΕΙΑ!L51)</f>
        <v/>
      </c>
      <c r="M77" s="436" t="str">
        <f>IF(ΣΤΟΙΧΕΙΑ!M51=0,"",ΣΤΟΙΧΕΙΑ!M51)</f>
        <v/>
      </c>
      <c r="N77" s="436" t="str">
        <f>IF(ΣΤΟΙΧΕΙΑ!N51=0,"",ΣΤΟΙΧΕΙΑ!N51)</f>
        <v/>
      </c>
      <c r="O77" s="436" t="str">
        <f>IF(ΣΤΟΙΧΕΙΑ!O51=0,"",ΣΤΟΙΧΕΙΑ!O51)</f>
        <v/>
      </c>
      <c r="P77" s="436" t="str">
        <f>IF(ΣΤΟΙΧΕΙΑ!P51=0,"",ΣΤΟΙΧΕΙΑ!P51)</f>
        <v/>
      </c>
      <c r="Q77" s="147" t="str">
        <f t="shared" ca="1" si="21"/>
        <v/>
      </c>
    </row>
    <row r="78" spans="1:17" s="629" customFormat="1" ht="20.100000000000001" customHeight="1">
      <c r="A78" s="41">
        <f t="shared" ref="A78:A88" si="22">IF(B78="","",A77+1)</f>
        <v>12</v>
      </c>
      <c r="B78" s="128" t="str">
        <f>IF(Διαμερίσματα!B17="","",Διαμερίσματα!B17)</f>
        <v>Γ1</v>
      </c>
      <c r="C78" s="318" t="str">
        <f>IF(Διαμερίσματα!I17="","",Διαμερίσματα!I17)</f>
        <v>Ιδιοκτήτης-12</v>
      </c>
      <c r="D78" s="436" t="str">
        <f>IF(ΣΤΟΙΧΕΙΑ!D52=0,"",ΣΤΟΙΧΕΙΑ!D52)</f>
        <v/>
      </c>
      <c r="E78" s="436">
        <f ca="1">IF(ΣΤΟΙΧΕΙΑ!E52=0,"",ΣΤΟΙΧΕΙΑ!E52)</f>
        <v>26.341334434909303</v>
      </c>
      <c r="F78" s="436" t="str">
        <f>IF(ΣΤΟΙΧΕΙΑ!F52=0,"",ΣΤΟΙΧΕΙΑ!F52)</f>
        <v/>
      </c>
      <c r="G78" s="436" t="str">
        <f>IF(ΣΤΟΙΧΕΙΑ!G52=0,"",ΣΤΟΙΧΕΙΑ!G52)</f>
        <v/>
      </c>
      <c r="H78" s="436" t="str">
        <f>IF(ΣΤΟΙΧΕΙΑ!H52=0,"",ΣΤΟΙΧΕΙΑ!H52)</f>
        <v/>
      </c>
      <c r="I78" s="436" t="str">
        <f>IF(ΣΤΟΙΧΕΙΑ!I52=0,"",ΣΤΟΙΧΕΙΑ!I52)</f>
        <v/>
      </c>
      <c r="J78" s="436" t="str">
        <f>IF(ΣΤΟΙΧΕΙΑ!J52=0,"",ΣΤΟΙΧΕΙΑ!J52)</f>
        <v/>
      </c>
      <c r="K78" s="436" t="str">
        <f>IF(ΣΤΟΙΧΕΙΑ!K52=0,"",ΣΤΟΙΧΕΙΑ!K52)</f>
        <v/>
      </c>
      <c r="L78" s="436" t="str">
        <f>IF(ΣΤΟΙΧΕΙΑ!L52=0,"",ΣΤΟΙΧΕΙΑ!L52)</f>
        <v/>
      </c>
      <c r="M78" s="436" t="str">
        <f>IF(ΣΤΟΙΧΕΙΑ!M52=0,"",ΣΤΟΙΧΕΙΑ!M52)</f>
        <v/>
      </c>
      <c r="N78" s="436" t="str">
        <f>IF(ΣΤΟΙΧΕΙΑ!N52=0,"",ΣΤΟΙΧΕΙΑ!N52)</f>
        <v/>
      </c>
      <c r="O78" s="436" t="str">
        <f>IF(ΣΤΟΙΧΕΙΑ!O52=0,"",ΣΤΟΙΧΕΙΑ!O52)</f>
        <v/>
      </c>
      <c r="P78" s="436" t="str">
        <f>IF(ΣΤΟΙΧΕΙΑ!P52=0,"",ΣΤΟΙΧΕΙΑ!P52)</f>
        <v/>
      </c>
      <c r="Q78" s="147">
        <f t="shared" ref="Q78:Q88" ca="1" si="23">IF(SUM(D78:P78)=0,"",SUM(D78:P78))</f>
        <v>26.341334434909303</v>
      </c>
    </row>
    <row r="79" spans="1:17" s="629" customFormat="1" ht="20.100000000000001" customHeight="1">
      <c r="A79" s="41">
        <f t="shared" si="22"/>
        <v>13</v>
      </c>
      <c r="B79" s="128" t="str">
        <f>IF(Διαμερίσματα!B18="","",Διαμερίσματα!B18)</f>
        <v>Γ2</v>
      </c>
      <c r="C79" s="318" t="str">
        <f>IF(Διαμερίσματα!I18="","",Διαμερίσματα!I18)</f>
        <v>Ιδιοκτήτης-13</v>
      </c>
      <c r="D79" s="436" t="str">
        <f>IF(ΣΤΟΙΧΕΙΑ!D53=0,"",ΣΤΟΙΧΕΙΑ!D53)</f>
        <v/>
      </c>
      <c r="E79" s="436">
        <f ca="1">IF(ΣΤΟΙΧΕΙΑ!E53=0,"",ΣΤΟΙΧΕΙΑ!E53)</f>
        <v>26.37122660956501</v>
      </c>
      <c r="F79" s="436" t="str">
        <f>IF(ΣΤΟΙΧΕΙΑ!F53=0,"",ΣΤΟΙΧΕΙΑ!F53)</f>
        <v/>
      </c>
      <c r="G79" s="436" t="str">
        <f>IF(ΣΤΟΙΧΕΙΑ!G53=0,"",ΣΤΟΙΧΕΙΑ!G53)</f>
        <v/>
      </c>
      <c r="H79" s="436" t="str">
        <f>IF(ΣΤΟΙΧΕΙΑ!H53=0,"",ΣΤΟΙΧΕΙΑ!H53)</f>
        <v/>
      </c>
      <c r="I79" s="436" t="str">
        <f>IF(ΣΤΟΙΧΕΙΑ!I53=0,"",ΣΤΟΙΧΕΙΑ!I53)</f>
        <v/>
      </c>
      <c r="J79" s="436" t="str">
        <f>IF(ΣΤΟΙΧΕΙΑ!J53=0,"",ΣΤΟΙΧΕΙΑ!J53)</f>
        <v/>
      </c>
      <c r="K79" s="436" t="str">
        <f>IF(ΣΤΟΙΧΕΙΑ!K53=0,"",ΣΤΟΙΧΕΙΑ!K53)</f>
        <v/>
      </c>
      <c r="L79" s="436" t="str">
        <f>IF(ΣΤΟΙΧΕΙΑ!L53=0,"",ΣΤΟΙΧΕΙΑ!L53)</f>
        <v/>
      </c>
      <c r="M79" s="436" t="str">
        <f>IF(ΣΤΟΙΧΕΙΑ!M53=0,"",ΣΤΟΙΧΕΙΑ!M53)</f>
        <v/>
      </c>
      <c r="N79" s="436" t="str">
        <f>IF(ΣΤΟΙΧΕΙΑ!N53=0,"",ΣΤΟΙΧΕΙΑ!N53)</f>
        <v/>
      </c>
      <c r="O79" s="436" t="str">
        <f>IF(ΣΤΟΙΧΕΙΑ!O53=0,"",ΣΤΟΙΧΕΙΑ!O53)</f>
        <v/>
      </c>
      <c r="P79" s="436" t="str">
        <f>IF(ΣΤΟΙΧΕΙΑ!P53=0,"",ΣΤΟΙΧΕΙΑ!P53)</f>
        <v/>
      </c>
      <c r="Q79" s="147">
        <f t="shared" ca="1" si="23"/>
        <v>26.37122660956501</v>
      </c>
    </row>
    <row r="80" spans="1:17" s="629" customFormat="1" ht="20.100000000000001" customHeight="1">
      <c r="A80" s="41">
        <f t="shared" si="22"/>
        <v>14</v>
      </c>
      <c r="B80" s="128" t="str">
        <f>IF(Διαμερίσματα!B19="","",Διαμερίσματα!B19)</f>
        <v>Γ3</v>
      </c>
      <c r="C80" s="318" t="str">
        <f>IF(Διαμερίσματα!I19="","",Διαμερίσματα!I19)</f>
        <v>Ιδιοκτήτης-14</v>
      </c>
      <c r="D80" s="436" t="str">
        <f>IF(ΣΤΟΙΧΕΙΑ!D54=0,"",ΣΤΟΙΧΕΙΑ!D54)</f>
        <v/>
      </c>
      <c r="E80" s="436">
        <f ca="1">IF(ΣΤΟΙΧΕΙΑ!E54=0,"",ΣΤΟΙΧΕΙΑ!E54)</f>
        <v>26.37122660956501</v>
      </c>
      <c r="F80" s="436" t="str">
        <f>IF(ΣΤΟΙΧΕΙΑ!F54=0,"",ΣΤΟΙΧΕΙΑ!F54)</f>
        <v/>
      </c>
      <c r="G80" s="436" t="str">
        <f>IF(ΣΤΟΙΧΕΙΑ!G54=0,"",ΣΤΟΙΧΕΙΑ!G54)</f>
        <v/>
      </c>
      <c r="H80" s="436" t="str">
        <f>IF(ΣΤΟΙΧΕΙΑ!H54=0,"",ΣΤΟΙΧΕΙΑ!H54)</f>
        <v/>
      </c>
      <c r="I80" s="436" t="str">
        <f>IF(ΣΤΟΙΧΕΙΑ!I54=0,"",ΣΤΟΙΧΕΙΑ!I54)</f>
        <v/>
      </c>
      <c r="J80" s="436" t="str">
        <f>IF(ΣΤΟΙΧΕΙΑ!J54=0,"",ΣΤΟΙΧΕΙΑ!J54)</f>
        <v/>
      </c>
      <c r="K80" s="436" t="str">
        <f>IF(ΣΤΟΙΧΕΙΑ!K54=0,"",ΣΤΟΙΧΕΙΑ!K54)</f>
        <v/>
      </c>
      <c r="L80" s="436" t="str">
        <f>IF(ΣΤΟΙΧΕΙΑ!L54=0,"",ΣΤΟΙΧΕΙΑ!L54)</f>
        <v/>
      </c>
      <c r="M80" s="436" t="str">
        <f>IF(ΣΤΟΙΧΕΙΑ!M54=0,"",ΣΤΟΙΧΕΙΑ!M54)</f>
        <v/>
      </c>
      <c r="N80" s="436" t="str">
        <f>IF(ΣΤΟΙΧΕΙΑ!N54=0,"",ΣΤΟΙΧΕΙΑ!N54)</f>
        <v/>
      </c>
      <c r="O80" s="436" t="str">
        <f>IF(ΣΤΟΙΧΕΙΑ!O54=0,"",ΣΤΟΙΧΕΙΑ!O54)</f>
        <v/>
      </c>
      <c r="P80" s="436" t="str">
        <f>IF(ΣΤΟΙΧΕΙΑ!P54=0,"",ΣΤΟΙΧΕΙΑ!P54)</f>
        <v/>
      </c>
      <c r="Q80" s="147">
        <f t="shared" ca="1" si="23"/>
        <v>26.37122660956501</v>
      </c>
    </row>
    <row r="81" spans="1:17" s="629" customFormat="1" ht="20.100000000000001" customHeight="1">
      <c r="A81" s="41">
        <f t="shared" si="22"/>
        <v>15</v>
      </c>
      <c r="B81" s="128" t="str">
        <f>IF(Διαμερίσματα!B20="","",Διαμερίσματα!B20)</f>
        <v>Γ4</v>
      </c>
      <c r="C81" s="318" t="str">
        <f>IF(Διαμερίσματα!I20="","",Διαμερίσματα!I20)</f>
        <v>Ιδιοκτήτης-15</v>
      </c>
      <c r="D81" s="436" t="str">
        <f>IF(ΣΤΟΙΧΕΙΑ!D55=0,"",ΣΤΟΙΧΕΙΑ!D55)</f>
        <v/>
      </c>
      <c r="E81" s="436">
        <f ca="1">IF(ΣΤΟΙΧΕΙΑ!E55=0,"",ΣΤΟΙΧΕΙΑ!E55)</f>
        <v>26.37122660956501</v>
      </c>
      <c r="F81" s="436" t="str">
        <f>IF(ΣΤΟΙΧΕΙΑ!F55=0,"",ΣΤΟΙΧΕΙΑ!F55)</f>
        <v/>
      </c>
      <c r="G81" s="436" t="str">
        <f>IF(ΣΤΟΙΧΕΙΑ!G55=0,"",ΣΤΟΙΧΕΙΑ!G55)</f>
        <v/>
      </c>
      <c r="H81" s="436" t="str">
        <f>IF(ΣΤΟΙΧΕΙΑ!H55=0,"",ΣΤΟΙΧΕΙΑ!H55)</f>
        <v/>
      </c>
      <c r="I81" s="436" t="str">
        <f>IF(ΣΤΟΙΧΕΙΑ!I55=0,"",ΣΤΟΙΧΕΙΑ!I55)</f>
        <v/>
      </c>
      <c r="J81" s="436" t="str">
        <f>IF(ΣΤΟΙΧΕΙΑ!J55=0,"",ΣΤΟΙΧΕΙΑ!J55)</f>
        <v/>
      </c>
      <c r="K81" s="436" t="str">
        <f>IF(ΣΤΟΙΧΕΙΑ!K55=0,"",ΣΤΟΙΧΕΙΑ!K55)</f>
        <v/>
      </c>
      <c r="L81" s="436" t="str">
        <f>IF(ΣΤΟΙΧΕΙΑ!L55=0,"",ΣΤΟΙΧΕΙΑ!L55)</f>
        <v/>
      </c>
      <c r="M81" s="436" t="str">
        <f>IF(ΣΤΟΙΧΕΙΑ!M55=0,"",ΣΤΟΙΧΕΙΑ!M55)</f>
        <v/>
      </c>
      <c r="N81" s="436" t="str">
        <f>IF(ΣΤΟΙΧΕΙΑ!N55=0,"",ΣΤΟΙΧΕΙΑ!N55)</f>
        <v/>
      </c>
      <c r="O81" s="436" t="str">
        <f>IF(ΣΤΟΙΧΕΙΑ!O55=0,"",ΣΤΟΙΧΕΙΑ!O55)</f>
        <v/>
      </c>
      <c r="P81" s="436" t="str">
        <f>IF(ΣΤΟΙΧΕΙΑ!P55=0,"",ΣΤΟΙΧΕΙΑ!P55)</f>
        <v/>
      </c>
      <c r="Q81" s="147">
        <f t="shared" ca="1" si="23"/>
        <v>26.37122660956501</v>
      </c>
    </row>
    <row r="82" spans="1:17" s="629" customFormat="1" ht="20.100000000000001" customHeight="1">
      <c r="A82" s="41">
        <f t="shared" si="22"/>
        <v>16</v>
      </c>
      <c r="B82" s="128" t="str">
        <f>IF(Διαμερίσματα!B21="","",Διαμερίσματα!B21)</f>
        <v>Δ1</v>
      </c>
      <c r="C82" s="318" t="str">
        <f>IF(Διαμερίσματα!I21="","",Διαμερίσματα!I21)</f>
        <v>Ιδιοκτήτης-16</v>
      </c>
      <c r="D82" s="436" t="str">
        <f>IF(ΣΤΟΙΧΕΙΑ!D56=0,"",ΣΤΟΙΧΕΙΑ!D56)</f>
        <v/>
      </c>
      <c r="E82" s="436">
        <f ca="1">IF(ΣΤΟΙΧΕΙΑ!E56=0,"",ΣΤΟΙΧΕΙΑ!E56)</f>
        <v>26.37122660956501</v>
      </c>
      <c r="F82" s="436" t="str">
        <f>IF(ΣΤΟΙΧΕΙΑ!F56=0,"",ΣΤΟΙΧΕΙΑ!F56)</f>
        <v/>
      </c>
      <c r="G82" s="436" t="str">
        <f>IF(ΣΤΟΙΧΕΙΑ!G56=0,"",ΣΤΟΙΧΕΙΑ!G56)</f>
        <v/>
      </c>
      <c r="H82" s="436" t="str">
        <f>IF(ΣΤΟΙΧΕΙΑ!H56=0,"",ΣΤΟΙΧΕΙΑ!H56)</f>
        <v/>
      </c>
      <c r="I82" s="436" t="str">
        <f>IF(ΣΤΟΙΧΕΙΑ!I56=0,"",ΣΤΟΙΧΕΙΑ!I56)</f>
        <v/>
      </c>
      <c r="J82" s="436" t="str">
        <f>IF(ΣΤΟΙΧΕΙΑ!J56=0,"",ΣΤΟΙΧΕΙΑ!J56)</f>
        <v/>
      </c>
      <c r="K82" s="436" t="str">
        <f>IF(ΣΤΟΙΧΕΙΑ!K56=0,"",ΣΤΟΙΧΕΙΑ!K56)</f>
        <v/>
      </c>
      <c r="L82" s="436" t="str">
        <f>IF(ΣΤΟΙΧΕΙΑ!L56=0,"",ΣΤΟΙΧΕΙΑ!L56)</f>
        <v/>
      </c>
      <c r="M82" s="436" t="str">
        <f>IF(ΣΤΟΙΧΕΙΑ!M56=0,"",ΣΤΟΙΧΕΙΑ!M56)</f>
        <v/>
      </c>
      <c r="N82" s="436" t="str">
        <f>IF(ΣΤΟΙΧΕΙΑ!N56=0,"",ΣΤΟΙΧΕΙΑ!N56)</f>
        <v/>
      </c>
      <c r="O82" s="436" t="str">
        <f>IF(ΣΤΟΙΧΕΙΑ!O56=0,"",ΣΤΟΙΧΕΙΑ!O56)</f>
        <v/>
      </c>
      <c r="P82" s="436" t="str">
        <f>IF(ΣΤΟΙΧΕΙΑ!P56=0,"",ΣΤΟΙΧΕΙΑ!P56)</f>
        <v/>
      </c>
      <c r="Q82" s="147">
        <f t="shared" ca="1" si="23"/>
        <v>26.37122660956501</v>
      </c>
    </row>
    <row r="83" spans="1:17" s="629" customFormat="1" ht="20.100000000000001" customHeight="1">
      <c r="A83" s="41">
        <f t="shared" si="22"/>
        <v>17</v>
      </c>
      <c r="B83" s="128" t="str">
        <f>IF(Διαμερίσματα!B22="","",Διαμερίσματα!B22)</f>
        <v>Δ2</v>
      </c>
      <c r="C83" s="318" t="str">
        <f>IF(Διαμερίσματα!I22="","",Διαμερίσματα!I22)</f>
        <v>Ιδιοκτήτης-17</v>
      </c>
      <c r="D83" s="436" t="str">
        <f>IF(ΣΤΟΙΧΕΙΑ!D57=0,"",ΣΤΟΙΧΕΙΑ!D57)</f>
        <v/>
      </c>
      <c r="E83" s="436">
        <f ca="1">IF(ΣΤΟΙΧΕΙΑ!E57=0,"",ΣΤΟΙΧΕΙΑ!E57)</f>
        <v>26.37122660956501</v>
      </c>
      <c r="F83" s="436" t="str">
        <f>IF(ΣΤΟΙΧΕΙΑ!F57=0,"",ΣΤΟΙΧΕΙΑ!F57)</f>
        <v/>
      </c>
      <c r="G83" s="436" t="str">
        <f>IF(ΣΤΟΙΧΕΙΑ!G57=0,"",ΣΤΟΙΧΕΙΑ!G57)</f>
        <v/>
      </c>
      <c r="H83" s="436" t="str">
        <f>IF(ΣΤΟΙΧΕΙΑ!H57=0,"",ΣΤΟΙΧΕΙΑ!H57)</f>
        <v/>
      </c>
      <c r="I83" s="436" t="str">
        <f>IF(ΣΤΟΙΧΕΙΑ!I57=0,"",ΣΤΟΙΧΕΙΑ!I57)</f>
        <v/>
      </c>
      <c r="J83" s="436" t="str">
        <f>IF(ΣΤΟΙΧΕΙΑ!J57=0,"",ΣΤΟΙΧΕΙΑ!J57)</f>
        <v/>
      </c>
      <c r="K83" s="436" t="str">
        <f>IF(ΣΤΟΙΧΕΙΑ!K57=0,"",ΣΤΟΙΧΕΙΑ!K57)</f>
        <v/>
      </c>
      <c r="L83" s="436" t="str">
        <f>IF(ΣΤΟΙΧΕΙΑ!L57=0,"",ΣΤΟΙΧΕΙΑ!L57)</f>
        <v/>
      </c>
      <c r="M83" s="436" t="str">
        <f>IF(ΣΤΟΙΧΕΙΑ!M57=0,"",ΣΤΟΙΧΕΙΑ!M57)</f>
        <v/>
      </c>
      <c r="N83" s="436" t="str">
        <f>IF(ΣΤΟΙΧΕΙΑ!N57=0,"",ΣΤΟΙΧΕΙΑ!N57)</f>
        <v/>
      </c>
      <c r="O83" s="436" t="str">
        <f>IF(ΣΤΟΙΧΕΙΑ!O57=0,"",ΣΤΟΙΧΕΙΑ!O57)</f>
        <v/>
      </c>
      <c r="P83" s="436" t="str">
        <f>IF(ΣΤΟΙΧΕΙΑ!P57=0,"",ΣΤΟΙΧΕΙΑ!P57)</f>
        <v/>
      </c>
      <c r="Q83" s="147">
        <f t="shared" ca="1" si="23"/>
        <v>26.37122660956501</v>
      </c>
    </row>
    <row r="84" spans="1:17" s="629" customFormat="1" ht="20.100000000000001" customHeight="1">
      <c r="A84" s="41">
        <f t="shared" si="22"/>
        <v>18</v>
      </c>
      <c r="B84" s="128" t="str">
        <f>IF(Διαμερίσματα!B23="","",Διαμερίσματα!B23)</f>
        <v>Δ3</v>
      </c>
      <c r="C84" s="318" t="str">
        <f>IF(Διαμερίσματα!I23="","",Διαμερίσματα!I23)</f>
        <v>Ιδιοκτήτης-18</v>
      </c>
      <c r="D84" s="436" t="str">
        <f>IF(ΣΤΟΙΧΕΙΑ!D58=0,"",ΣΤΟΙΧΕΙΑ!D58)</f>
        <v/>
      </c>
      <c r="E84" s="436">
        <f ca="1">IF(ΣΤΟΙΧΕΙΑ!E58=0,"",ΣΤΟΙΧΕΙΑ!E58)</f>
        <v>26.518445453577037</v>
      </c>
      <c r="F84" s="436" t="str">
        <f>IF(ΣΤΟΙΧΕΙΑ!F58=0,"",ΣΤΟΙΧΕΙΑ!F58)</f>
        <v/>
      </c>
      <c r="G84" s="436" t="str">
        <f>IF(ΣΤΟΙΧΕΙΑ!G58=0,"",ΣΤΟΙΧΕΙΑ!G58)</f>
        <v/>
      </c>
      <c r="H84" s="436" t="str">
        <f>IF(ΣΤΟΙΧΕΙΑ!H58=0,"",ΣΤΟΙΧΕΙΑ!H58)</f>
        <v/>
      </c>
      <c r="I84" s="436" t="str">
        <f>IF(ΣΤΟΙΧΕΙΑ!I58=0,"",ΣΤΟΙΧΕΙΑ!I58)</f>
        <v/>
      </c>
      <c r="J84" s="436" t="str">
        <f>IF(ΣΤΟΙΧΕΙΑ!J58=0,"",ΣΤΟΙΧΕΙΑ!J58)</f>
        <v/>
      </c>
      <c r="K84" s="436" t="str">
        <f>IF(ΣΤΟΙΧΕΙΑ!K58=0,"",ΣΤΟΙΧΕΙΑ!K58)</f>
        <v/>
      </c>
      <c r="L84" s="436" t="str">
        <f>IF(ΣΤΟΙΧΕΙΑ!L58=0,"",ΣΤΟΙΧΕΙΑ!L58)</f>
        <v/>
      </c>
      <c r="M84" s="436" t="str">
        <f>IF(ΣΤΟΙΧΕΙΑ!M58=0,"",ΣΤΟΙΧΕΙΑ!M58)</f>
        <v/>
      </c>
      <c r="N84" s="436" t="str">
        <f>IF(ΣΤΟΙΧΕΙΑ!N58=0,"",ΣΤΟΙΧΕΙΑ!N58)</f>
        <v/>
      </c>
      <c r="O84" s="436" t="str">
        <f>IF(ΣΤΟΙΧΕΙΑ!O58=0,"",ΣΤΟΙΧΕΙΑ!O58)</f>
        <v/>
      </c>
      <c r="P84" s="436" t="str">
        <f>IF(ΣΤΟΙΧΕΙΑ!P58=0,"",ΣΤΟΙΧΕΙΑ!P58)</f>
        <v/>
      </c>
      <c r="Q84" s="147">
        <f t="shared" ca="1" si="23"/>
        <v>26.518445453577037</v>
      </c>
    </row>
    <row r="85" spans="1:17" s="629" customFormat="1" ht="20.100000000000001" customHeight="1">
      <c r="A85" s="41">
        <f t="shared" si="22"/>
        <v>19</v>
      </c>
      <c r="B85" s="128" t="str">
        <f>IF(Διαμερίσματα!B24="","",Διαμερίσματα!B24)</f>
        <v>Δ4</v>
      </c>
      <c r="C85" s="318" t="str">
        <f>IF(Διαμερίσματα!I24="","",Διαμερίσματα!I24)</f>
        <v>Ιδιοκτήτης-19</v>
      </c>
      <c r="D85" s="436" t="str">
        <f>IF(ΣΤΟΙΧΕΙΑ!D59=0,"",ΣΤΟΙΧΕΙΑ!D59)</f>
        <v/>
      </c>
      <c r="E85" s="436">
        <f ca="1">IF(ΣΤΟΙΧΕΙΑ!E59=0,"",ΣΤΟΙΧΕΙΑ!E59)</f>
        <v>26.37122660956501</v>
      </c>
      <c r="F85" s="436" t="str">
        <f>IF(ΣΤΟΙΧΕΙΑ!F59=0,"",ΣΤΟΙΧΕΙΑ!F59)</f>
        <v/>
      </c>
      <c r="G85" s="436" t="str">
        <f>IF(ΣΤΟΙΧΕΙΑ!G59=0,"",ΣΤΟΙΧΕΙΑ!G59)</f>
        <v/>
      </c>
      <c r="H85" s="436" t="str">
        <f>IF(ΣΤΟΙΧΕΙΑ!H59=0,"",ΣΤΟΙΧΕΙΑ!H59)</f>
        <v/>
      </c>
      <c r="I85" s="436" t="str">
        <f>IF(ΣΤΟΙΧΕΙΑ!I59=0,"",ΣΤΟΙΧΕΙΑ!I59)</f>
        <v/>
      </c>
      <c r="J85" s="436" t="str">
        <f>IF(ΣΤΟΙΧΕΙΑ!J59=0,"",ΣΤΟΙΧΕΙΑ!J59)</f>
        <v/>
      </c>
      <c r="K85" s="436" t="str">
        <f>IF(ΣΤΟΙΧΕΙΑ!K59=0,"",ΣΤΟΙΧΕΙΑ!K59)</f>
        <v/>
      </c>
      <c r="L85" s="436" t="str">
        <f>IF(ΣΤΟΙΧΕΙΑ!L59=0,"",ΣΤΟΙΧΕΙΑ!L59)</f>
        <v/>
      </c>
      <c r="M85" s="436" t="str">
        <f>IF(ΣΤΟΙΧΕΙΑ!M59=0,"",ΣΤΟΙΧΕΙΑ!M59)</f>
        <v/>
      </c>
      <c r="N85" s="436" t="str">
        <f>IF(ΣΤΟΙΧΕΙΑ!N59=0,"",ΣΤΟΙΧΕΙΑ!N59)</f>
        <v/>
      </c>
      <c r="O85" s="436" t="str">
        <f>IF(ΣΤΟΙΧΕΙΑ!O59=0,"",ΣΤΟΙΧΕΙΑ!O59)</f>
        <v/>
      </c>
      <c r="P85" s="436" t="str">
        <f>IF(ΣΤΟΙΧΕΙΑ!P59=0,"",ΣΤΟΙΧΕΙΑ!P59)</f>
        <v/>
      </c>
      <c r="Q85" s="147">
        <f t="shared" ca="1" si="23"/>
        <v>26.37122660956501</v>
      </c>
    </row>
    <row r="86" spans="1:17" s="629" customFormat="1" ht="20.100000000000001" customHeight="1">
      <c r="A86" s="41">
        <f t="shared" si="22"/>
        <v>20</v>
      </c>
      <c r="B86" s="128" t="str">
        <f>IF(Διαμερίσματα!B25="","",Διαμερίσματα!B25)</f>
        <v>Ε1</v>
      </c>
      <c r="C86" s="318" t="str">
        <f>IF(Διαμερίσματα!I25="","",Διαμερίσματα!I25)</f>
        <v>Ιδιοκτήτης-20</v>
      </c>
      <c r="D86" s="436" t="str">
        <f>IF(ΣΤΟΙΧΕΙΑ!D60=0,"",ΣΤΟΙΧΕΙΑ!D60)</f>
        <v/>
      </c>
      <c r="E86" s="436">
        <f ca="1">IF(ΣΤΟΙΧΕΙΑ!E60=0,"",ΣΤΟΙΧΕΙΑ!E60)</f>
        <v>26.37122660956501</v>
      </c>
      <c r="F86" s="436" t="str">
        <f>IF(ΣΤΟΙΧΕΙΑ!F60=0,"",ΣΤΟΙΧΕΙΑ!F60)</f>
        <v/>
      </c>
      <c r="G86" s="436" t="str">
        <f>IF(ΣΤΟΙΧΕΙΑ!G60=0,"",ΣΤΟΙΧΕΙΑ!G60)</f>
        <v/>
      </c>
      <c r="H86" s="436" t="str">
        <f>IF(ΣΤΟΙΧΕΙΑ!H60=0,"",ΣΤΟΙΧΕΙΑ!H60)</f>
        <v/>
      </c>
      <c r="I86" s="436" t="str">
        <f>IF(ΣΤΟΙΧΕΙΑ!I60=0,"",ΣΤΟΙΧΕΙΑ!I60)</f>
        <v/>
      </c>
      <c r="J86" s="436" t="str">
        <f>IF(ΣΤΟΙΧΕΙΑ!J60=0,"",ΣΤΟΙΧΕΙΑ!J60)</f>
        <v/>
      </c>
      <c r="K86" s="436" t="str">
        <f>IF(ΣΤΟΙΧΕΙΑ!K60=0,"",ΣΤΟΙΧΕΙΑ!K60)</f>
        <v/>
      </c>
      <c r="L86" s="436" t="str">
        <f>IF(ΣΤΟΙΧΕΙΑ!L60=0,"",ΣΤΟΙΧΕΙΑ!L60)</f>
        <v/>
      </c>
      <c r="M86" s="436" t="str">
        <f>IF(ΣΤΟΙΧΕΙΑ!M60=0,"",ΣΤΟΙΧΕΙΑ!M60)</f>
        <v/>
      </c>
      <c r="N86" s="436" t="str">
        <f>IF(ΣΤΟΙΧΕΙΑ!N60=0,"",ΣΤΟΙΧΕΙΑ!N60)</f>
        <v/>
      </c>
      <c r="O86" s="436" t="str">
        <f>IF(ΣΤΟΙΧΕΙΑ!O60=0,"",ΣΤΟΙΧΕΙΑ!O60)</f>
        <v/>
      </c>
      <c r="P86" s="436" t="str">
        <f>IF(ΣΤΟΙΧΕΙΑ!P60=0,"",ΣΤΟΙΧΕΙΑ!P60)</f>
        <v/>
      </c>
      <c r="Q86" s="147">
        <f t="shared" ca="1" si="23"/>
        <v>26.37122660956501</v>
      </c>
    </row>
    <row r="87" spans="1:17" s="629" customFormat="1" ht="20.100000000000001" customHeight="1">
      <c r="A87" s="41">
        <f t="shared" si="22"/>
        <v>21</v>
      </c>
      <c r="B87" s="128" t="str">
        <f>IF(Διαμερίσματα!B26="","",Διαμερίσματα!B26)</f>
        <v>Ε2</v>
      </c>
      <c r="C87" s="318" t="str">
        <f>IF(Διαμερίσματα!I26="","",Διαμερίσματα!I26)</f>
        <v>Ιδιοκτήτης-21</v>
      </c>
      <c r="D87" s="436" t="str">
        <f>IF(ΣΤΟΙΧΕΙΑ!D61=0,"",ΣΤΟΙΧΕΙΑ!D61)</f>
        <v/>
      </c>
      <c r="E87" s="436">
        <f ca="1">IF(ΣΤΟΙΧΕΙΑ!E61=0,"",ΣΤΟΙΧΕΙΑ!E61)</f>
        <v>26.37122660956501</v>
      </c>
      <c r="F87" s="436" t="str">
        <f>IF(ΣΤΟΙΧΕΙΑ!F61=0,"",ΣΤΟΙΧΕΙΑ!F61)</f>
        <v/>
      </c>
      <c r="G87" s="436" t="str">
        <f>IF(ΣΤΟΙΧΕΙΑ!G61=0,"",ΣΤΟΙΧΕΙΑ!G61)</f>
        <v/>
      </c>
      <c r="H87" s="436" t="str">
        <f>IF(ΣΤΟΙΧΕΙΑ!H61=0,"",ΣΤΟΙΧΕΙΑ!H61)</f>
        <v/>
      </c>
      <c r="I87" s="436" t="str">
        <f>IF(ΣΤΟΙΧΕΙΑ!I61=0,"",ΣΤΟΙΧΕΙΑ!I61)</f>
        <v/>
      </c>
      <c r="J87" s="436" t="str">
        <f>IF(ΣΤΟΙΧΕΙΑ!J61=0,"",ΣΤΟΙΧΕΙΑ!J61)</f>
        <v/>
      </c>
      <c r="K87" s="436" t="str">
        <f>IF(ΣΤΟΙΧΕΙΑ!K61=0,"",ΣΤΟΙΧΕΙΑ!K61)</f>
        <v/>
      </c>
      <c r="L87" s="436" t="str">
        <f>IF(ΣΤΟΙΧΕΙΑ!L61=0,"",ΣΤΟΙΧΕΙΑ!L61)</f>
        <v/>
      </c>
      <c r="M87" s="436" t="str">
        <f>IF(ΣΤΟΙΧΕΙΑ!M61=0,"",ΣΤΟΙΧΕΙΑ!M61)</f>
        <v/>
      </c>
      <c r="N87" s="436" t="str">
        <f>IF(ΣΤΟΙΧΕΙΑ!N61=0,"",ΣΤΟΙΧΕΙΑ!N61)</f>
        <v/>
      </c>
      <c r="O87" s="436" t="str">
        <f>IF(ΣΤΟΙΧΕΙΑ!O61=0,"",ΣΤΟΙΧΕΙΑ!O61)</f>
        <v/>
      </c>
      <c r="P87" s="436" t="str">
        <f>IF(ΣΤΟΙΧΕΙΑ!P61=0,"",ΣΤΟΙΧΕΙΑ!P61)</f>
        <v/>
      </c>
      <c r="Q87" s="147">
        <f t="shared" ca="1" si="23"/>
        <v>26.37122660956501</v>
      </c>
    </row>
    <row r="88" spans="1:17" s="467" customFormat="1" ht="20.100000000000001" customHeight="1">
      <c r="A88" s="41">
        <f t="shared" si="22"/>
        <v>22</v>
      </c>
      <c r="B88" s="128" t="str">
        <f>IF(Διαμερίσματα!B27="","",Διαμερίσματα!B27)</f>
        <v>Ε3</v>
      </c>
      <c r="C88" s="318" t="str">
        <f>IF(Διαμερίσματα!I27="","",Διαμερίσματα!I27)</f>
        <v>Ιδιοκτήτης-22</v>
      </c>
      <c r="D88" s="436" t="str">
        <f>IF(ΣΤΟΙΧΕΙΑ!D62=0,"",ΣΤΟΙΧΕΙΑ!D62)</f>
        <v/>
      </c>
      <c r="E88" s="436" t="str">
        <f ca="1">IF(ΣΤΟΙΧΕΙΑ!E62=0,"",ΣΤΟΙΧΕΙΑ!E62)</f>
        <v/>
      </c>
      <c r="F88" s="436" t="str">
        <f>IF(ΣΤΟΙΧΕΙΑ!F62=0,"",ΣΤΟΙΧΕΙΑ!F62)</f>
        <v/>
      </c>
      <c r="G88" s="436" t="str">
        <f>IF(ΣΤΟΙΧΕΙΑ!G62=0,"",ΣΤΟΙΧΕΙΑ!G62)</f>
        <v/>
      </c>
      <c r="H88" s="436" t="str">
        <f>IF(ΣΤΟΙΧΕΙΑ!H62=0,"",ΣΤΟΙΧΕΙΑ!H62)</f>
        <v/>
      </c>
      <c r="I88" s="436" t="str">
        <f>IF(ΣΤΟΙΧΕΙΑ!I62=0,"",ΣΤΟΙΧΕΙΑ!I62)</f>
        <v/>
      </c>
      <c r="J88" s="436" t="str">
        <f>IF(ΣΤΟΙΧΕΙΑ!J62=0,"",ΣΤΟΙΧΕΙΑ!J62)</f>
        <v/>
      </c>
      <c r="K88" s="436" t="str">
        <f>IF(ΣΤΟΙΧΕΙΑ!K62=0,"",ΣΤΟΙΧΕΙΑ!K62)</f>
        <v/>
      </c>
      <c r="L88" s="436" t="str">
        <f>IF(ΣΤΟΙΧΕΙΑ!L62=0,"",ΣΤΟΙΧΕΙΑ!L62)</f>
        <v/>
      </c>
      <c r="M88" s="436" t="str">
        <f>IF(ΣΤΟΙΧΕΙΑ!M62=0,"",ΣΤΟΙΧΕΙΑ!M62)</f>
        <v/>
      </c>
      <c r="N88" s="436" t="str">
        <f>IF(ΣΤΟΙΧΕΙΑ!N62=0,"",ΣΤΟΙΧΕΙΑ!N62)</f>
        <v/>
      </c>
      <c r="O88" s="436" t="str">
        <f>IF(ΣΤΟΙΧΕΙΑ!O62=0,"",ΣΤΟΙΧΕΙΑ!O62)</f>
        <v/>
      </c>
      <c r="P88" s="436" t="str">
        <f>IF(ΣΤΟΙΧΕΙΑ!P62=0,"",ΣΤΟΙΧΕΙΑ!P62)</f>
        <v/>
      </c>
      <c r="Q88" s="147" t="str">
        <f t="shared" ca="1" si="23"/>
        <v/>
      </c>
    </row>
    <row r="89" spans="1:17" s="6" customFormat="1">
      <c r="A89" s="748" t="s">
        <v>92</v>
      </c>
      <c r="B89" s="748"/>
      <c r="C89" s="748"/>
      <c r="D89" s="441" t="str">
        <f>IF(ΣΤΟΙΧΕΙΑ!D63=0,"",ΣΤΟΙΧΕΙΑ!D63)</f>
        <v/>
      </c>
      <c r="E89" s="441">
        <f ca="1">IF(ΣΤΟΙΧΕΙΑ!E63=0,"",ΣΤΟΙΧΕΙΑ!E63)</f>
        <v>1479.9999999999995</v>
      </c>
      <c r="F89" s="441" t="str">
        <f>IF(ΣΤΟΙΧΕΙΑ!F63=0,"",ΣΤΟΙΧΕΙΑ!F63)</f>
        <v/>
      </c>
      <c r="G89" s="441" t="str">
        <f>IF(ΣΤΟΙΧΕΙΑ!G63=0,"",ΣΤΟΙΧΕΙΑ!G63)</f>
        <v/>
      </c>
      <c r="H89" s="441" t="str">
        <f>IF(ΣΤΟΙΧΕΙΑ!H63=0,"",ΣΤΟΙΧΕΙΑ!H63)</f>
        <v/>
      </c>
      <c r="I89" s="441" t="str">
        <f>IF(ΣΤΟΙΧΕΙΑ!I63=0,"",ΣΤΟΙΧΕΙΑ!I63)</f>
        <v/>
      </c>
      <c r="J89" s="441" t="str">
        <f>IF(ΣΤΟΙΧΕΙΑ!J63=0,"",ΣΤΟΙΧΕΙΑ!J63)</f>
        <v/>
      </c>
      <c r="K89" s="441" t="str">
        <f>IF(ΣΤΟΙΧΕΙΑ!K63=0,"",ΣΤΟΙΧΕΙΑ!K63)</f>
        <v/>
      </c>
      <c r="L89" s="441" t="str">
        <f>IF(ΣΤΟΙΧΕΙΑ!L63=0,"",ΣΤΟΙΧΕΙΑ!L63)</f>
        <v/>
      </c>
      <c r="M89" s="441" t="str">
        <f>IF(ΣΤΟΙΧΕΙΑ!M63=0,"",ΣΤΟΙΧΕΙΑ!M63)</f>
        <v/>
      </c>
      <c r="N89" s="441" t="str">
        <f>IF(ΣΤΟΙΧΕΙΑ!N63=0,"",ΣΤΟΙΧΕΙΑ!N63)</f>
        <v/>
      </c>
      <c r="O89" s="441" t="str">
        <f>IF(ΣΤΟΙΧΕΙΑ!O63=0,"",ΣΤΟΙΧΕΙΑ!O63)</f>
        <v/>
      </c>
      <c r="P89" s="441" t="str">
        <f>IF(ΣΤΟΙΧΕΙΑ!P63=0,"",ΣΤΟΙΧΕΙΑ!P63)</f>
        <v/>
      </c>
      <c r="Q89" s="148">
        <f ca="1">SUM(Q67:Q88)</f>
        <v>1479.9999999999995</v>
      </c>
    </row>
  </sheetData>
  <sheetProtection password="E4A3" sheet="1" objects="1" scenarios="1"/>
  <mergeCells count="22">
    <mergeCell ref="F1:Q1"/>
    <mergeCell ref="Q47:Q49"/>
    <mergeCell ref="Q19:Q21"/>
    <mergeCell ref="Q2:Q4"/>
    <mergeCell ref="Q64:Q66"/>
    <mergeCell ref="F46:Q46"/>
    <mergeCell ref="A44:C44"/>
    <mergeCell ref="A2:A3"/>
    <mergeCell ref="B2:B3"/>
    <mergeCell ref="C2:C3"/>
    <mergeCell ref="A89:C89"/>
    <mergeCell ref="A17:C17"/>
    <mergeCell ref="A19:A20"/>
    <mergeCell ref="B19:B20"/>
    <mergeCell ref="C19:C20"/>
    <mergeCell ref="A47:A48"/>
    <mergeCell ref="B47:B48"/>
    <mergeCell ref="C47:C48"/>
    <mergeCell ref="A62:C62"/>
    <mergeCell ref="A64:A65"/>
    <mergeCell ref="B64:B65"/>
    <mergeCell ref="C64:C65"/>
  </mergeCells>
  <pageMargins left="0.19685039370078741" right="0.19685039370078741" top="0.39370078740157483" bottom="0.39370078740157483" header="0.31496062992125984" footer="0.31496062992125984"/>
  <pageSetup paperSize="9" scale="80" orientation="portrait" r:id="rId1"/>
  <customProperties>
    <customPr name="DVSECTIONID" r:id="rId2"/>
  </customProperties>
  <drawing r:id="rId3"/>
</worksheet>
</file>

<file path=xl/worksheets/sheet35.xml><?xml version="1.0" encoding="utf-8"?>
<worksheet xmlns="http://schemas.openxmlformats.org/spreadsheetml/2006/main" xmlns:r="http://schemas.openxmlformats.org/officeDocument/2006/relationships">
  <sheetPr codeName="Φύλλο15"/>
  <dimension ref="A1:F1"/>
  <sheetViews>
    <sheetView workbookViewId="0"/>
  </sheetViews>
  <sheetFormatPr defaultRowHeight="15"/>
  <sheetData>
    <row r="1" spans="1:6">
      <c r="A1" t="e">
        <f>IF(#REF!,"AAAAAH//7wA=",0)</f>
        <v>#REF!</v>
      </c>
      <c r="B1" t="e">
        <f>AND(#REF!,"AAAAAH//7wE=")</f>
        <v>#REF!</v>
      </c>
      <c r="C1" t="e">
        <f>IF(#REF!,"AAAAAH//7wI=",0)</f>
        <v>#REF!</v>
      </c>
      <c r="D1" t="e">
        <f>IF("N",_xludf._xlfn.IFERROR,"AAAAAH//7wM=")</f>
        <v>#VALUE!</v>
      </c>
      <c r="E1" t="e">
        <f>IF("N",Αναλώσιμα!_xlnm.Print_Titles,"AAAAAH//7wQ=")</f>
        <v>#VALUE!</v>
      </c>
      <c r="F1" t="e">
        <f>IF("N",Ταμείο!_xlnm.Print_Titles,"AAAAAH//7wU=")</f>
        <v>#VALUE!</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sheetPr>
    <tabColor theme="1"/>
  </sheetPr>
  <dimension ref="A1:D5"/>
  <sheetViews>
    <sheetView showFormulas="1" workbookViewId="0">
      <selection activeCell="F3" sqref="F3"/>
    </sheetView>
  </sheetViews>
  <sheetFormatPr defaultRowHeight="15"/>
  <cols>
    <col min="1" max="1" width="12.28515625" bestFit="1" customWidth="1"/>
    <col min="2" max="3" width="4.28515625" bestFit="1" customWidth="1"/>
    <col min="4" max="4" width="4.42578125" bestFit="1" customWidth="1"/>
    <col min="5" max="5" width="4.28515625" customWidth="1"/>
    <col min="6" max="6" width="4.42578125" customWidth="1"/>
  </cols>
  <sheetData>
    <row r="1" spans="1:4">
      <c r="A1" s="659" t="str">
        <f ca="1">'1-2'!D5</f>
        <v>Ιδιοκτήτης-1</v>
      </c>
    </row>
    <row r="2" spans="1:4">
      <c r="A2" s="660" t="str">
        <f>'1-2'!D9</f>
        <v>ΔΕΗ Κοινόχρηστων Χώρων</v>
      </c>
      <c r="B2" s="660">
        <f>'1-2'!E9</f>
        <v>100</v>
      </c>
      <c r="C2" s="661">
        <f ca="1">'1-2'!F9</f>
        <v>33.401608739251955</v>
      </c>
      <c r="D2" s="661">
        <f ca="1">'1-2'!G9</f>
        <v>3.3401608739251958</v>
      </c>
    </row>
    <row r="4" spans="1:4">
      <c r="A4" s="659" t="s">
        <v>501</v>
      </c>
    </row>
    <row r="5" spans="1:4">
      <c r="A5" s="660" t="s">
        <v>45</v>
      </c>
      <c r="B5" s="660">
        <v>100</v>
      </c>
      <c r="C5" s="661">
        <v>33.4</v>
      </c>
      <c r="D5" s="661">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Φύλλα εργασίας</vt:lpstr>
      </vt:variant>
      <vt:variant>
        <vt:i4>35</vt:i4>
      </vt:variant>
      <vt:variant>
        <vt:lpstr>Περιοχές με ονόματα</vt:lpstr>
      </vt:variant>
      <vt:variant>
        <vt:i4>2</vt:i4>
      </vt:variant>
    </vt:vector>
  </HeadingPairs>
  <TitlesOfParts>
    <vt:vector size="37" baseType="lpstr">
      <vt:lpstr>ΠΛΟΗΓΗΣΗ</vt:lpstr>
      <vt:lpstr>Ταμείο</vt:lpstr>
      <vt:lpstr>Σύνολα</vt:lpstr>
      <vt:lpstr>Πετρέλαιο</vt:lpstr>
      <vt:lpstr>Ώρες</vt:lpstr>
      <vt:lpstr>ΣΤΟΙΧΕΙΑ</vt:lpstr>
      <vt:lpstr>Διαμερίσματα</vt:lpstr>
      <vt:lpstr>Θέρμανση</vt:lpstr>
      <vt:lpstr>Δαπάνες</vt:lpstr>
      <vt:lpstr>1-2</vt:lpstr>
      <vt:lpstr>3-4</vt:lpstr>
      <vt:lpstr>5-6</vt:lpstr>
      <vt:lpstr>7-8</vt:lpstr>
      <vt:lpstr>9-10</vt:lpstr>
      <vt:lpstr>11-12</vt:lpstr>
      <vt:lpstr>13-14</vt:lpstr>
      <vt:lpstr>15-16</vt:lpstr>
      <vt:lpstr>17-18</vt:lpstr>
      <vt:lpstr>19-20</vt:lpstr>
      <vt:lpstr>21-22</vt:lpstr>
      <vt:lpstr>Σχόλια</vt:lpstr>
      <vt:lpstr>Ενημέρωση</vt:lpstr>
      <vt:lpstr>Αναλώσιμα</vt:lpstr>
      <vt:lpstr>Συγκεντρωτικό</vt:lpstr>
      <vt:lpstr>Υπολογισμοί</vt:lpstr>
      <vt:lpstr>Δεξαμενή</vt:lpstr>
      <vt:lpstr>Μελέτη</vt:lpstr>
      <vt:lpstr>Απολογισμός</vt:lpstr>
      <vt:lpstr>Συνέλευση</vt:lpstr>
      <vt:lpstr>Νομοθεσία</vt:lpstr>
      <vt:lpstr>Πρακτικά</vt:lpstr>
      <vt:lpstr>Ανελκυστήρας</vt:lpstr>
      <vt:lpstr>Καπέλα</vt:lpstr>
      <vt:lpstr>Αναλυτικά</vt:lpstr>
      <vt:lpstr>ΞΕΚΛΕΙΔΩΤΟ</vt:lpstr>
      <vt:lpstr>Αναλώσιμα!Print_Titles</vt:lpstr>
      <vt:lpstr>Ταμείο!Print_Titles</vt:lpstr>
    </vt:vector>
  </TitlesOfParts>
  <Company>Ιδιωτικό ΔΩΡΕΑΝ</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ΔΩΡΕΑΝ ερασιτεχνικό Πρόγραμμα για Υπολογισμό &amp; Εκτύπωση Κοινοχρήστων Πολυκατοικίας κλπ</dc:title>
  <dc:subject>2012 για 22 Διαμερίσματα, με Αυτονομία και Ωρομέτρηση και με δυνατότητα ποσοστιαίας Μείωσης των Συντελεστών (και ξεχωριστά του fi*εi) επιλεγμένων Διαμερισμάτων.</dc:subject>
  <dc:creator>Fotis Tsiridis</dc:creator>
  <cp:keywords>ΚΟΙΝΟΧΡΗΣΤΑ; ΠΟΛΥΚΑΤΟΙΚΙΑ; ΠΡΟΓΡΑΜΜΑ; ΔΩΡΕΑΝ; free; Excel</cp:keywords>
  <dc:description>http://dorean-free.blogspot.com_x000d_
Το προγραμματάκι είναι μια ΕΡΑΣΙΤΕΧΝΙΚΗ προσπάθεια σε Excel, για Προσωπική σας χρήση, με το οποίο μπορείτε να κάνετε Υπολογισμό &amp; Εκτύπωση για τα ΚΟΙΝΟΧΡΗΣΤΑ της Πολυκατοικίας σας και να δείτε και κάποιες λύσεις για άλλους πολλούς προβληματισμούς ενός ΔΙΑΧΕΙΡΙΣΤΗ.</dc:description>
  <cp:lastModifiedBy>Fotis</cp:lastModifiedBy>
  <cp:lastPrinted>2013-02-10T10:36:58Z</cp:lastPrinted>
  <dcterms:created xsi:type="dcterms:W3CDTF">2009-01-14T18:42:27Z</dcterms:created>
  <dcterms:modified xsi:type="dcterms:W3CDTF">2013-02-10T10:37:32Z</dcterms:modified>
  <cp:category>ΣΠΙΤΙ;ΔΙΑΜΕΡΙΣΜΑ</cp:category>
  <cp:version>F1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oogle.Documents.DocumentId">
    <vt:lpwstr>1B-zWHRLwtnpsnzVTSXsoHHIv5-5adwqizmqDwi0Ql4g</vt:lpwstr>
  </property>
  <property fmtid="{D5CDD505-2E9C-101B-9397-08002B2CF9AE}" pid="3" name="Google.Documents.RevisionId">
    <vt:lpwstr>05976281020371978158</vt:lpwstr>
  </property>
  <property fmtid="{D5CDD505-2E9C-101B-9397-08002B2CF9AE}" pid="4" name="Google.Documents.PreviousRevisionId">
    <vt:lpwstr>18178135472795537781</vt:lpwstr>
  </property>
  <property fmtid="{D5CDD505-2E9C-101B-9397-08002B2CF9AE}" pid="5" name="Google.Documents.PluginVersion">
    <vt:lpwstr>2.0.2424.7283</vt:lpwstr>
  </property>
  <property fmtid="{D5CDD505-2E9C-101B-9397-08002B2CF9AE}" pid="6" name="Google.Documents.MergeIncapabilityFlags">
    <vt:i4>0</vt:i4>
  </property>
  <property fmtid="{D5CDD505-2E9C-101B-9397-08002B2CF9AE}" pid="7" name="Google.Documents.Tracking">
    <vt:lpwstr>false</vt:lpwstr>
  </property>
</Properties>
</file>