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ITMO\2 курс\Физика\Лабы\3\"/>
    </mc:Choice>
  </mc:AlternateContent>
  <xr:revisionPtr revIDLastSave="0" documentId="13_ncr:1_{979D5178-FA1D-45D0-8CB5-70ABBE90B939}" xr6:coauthVersionLast="45" xr6:coauthVersionMax="45" xr10:uidLastSave="{00000000-0000-0000-0000-000000000000}"/>
  <bookViews>
    <workbookView xWindow="-108" yWindow="-108" windowWidth="23256" windowHeight="14016" firstSheet="2" activeTab="25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2" sheetId="26" r:id="rId10"/>
    <sheet name="Печать 3" sheetId="27" r:id="rId11"/>
    <sheet name="Параметры установки" sheetId="22" r:id="rId12"/>
    <sheet name="Погрешности прямые (t)" sheetId="13" r:id="rId13"/>
    <sheet name="Погрешности прямые (a)" sheetId="5" r:id="rId14"/>
    <sheet name="Погрешности косвенные (a)" sheetId="12" r:id="rId15"/>
    <sheet name="Погрешности прямые (e)" sheetId="6" r:id="rId16"/>
    <sheet name="Погрешности косвенные (e)" sheetId="10" r:id="rId17"/>
    <sheet name="Погрешности прямые (M)" sheetId="7" r:id="rId18"/>
    <sheet name="Погрешности косвенные (M)" sheetId="11" r:id="rId19"/>
    <sheet name="МНК рис.1" sheetId="8" r:id="rId20"/>
    <sheet name="МНК рис.2" sheetId="14" r:id="rId21"/>
    <sheet name="МНК рис.3" sheetId="15" r:id="rId22"/>
    <sheet name="МНК рис.4" sheetId="16" r:id="rId23"/>
    <sheet name="МНК рис.5" sheetId="17" r:id="rId24"/>
    <sheet name="МНК рис.6" sheetId="18" r:id="rId25"/>
    <sheet name="МНК I" sheetId="2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1" l="1"/>
  <c r="B2" i="11"/>
  <c r="C7" i="11" s="1"/>
  <c r="B7" i="11"/>
  <c r="B4" i="11"/>
  <c r="D7" i="11" s="1"/>
  <c r="B9" i="10"/>
  <c r="B3" i="10"/>
  <c r="B3" i="11"/>
  <c r="B2" i="10"/>
  <c r="C7" i="10" s="1"/>
  <c r="B5" i="10"/>
  <c r="B7" i="10"/>
  <c r="M2" i="5"/>
  <c r="B4" i="10"/>
  <c r="B4" i="12"/>
  <c r="B2" i="12"/>
  <c r="G19" i="25" l="1"/>
  <c r="F19" i="25"/>
  <c r="E19" i="25"/>
  <c r="D19" i="25"/>
  <c r="C19" i="25"/>
  <c r="B19" i="25"/>
  <c r="G15" i="25"/>
  <c r="F15" i="25"/>
  <c r="E15" i="25"/>
  <c r="D15" i="25"/>
  <c r="C15" i="25"/>
  <c r="B15" i="25"/>
  <c r="G11" i="25"/>
  <c r="F11" i="25"/>
  <c r="E11" i="25"/>
  <c r="D11" i="25"/>
  <c r="C11" i="25"/>
  <c r="B11" i="25"/>
  <c r="G7" i="25"/>
  <c r="F7" i="25"/>
  <c r="E7" i="25"/>
  <c r="D7" i="25"/>
  <c r="C7" i="25"/>
  <c r="B7" i="25"/>
  <c r="A16" i="25" l="1"/>
  <c r="A12" i="25"/>
  <c r="A8" i="25"/>
  <c r="A4" i="25"/>
  <c r="A15" i="1"/>
  <c r="A11" i="1"/>
  <c r="A7" i="1"/>
  <c r="A3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H2" i="13"/>
  <c r="C2" i="21" l="1"/>
  <c r="E4" i="21"/>
  <c r="C3" i="21"/>
  <c r="E7" i="21"/>
  <c r="E6" i="21"/>
  <c r="E5" i="21"/>
  <c r="E3" i="21"/>
  <c r="C7" i="21"/>
  <c r="C6" i="21"/>
  <c r="C5" i="21"/>
  <c r="C4" i="21"/>
  <c r="B4" i="13"/>
  <c r="B3" i="13"/>
  <c r="B2" i="13"/>
  <c r="B3" i="12"/>
  <c r="I2" i="13" l="1"/>
  <c r="K2" i="13" s="1"/>
  <c r="M2" i="13" s="1"/>
  <c r="P2" i="21"/>
  <c r="N2" i="13" l="1"/>
  <c r="B6" i="12" s="1"/>
  <c r="B5" i="12"/>
  <c r="B7" i="12" s="1"/>
  <c r="B8" i="12" s="1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G18" i="1"/>
  <c r="B26" i="2" s="1"/>
  <c r="C26" i="2" s="1"/>
  <c r="D26" i="2" s="1"/>
  <c r="A5" i="18" s="1"/>
  <c r="F18" i="1"/>
  <c r="B25" i="2" s="1"/>
  <c r="C25" i="2" s="1"/>
  <c r="D25" i="2" s="1"/>
  <c r="A5" i="17" s="1"/>
  <c r="E18" i="1"/>
  <c r="B24" i="2" s="1"/>
  <c r="C24" i="2" s="1"/>
  <c r="D24" i="2" s="1"/>
  <c r="A5" i="16" s="1"/>
  <c r="D18" i="1"/>
  <c r="B23" i="2" s="1"/>
  <c r="C23" i="2" s="1"/>
  <c r="D23" i="2" s="1"/>
  <c r="A5" i="15" s="1"/>
  <c r="C18" i="1"/>
  <c r="B22" i="2" s="1"/>
  <c r="C22" i="2" s="1"/>
  <c r="D22" i="2" s="1"/>
  <c r="A5" i="14" s="1"/>
  <c r="B18" i="1"/>
  <c r="B21" i="2" s="1"/>
  <c r="C21" i="2" s="1"/>
  <c r="D21" i="2" s="1"/>
  <c r="A5" i="8" s="1"/>
  <c r="G14" i="1"/>
  <c r="B20" i="2" s="1"/>
  <c r="C20" i="2" s="1"/>
  <c r="D20" i="2" s="1"/>
  <c r="A4" i="18" s="1"/>
  <c r="F14" i="1"/>
  <c r="B19" i="2" s="1"/>
  <c r="C19" i="2" s="1"/>
  <c r="D19" i="2" s="1"/>
  <c r="A4" i="17" s="1"/>
  <c r="E14" i="1"/>
  <c r="B18" i="2" s="1"/>
  <c r="C18" i="2" s="1"/>
  <c r="D18" i="2" s="1"/>
  <c r="A4" i="16" s="1"/>
  <c r="D14" i="1"/>
  <c r="B17" i="2" s="1"/>
  <c r="C17" i="2" s="1"/>
  <c r="D17" i="2" s="1"/>
  <c r="A4" i="15" s="1"/>
  <c r="C14" i="1"/>
  <c r="B16" i="2" s="1"/>
  <c r="C16" i="2" s="1"/>
  <c r="D16" i="2" s="1"/>
  <c r="A4" i="14" s="1"/>
  <c r="B14" i="1"/>
  <c r="B15" i="2" s="1"/>
  <c r="C15" i="2" s="1"/>
  <c r="D15" i="2" s="1"/>
  <c r="A4" i="8" s="1"/>
  <c r="C10" i="1"/>
  <c r="B10" i="2" s="1"/>
  <c r="C10" i="2" s="1"/>
  <c r="D10" i="2" s="1"/>
  <c r="A3" i="14" s="1"/>
  <c r="D10" i="1"/>
  <c r="B11" i="2" s="1"/>
  <c r="C11" i="2" s="1"/>
  <c r="D11" i="2" s="1"/>
  <c r="A3" i="15" s="1"/>
  <c r="E10" i="1"/>
  <c r="B12" i="2" s="1"/>
  <c r="C12" i="2" s="1"/>
  <c r="D12" i="2" s="1"/>
  <c r="A3" i="16" s="1"/>
  <c r="F10" i="1"/>
  <c r="B13" i="2" s="1"/>
  <c r="C13" i="2" s="1"/>
  <c r="D13" i="2" s="1"/>
  <c r="A3" i="17" s="1"/>
  <c r="G10" i="1"/>
  <c r="B14" i="2" s="1"/>
  <c r="C14" i="2" s="1"/>
  <c r="D14" i="2" s="1"/>
  <c r="A3" i="18" s="1"/>
  <c r="B10" i="1"/>
  <c r="B9" i="2" s="1"/>
  <c r="C9" i="2" s="1"/>
  <c r="D9" i="2" s="1"/>
  <c r="A3" i="8" s="1"/>
  <c r="C6" i="1"/>
  <c r="B4" i="2" s="1"/>
  <c r="C4" i="2" s="1"/>
  <c r="D6" i="1"/>
  <c r="B5" i="2" s="1"/>
  <c r="C5" i="2" s="1"/>
  <c r="E6" i="1"/>
  <c r="B6" i="2" s="1"/>
  <c r="C6" i="2" s="1"/>
  <c r="F6" i="1"/>
  <c r="B7" i="2" s="1"/>
  <c r="C7" i="2" s="1"/>
  <c r="A6" i="5" s="1"/>
  <c r="G6" i="1"/>
  <c r="B8" i="2" s="1"/>
  <c r="C8" i="2" s="1"/>
  <c r="B6" i="1"/>
  <c r="B3" i="2" s="1"/>
  <c r="C3" i="2" s="1"/>
  <c r="E3" i="2" l="1"/>
  <c r="B8" i="11"/>
  <c r="D5" i="2"/>
  <c r="A4" i="5"/>
  <c r="D6" i="2"/>
  <c r="A5" i="5"/>
  <c r="D3" i="2"/>
  <c r="A2" i="5"/>
  <c r="D8" i="2"/>
  <c r="A7" i="5"/>
  <c r="E26" i="2"/>
  <c r="B5" i="18" s="1"/>
  <c r="D4" i="2"/>
  <c r="A3" i="5"/>
  <c r="G5" i="4"/>
  <c r="P2" i="4"/>
  <c r="G4" i="4"/>
  <c r="G6" i="4"/>
  <c r="G7" i="4"/>
  <c r="G2" i="4"/>
  <c r="G8" i="4"/>
  <c r="G3" i="4"/>
  <c r="E6" i="2"/>
  <c r="D7" i="2"/>
  <c r="E7" i="2"/>
  <c r="E10" i="2"/>
  <c r="B3" i="14" s="1"/>
  <c r="E5" i="2"/>
  <c r="E18" i="2"/>
  <c r="B4" i="16" s="1"/>
  <c r="E22" i="2"/>
  <c r="B5" i="14" s="1"/>
  <c r="E23" i="2"/>
  <c r="B5" i="15" s="1"/>
  <c r="E4" i="2"/>
  <c r="E24" i="2"/>
  <c r="B5" i="16" s="1"/>
  <c r="E25" i="2"/>
  <c r="B5" i="17" s="1"/>
  <c r="E8" i="2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4" i="5" s="1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H2" i="7"/>
  <c r="B9" i="11" s="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R2" i="4" s="1"/>
  <c r="R4" i="4" s="1"/>
  <c r="R6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Q2" i="4" l="1"/>
  <c r="Q4" i="4" s="1"/>
  <c r="Q6" i="4" s="1"/>
  <c r="B4" i="7"/>
  <c r="B7" i="7"/>
  <c r="B6" i="7"/>
  <c r="B3" i="7"/>
  <c r="E2" i="8"/>
  <c r="F2" i="8"/>
  <c r="C2" i="17"/>
  <c r="I2" i="5"/>
  <c r="K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G2" i="8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5" i="14" l="1"/>
  <c r="G3" i="14"/>
  <c r="G5" i="17"/>
  <c r="G5" i="8"/>
  <c r="G4" i="8"/>
  <c r="G3" i="17"/>
  <c r="G4" i="17"/>
  <c r="G5" i="16"/>
  <c r="P2" i="8"/>
  <c r="P2" i="17"/>
  <c r="G5" i="18"/>
  <c r="G3" i="8"/>
  <c r="G4" i="14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4" l="1"/>
  <c r="O2" i="14" s="1"/>
  <c r="H5" i="14" s="1"/>
  <c r="I5" i="14" s="1"/>
  <c r="N2" i="17"/>
  <c r="O2" i="17" s="1"/>
  <c r="H2" i="17" s="1"/>
  <c r="I2" i="17" s="1"/>
  <c r="N2" i="8"/>
  <c r="O2" i="8" s="1"/>
  <c r="N2" i="15"/>
  <c r="N2" i="18"/>
  <c r="N2" i="16"/>
  <c r="B8" i="10"/>
  <c r="N2" i="6"/>
  <c r="C4" i="19" l="1"/>
  <c r="B3" i="21" s="1"/>
  <c r="F4" i="19"/>
  <c r="B6" i="21" s="1"/>
  <c r="H4" i="8"/>
  <c r="I4" i="8" s="1"/>
  <c r="H5" i="8"/>
  <c r="I5" i="8" s="1"/>
  <c r="B4" i="19"/>
  <c r="B2" i="21" s="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R4" i="17" s="1"/>
  <c r="R6" i="17" s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N2" i="21" l="1"/>
  <c r="O2" i="21" s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  <c r="N2" i="5"/>
</calcChain>
</file>

<file path=xl/sharedStrings.xml><?xml version="1.0" encoding="utf-8"?>
<sst xmlns="http://schemas.openxmlformats.org/spreadsheetml/2006/main" count="301" uniqueCount="77">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</sst>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1.3234542431669787E-3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1.3234542431669787E-3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</c:formatCode>
                <c:ptCount val="4"/>
                <c:pt idx="0">
                  <c:v>2.5525100441776689</c:v>
                </c:pt>
                <c:pt idx="1">
                  <c:v>5.5223513225242504</c:v>
                </c:pt>
                <c:pt idx="2">
                  <c:v>7.441631035428542</c:v>
                </c:pt>
                <c:pt idx="3">
                  <c:v>10.113164707816221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</c:formatCode>
                <c:ptCount val="4"/>
                <c:pt idx="0">
                  <c:v>5.9821275823830219E-2</c:v>
                </c:pt>
                <c:pt idx="1">
                  <c:v>0.10834711528523734</c:v>
                </c:pt>
                <c:pt idx="2">
                  <c:v>0.15657460766785664</c:v>
                </c:pt>
                <c:pt idx="3">
                  <c:v>0.20398647595108696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</c:formatCode>
                <c:ptCount val="4"/>
                <c:pt idx="0">
                  <c:v>1.966663400860803</c:v>
                </c:pt>
                <c:pt idx="1">
                  <c:v>3.8815914968747647</c:v>
                </c:pt>
                <c:pt idx="2">
                  <c:v>5.5557694085843776</c:v>
                </c:pt>
                <c:pt idx="3">
                  <c:v>7.2377604301297627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</c:formatCode>
                <c:ptCount val="4"/>
                <c:pt idx="0">
                  <c:v>5.9904022561272224E-2</c:v>
                </c:pt>
                <c:pt idx="1">
                  <c:v>0.10876981275380063</c:v>
                </c:pt>
                <c:pt idx="2">
                  <c:v>0.15727992557388124</c:v>
                </c:pt>
                <c:pt idx="3">
                  <c:v>0.20539652532699168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</c:formatCode>
                <c:ptCount val="4"/>
                <c:pt idx="0">
                  <c:v>1.375059956979394</c:v>
                </c:pt>
                <c:pt idx="1">
                  <c:v>2.6827379418754158</c:v>
                </c:pt>
                <c:pt idx="2">
                  <c:v>4.260068672306998</c:v>
                </c:pt>
                <c:pt idx="3">
                  <c:v>5.3916494133885431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</c:formatCode>
                <c:ptCount val="4"/>
                <c:pt idx="0">
                  <c:v>5.9987582406496376E-2</c:v>
                </c:pt>
                <c:pt idx="1">
                  <c:v>0.10907866500320024</c:v>
                </c:pt>
                <c:pt idx="2">
                  <c:v>0.15776452153635118</c:v>
                </c:pt>
                <c:pt idx="3">
                  <c:v>0.20630182678571429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</c:formatCode>
                <c:ptCount val="4"/>
                <c:pt idx="0">
                  <c:v>1.0428299186115939</c:v>
                </c:pt>
                <c:pt idx="1">
                  <c:v>2.095186413973217</c:v>
                </c:pt>
                <c:pt idx="2">
                  <c:v>3.1016497010120467</c:v>
                </c:pt>
                <c:pt idx="3">
                  <c:v>4.1136855527493994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</c:formatCode>
                <c:ptCount val="4"/>
                <c:pt idx="0">
                  <c:v>6.0034507573805553E-2</c:v>
                </c:pt>
                <c:pt idx="1">
                  <c:v>0.10923003179047298</c:v>
                </c:pt>
                <c:pt idx="2">
                  <c:v>0.15819777370687241</c:v>
                </c:pt>
                <c:pt idx="3">
                  <c:v>0.20692851853758609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</c:formatCode>
                <c:ptCount val="4"/>
                <c:pt idx="0">
                  <c:v>0.83787889839698926</c:v>
                </c:pt>
                <c:pt idx="1">
                  <c:v>1.6110939829373379</c:v>
                </c:pt>
                <c:pt idx="2">
                  <c:v>2.3189691659369132</c:v>
                </c:pt>
                <c:pt idx="3">
                  <c:v>3.2167824133910048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</c:formatCode>
                <c:ptCount val="4"/>
                <c:pt idx="0">
                  <c:v>6.0063455470753722E-2</c:v>
                </c:pt>
                <c:pt idx="1">
                  <c:v>0.10935474513483374</c:v>
                </c:pt>
                <c:pt idx="2">
                  <c:v>0.15849049857503211</c:v>
                </c:pt>
                <c:pt idx="3">
                  <c:v>0.2073683445897741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</c:formatCode>
                <c:ptCount val="4"/>
                <c:pt idx="0">
                  <c:v>0.64250573155906576</c:v>
                </c:pt>
                <c:pt idx="1">
                  <c:v>1.2601742190857883</c:v>
                </c:pt>
                <c:pt idx="2">
                  <c:v>1.8933638543586659</c:v>
                </c:pt>
                <c:pt idx="3">
                  <c:v>2.559493652526839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</c:formatCode>
                <c:ptCount val="4"/>
                <c:pt idx="0">
                  <c:v>6.0091050562957417E-2</c:v>
                </c:pt>
                <c:pt idx="1">
                  <c:v>0.10944515013715646</c:v>
                </c:pt>
                <c:pt idx="2">
                  <c:v>0.15864967623837831</c:v>
                </c:pt>
                <c:pt idx="3">
                  <c:v>0.20769066782419293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1.9423220341030219E-2</c:v>
                </c:pt>
                <c:pt idx="1">
                  <c:v>2.7706082865633811E-2</c:v>
                </c:pt>
                <c:pt idx="2">
                  <c:v>3.5657330597179605E-2</c:v>
                </c:pt>
                <c:pt idx="3">
                  <c:v>4.7911431790691524E-2</c:v>
                </c:pt>
                <c:pt idx="4">
                  <c:v>6.2447855217132434E-2</c:v>
                </c:pt>
                <c:pt idx="5">
                  <c:v>7.7041709283295262E-2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1.9423220341030219E-2</c:v>
                </c:pt>
                <c:pt idx="1">
                  <c:v>2.7706082865633811E-2</c:v>
                </c:pt>
                <c:pt idx="2">
                  <c:v>3.5657330597179605E-2</c:v>
                </c:pt>
                <c:pt idx="3">
                  <c:v>4.7911431790691524E-2</c:v>
                </c:pt>
                <c:pt idx="4">
                  <c:v>6.2447855217132434E-2</c:v>
                </c:pt>
                <c:pt idx="5">
                  <c:v>7.7041709283295262E-2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RowHeight="14.4" x14ac:dyDescent="0.3"/>
  <cols>
    <col min="1" max="1" width="26.33203125" customWidth="1"/>
  </cols>
  <sheetData>
    <row r="1" spans="1:7" x14ac:dyDescent="0.3">
      <c r="A1" s="32" t="s">
        <v>42</v>
      </c>
    </row>
    <row r="2" spans="1:7" ht="43.2" x14ac:dyDescent="0.3">
      <c r="A2" s="32" t="s">
        <v>38</v>
      </c>
      <c r="B2" s="28">
        <v>1</v>
      </c>
      <c r="C2" s="28">
        <v>1</v>
      </c>
      <c r="D2" s="28">
        <v>1</v>
      </c>
      <c r="E2" s="28">
        <v>1</v>
      </c>
      <c r="F2" s="28"/>
      <c r="G2" s="28"/>
    </row>
    <row r="3" spans="1:7" ht="28.8" x14ac:dyDescent="0.3">
      <c r="A3" s="32" t="s">
        <v>41</v>
      </c>
      <c r="B3" s="28">
        <v>1</v>
      </c>
      <c r="C3" s="28">
        <v>1</v>
      </c>
      <c r="D3" s="28">
        <v>1</v>
      </c>
      <c r="E3" s="28">
        <v>1</v>
      </c>
      <c r="F3" s="28"/>
      <c r="G3" s="28"/>
    </row>
    <row r="4" spans="1:7" x14ac:dyDescent="0.3">
      <c r="A4" s="32" t="s">
        <v>40</v>
      </c>
    </row>
    <row r="5" spans="1:7" ht="28.8" x14ac:dyDescent="0.3">
      <c r="A5" s="32" t="s">
        <v>43</v>
      </c>
    </row>
    <row r="6" spans="1:7" ht="28.8" x14ac:dyDescent="0.3">
      <c r="A6" s="32" t="s">
        <v>46</v>
      </c>
      <c r="B6" s="31"/>
    </row>
    <row r="7" spans="1:7" x14ac:dyDescent="0.3">
      <c r="A7" s="32" t="s">
        <v>44</v>
      </c>
      <c r="B7">
        <f>B5*B5*B2*B2</f>
        <v>0</v>
      </c>
    </row>
    <row r="8" spans="1:7" ht="28.8" x14ac:dyDescent="0.3">
      <c r="A8" s="32" t="s">
        <v>39</v>
      </c>
      <c r="B8">
        <f>SQRT(SUM(7:7))</f>
        <v>0</v>
      </c>
    </row>
    <row r="9" spans="1:7" ht="28.8" x14ac:dyDescent="0.3">
      <c r="A9" s="32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workbookViewId="0">
      <selection activeCell="A3" sqref="A3"/>
    </sheetView>
  </sheetViews>
  <sheetFormatPr defaultRowHeight="14.4" x14ac:dyDescent="0.3"/>
  <sheetData>
    <row r="1" spans="1:5" ht="15.6" x14ac:dyDescent="0.35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3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4"/>
  <sheetViews>
    <sheetView workbookViewId="0">
      <selection activeCell="N2" sqref="N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8">
        <f>'Таблица 1'!B3</f>
        <v>4.8099999999999996</v>
      </c>
      <c r="B2">
        <f>(A2-$H$2)*(A2-$H$2)</f>
        <v>5.3777777777777652E-3</v>
      </c>
      <c r="H2">
        <f>SUM(A:A)/COUNT(A:A)</f>
        <v>4.8833333333333329</v>
      </c>
      <c r="I2">
        <f>SQRT(SUM(B:B)/COUNT(A:A)/(COUNT(A:A)-1))</f>
        <v>4.0551750201988285E-2</v>
      </c>
      <c r="J2">
        <v>4.3</v>
      </c>
      <c r="K2">
        <f>J2*I2</f>
        <v>0.17437252586854962</v>
      </c>
      <c r="L2">
        <v>0.01</v>
      </c>
      <c r="M2">
        <f>SQRT(K2*K2+(2/3*L2)*(2/3*L2))</f>
        <v>0.17449992040749604</v>
      </c>
      <c r="N2" s="31">
        <f>M2/H2</f>
        <v>3.5733772097098167E-2</v>
      </c>
    </row>
    <row r="3" spans="1:14" x14ac:dyDescent="0.3">
      <c r="A3" s="18">
        <f>'Таблица 1'!B4</f>
        <v>4.8899999999999997</v>
      </c>
      <c r="B3">
        <f t="shared" ref="B3:B4" si="0">(A3-$H$2)*(A3-$H$2)</f>
        <v>4.44444444444465E-5</v>
      </c>
    </row>
    <row r="4" spans="1:14" x14ac:dyDescent="0.3">
      <c r="A4" s="18">
        <f>'Таблица 1'!B5</f>
        <v>4.95</v>
      </c>
      <c r="B4">
        <f t="shared" si="0"/>
        <v>4.4444444444445312E-3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8">
        <f>'Таблица 2'!C3</f>
        <v>5.8707731016086388E-2</v>
      </c>
      <c r="B2" s="18">
        <f>(A2-$H$2)*(A2-$H$2)</f>
        <v>6.9911840094505123E-4</v>
      </c>
      <c r="H2" s="18">
        <f>SUM(A:A)/COUNT(A:A)</f>
        <v>3.2266883810577802E-2</v>
      </c>
      <c r="I2" s="18">
        <f>SQRT(SUM(B:B)/COUNT(A:A)/(COUNT(A:A)-1))</f>
        <v>6.8580974134371704E-3</v>
      </c>
      <c r="J2" s="18">
        <v>4.3</v>
      </c>
      <c r="K2" s="18">
        <f>J2*I2</f>
        <v>2.9489818877779832E-2</v>
      </c>
      <c r="L2" s="18">
        <v>1E-3</v>
      </c>
      <c r="M2" s="18">
        <f>SQRT((2/'Погрешности прямые (t)'!H2^2*0.001)^2+(6*'Параметры установки'!A2/'Погрешности прямые (t)'!H2^3*'Погрешности прямые (t)'!M2)^2)</f>
        <v>6.2941048329398308E-3</v>
      </c>
      <c r="N2" s="31">
        <f>M2/H2</f>
        <v>0.1950639197106627</v>
      </c>
    </row>
    <row r="3" spans="1:14" x14ac:dyDescent="0.3">
      <c r="A3" s="18">
        <f>'Таблица 2'!C4</f>
        <v>4.523325821979847E-2</v>
      </c>
      <c r="B3" s="18">
        <f t="shared" ref="B3:B7" si="0">(A3-$H$2)*(A3-$H$2)</f>
        <v>1.6812686532009259E-4</v>
      </c>
    </row>
    <row r="4" spans="1:14" x14ac:dyDescent="0.3">
      <c r="A4" s="18">
        <f>'Таблица 2'!C5</f>
        <v>3.1626379010526062E-2</v>
      </c>
      <c r="B4" s="18">
        <f t="shared" si="0"/>
        <v>4.1024639888931971E-7</v>
      </c>
    </row>
    <row r="5" spans="1:14" x14ac:dyDescent="0.3">
      <c r="A5" s="18">
        <f>'Таблица 2'!C6</f>
        <v>2.398508812806666E-2</v>
      </c>
      <c r="B5" s="18">
        <f>(A5-$H$2)*(A5-$H$2)</f>
        <v>6.858813972686021E-5</v>
      </c>
    </row>
    <row r="6" spans="1:14" x14ac:dyDescent="0.3">
      <c r="A6" s="18">
        <f>'Таблица 2'!C7</f>
        <v>1.9271214663130753E-2</v>
      </c>
      <c r="B6" s="18">
        <f t="shared" si="0"/>
        <v>1.688874165899071E-4</v>
      </c>
    </row>
    <row r="7" spans="1:14" x14ac:dyDescent="0.3">
      <c r="A7" s="18">
        <f>'Таблица 2'!C8</f>
        <v>1.4777631825858511E-2</v>
      </c>
      <c r="B7" s="18">
        <f t="shared" si="0"/>
        <v>3.0587393498500762E-4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8" sqref="B8"/>
    </sheetView>
  </sheetViews>
  <sheetFormatPr defaultRowHeight="14.4" x14ac:dyDescent="0.3"/>
  <cols>
    <col min="1" max="1" width="26.33203125" customWidth="1"/>
  </cols>
  <sheetData>
    <row r="1" spans="1:7" x14ac:dyDescent="0.3">
      <c r="A1" s="32" t="s">
        <v>42</v>
      </c>
      <c r="B1" t="s">
        <v>27</v>
      </c>
    </row>
    <row r="2" spans="1:7" ht="43.2" x14ac:dyDescent="0.3">
      <c r="A2" s="32" t="s">
        <v>38</v>
      </c>
      <c r="B2" s="28">
        <f>-4*'Параметры установки'!A2/'Погрешности прямые (t)'!H2^3</f>
        <v>-2.4044121917851085E-2</v>
      </c>
      <c r="C2" s="28"/>
      <c r="D2" s="28"/>
      <c r="E2" s="28"/>
      <c r="F2" s="28"/>
      <c r="G2" s="28"/>
    </row>
    <row r="3" spans="1:7" ht="28.8" x14ac:dyDescent="0.3">
      <c r="A3" s="32" t="s">
        <v>41</v>
      </c>
      <c r="B3" s="30">
        <f>'Погрешности прямые (t)'!H2</f>
        <v>4.8833333333333329</v>
      </c>
      <c r="C3" s="28"/>
      <c r="D3" s="28"/>
      <c r="E3" s="28"/>
      <c r="F3" s="28"/>
      <c r="G3" s="28"/>
    </row>
    <row r="4" spans="1:7" x14ac:dyDescent="0.3">
      <c r="A4" s="32" t="s">
        <v>40</v>
      </c>
      <c r="B4" s="18">
        <f>2*'Параметры установки'!A2/'Погрешности прямые (t)'!H2^2</f>
        <v>5.8707731016086395E-2</v>
      </c>
    </row>
    <row r="5" spans="1:7" ht="28.8" x14ac:dyDescent="0.3">
      <c r="A5" s="32" t="s">
        <v>43</v>
      </c>
      <c r="B5" s="18">
        <f>'Погрешности прямые (t)'!M2</f>
        <v>0.17449992040749604</v>
      </c>
    </row>
    <row r="6" spans="1:7" ht="28.8" x14ac:dyDescent="0.3">
      <c r="A6" s="32" t="s">
        <v>46</v>
      </c>
      <c r="B6" s="31">
        <f>'Погрешности прямые (t)'!N2</f>
        <v>3.5733772097098167E-2</v>
      </c>
    </row>
    <row r="7" spans="1:7" x14ac:dyDescent="0.3">
      <c r="A7" s="32" t="s">
        <v>44</v>
      </c>
      <c r="B7">
        <f>B5*B5*B2*B2</f>
        <v>1.7603876344541361E-5</v>
      </c>
    </row>
    <row r="8" spans="1:7" ht="28.8" x14ac:dyDescent="0.3">
      <c r="A8" s="32" t="s">
        <v>39</v>
      </c>
      <c r="B8">
        <f>SQRT(SUM(7:7))</f>
        <v>4.1956973609331453E-3</v>
      </c>
    </row>
    <row r="9" spans="1:7" ht="28.8" x14ac:dyDescent="0.3">
      <c r="A9" s="32" t="s">
        <v>47</v>
      </c>
      <c r="B9" s="31">
        <f>B8/B4</f>
        <v>7.1467544194196334E-2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workbookViewId="0">
      <selection activeCell="H2" sqref="H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8">
        <f>'Таблица 2'!D3</f>
        <v>2.5525100441776689</v>
      </c>
      <c r="B2" s="18">
        <f>(A2-$H$2)*(A2-$H$2)</f>
        <v>1.321584878913139</v>
      </c>
      <c r="H2" s="18">
        <f>SUM(A:A)/COUNT(A:A)</f>
        <v>1.4029079917642526</v>
      </c>
      <c r="I2" s="18">
        <f>SQRT(SUM(B:B)/COUNT(A:A)/(COUNT(A:A)-1))</f>
        <v>0.29817814841031171</v>
      </c>
      <c r="J2" s="18">
        <v>0.95</v>
      </c>
      <c r="K2" s="18">
        <f>J2*I2</f>
        <v>0.28326924098979611</v>
      </c>
      <c r="L2" s="18">
        <v>1E-3</v>
      </c>
      <c r="M2" s="18">
        <f>SQRT(K2*K2+(2/3*L2)*(2/3*L2))</f>
        <v>0.28327002547989372</v>
      </c>
      <c r="N2" s="31">
        <f>M2/H2</f>
        <v>0.20191632462201767</v>
      </c>
    </row>
    <row r="3" spans="1:14" x14ac:dyDescent="0.3">
      <c r="A3" s="18">
        <f>'Таблица 2'!D4</f>
        <v>1.966663400860803</v>
      </c>
      <c r="B3" s="18">
        <f t="shared" ref="B3:B7" si="0">(A3-$H$2)*(A3-$H$2)</f>
        <v>0.31782016128561891</v>
      </c>
    </row>
    <row r="4" spans="1:14" x14ac:dyDescent="0.3">
      <c r="A4" s="18">
        <f>'Таблица 2'!D5</f>
        <v>1.375059956979394</v>
      </c>
      <c r="B4" s="18">
        <f t="shared" si="0"/>
        <v>7.7551304137869705E-4</v>
      </c>
    </row>
    <row r="5" spans="1:14" x14ac:dyDescent="0.3">
      <c r="A5" s="18">
        <f>'Таблица 2'!D6</f>
        <v>1.0428299186115939</v>
      </c>
      <c r="B5" s="18">
        <f t="shared" si="0"/>
        <v>0.12965621876533145</v>
      </c>
    </row>
    <row r="6" spans="1:14" x14ac:dyDescent="0.3">
      <c r="A6" s="18">
        <f>'Таблица 2'!D7</f>
        <v>0.83787889839698926</v>
      </c>
      <c r="B6" s="18">
        <f t="shared" si="0"/>
        <v>0.3192578763514316</v>
      </c>
    </row>
    <row r="7" spans="1:14" x14ac:dyDescent="0.3">
      <c r="A7" s="18">
        <f>'Таблица 2'!D8</f>
        <v>0.64250573155906576</v>
      </c>
      <c r="B7" s="18">
        <f t="shared" si="0"/>
        <v>0.5782115973251567</v>
      </c>
    </row>
    <row r="8" spans="1:14" x14ac:dyDescent="0.3">
      <c r="A8" s="18"/>
      <c r="B8" s="18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workbookViewId="0">
      <selection activeCell="B9" sqref="B9"/>
    </sheetView>
  </sheetViews>
  <sheetFormatPr defaultRowHeight="14.4" x14ac:dyDescent="0.3"/>
  <cols>
    <col min="1" max="1" width="26.33203125" customWidth="1"/>
  </cols>
  <sheetData>
    <row r="1" spans="1:7" x14ac:dyDescent="0.3">
      <c r="A1" s="32" t="s">
        <v>42</v>
      </c>
      <c r="B1" s="29" t="s">
        <v>45</v>
      </c>
    </row>
    <row r="2" spans="1:7" ht="43.2" x14ac:dyDescent="0.3">
      <c r="A2" s="32" t="s">
        <v>38</v>
      </c>
      <c r="B2" s="28">
        <f>2*'Погрешности косвенные (a)'!B8/'Параметры установки'!B2</f>
        <v>0.18242162438839762</v>
      </c>
      <c r="C2" s="28"/>
      <c r="D2" s="28"/>
      <c r="E2" s="28"/>
      <c r="F2" s="28"/>
      <c r="G2" s="28"/>
    </row>
    <row r="3" spans="1:7" ht="28.8" x14ac:dyDescent="0.3">
      <c r="A3" s="32" t="s">
        <v>41</v>
      </c>
      <c r="B3" s="30">
        <f>'Погрешности прямые (e)'!H2</f>
        <v>1.4029079917642526</v>
      </c>
      <c r="C3" s="28"/>
      <c r="D3" s="28"/>
      <c r="E3" s="28"/>
      <c r="F3" s="28"/>
      <c r="G3" s="28"/>
    </row>
    <row r="4" spans="1:7" x14ac:dyDescent="0.3">
      <c r="A4" s="32" t="s">
        <v>40</v>
      </c>
      <c r="B4">
        <f>4*'Параметры установки'!A2/'Параметры установки'!B2/'Погрешности прямые (t)'!H2^2</f>
        <v>2.5525100441776694</v>
      </c>
    </row>
    <row r="5" spans="1:7" ht="28.8" x14ac:dyDescent="0.3">
      <c r="A5" s="32" t="s">
        <v>43</v>
      </c>
      <c r="B5" s="18">
        <f>4*'Погрешности прямые (a)'!H2/'Параметры установки'!B2^2*0.001</f>
        <v>6.0995999641924016E-2</v>
      </c>
    </row>
    <row r="6" spans="1:7" ht="28.8" x14ac:dyDescent="0.3">
      <c r="A6" s="32" t="s">
        <v>46</v>
      </c>
      <c r="B6" s="31">
        <f>'Погрешности прямые (t)'!N2</f>
        <v>3.5733772097098167E-2</v>
      </c>
    </row>
    <row r="7" spans="1:7" x14ac:dyDescent="0.3">
      <c r="A7" s="32" t="s">
        <v>44</v>
      </c>
      <c r="B7" s="18">
        <f>B5^2</f>
        <v>3.7205119723175946E-3</v>
      </c>
      <c r="C7">
        <f>B2^2</f>
        <v>3.3277649044501624E-2</v>
      </c>
    </row>
    <row r="8" spans="1:7" ht="28.8" x14ac:dyDescent="0.3">
      <c r="A8" s="32" t="s">
        <v>39</v>
      </c>
      <c r="B8">
        <f>SQRT(SUM(7:7))</f>
        <v>0.19234906034815771</v>
      </c>
    </row>
    <row r="9" spans="1:7" ht="28.8" x14ac:dyDescent="0.3">
      <c r="A9" s="32" t="s">
        <v>47</v>
      </c>
      <c r="B9" s="31">
        <f>B8/B3</f>
        <v>0.13710739512308689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workbookViewId="0">
      <selection activeCell="H2" sqref="H2"/>
    </sheetView>
  </sheetViews>
  <sheetFormatPr defaultRowHeight="14.4" x14ac:dyDescent="0.3"/>
  <cols>
    <col min="1" max="1" width="9.554687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2" width="18.44140625" customWidth="1"/>
    <col min="13" max="13" width="18.5546875" customWidth="1"/>
    <col min="14" max="14" width="14.554687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8">
        <f>'Таблица 2'!E3</f>
        <v>5.9821275823830219E-2</v>
      </c>
      <c r="B2" s="18">
        <f>(A2-$H$2)*(A2-$H$2)</f>
        <v>2.6365069941352554E-8</v>
      </c>
      <c r="H2" s="18">
        <f>SUM(A:A)/COUNT(A:A)</f>
        <v>5.9983649066519255E-2</v>
      </c>
      <c r="I2" s="18">
        <f>SQRT(SUM(B:B)/COUNT(A:A)/(COUNT(A:A)-1))</f>
        <v>4.2115576215918627E-5</v>
      </c>
      <c r="J2" s="18">
        <v>4.3</v>
      </c>
      <c r="K2" s="18">
        <f>J2*I2</f>
        <v>1.810969777284501E-4</v>
      </c>
      <c r="L2" s="18">
        <v>1E-3</v>
      </c>
      <c r="M2" s="18">
        <f>SQRT(K2*K2+(2/3*L2)*(2/3*L2))</f>
        <v>6.9082599819840539E-4</v>
      </c>
      <c r="N2" s="31">
        <f>M2/H2</f>
        <v>1.1516905172479745E-2</v>
      </c>
    </row>
    <row r="3" spans="1:14" x14ac:dyDescent="0.3">
      <c r="A3" s="18">
        <f>'Таблица 2'!E4</f>
        <v>5.9904022561272224E-2</v>
      </c>
      <c r="B3" s="18">
        <f t="shared" ref="B3:B7" si="0">(A3-$H$2)*(A3-$H$2)</f>
        <v>6.3403803378554588E-9</v>
      </c>
    </row>
    <row r="4" spans="1:14" x14ac:dyDescent="0.3">
      <c r="A4" s="18">
        <f>'Таблица 2'!E5</f>
        <v>5.9987582406496376E-2</v>
      </c>
      <c r="B4" s="18">
        <f t="shared" si="0"/>
        <v>1.5471163375614104E-11</v>
      </c>
    </row>
    <row r="5" spans="1:14" x14ac:dyDescent="0.3">
      <c r="A5" s="18">
        <f>'Таблица 2'!E6</f>
        <v>6.0034507573805553E-2</v>
      </c>
      <c r="B5" s="18">
        <f t="shared" si="0"/>
        <v>2.5865877633903402E-9</v>
      </c>
    </row>
    <row r="6" spans="1:14" x14ac:dyDescent="0.3">
      <c r="A6" s="18">
        <f>'Таблица 2'!E7</f>
        <v>6.0063455470753722E-2</v>
      </c>
      <c r="B6" s="18">
        <f t="shared" si="0"/>
        <v>6.3690621568351611E-9</v>
      </c>
    </row>
    <row r="7" spans="1:14" x14ac:dyDescent="0.3">
      <c r="A7" s="18">
        <f>'Таблица 2'!E8</f>
        <v>6.0091050562957417E-2</v>
      </c>
      <c r="B7" s="18">
        <f t="shared" si="0"/>
        <v>1.1535081437156404E-8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9"/>
  <sheetViews>
    <sheetView workbookViewId="0">
      <selection activeCell="B9" sqref="B9"/>
    </sheetView>
  </sheetViews>
  <sheetFormatPr defaultRowHeight="14.4" x14ac:dyDescent="0.3"/>
  <cols>
    <col min="1" max="1" width="26.33203125" customWidth="1"/>
    <col min="2" max="2" width="12" bestFit="1" customWidth="1"/>
    <col min="3" max="3" width="11" bestFit="1" customWidth="1"/>
    <col min="4" max="4" width="12" bestFit="1" customWidth="1"/>
  </cols>
  <sheetData>
    <row r="1" spans="1:7" x14ac:dyDescent="0.3">
      <c r="A1" s="32" t="s">
        <v>42</v>
      </c>
      <c r="B1" t="s">
        <v>48</v>
      </c>
    </row>
    <row r="2" spans="1:7" x14ac:dyDescent="0.3">
      <c r="A2" s="32"/>
      <c r="B2" s="28">
        <f>'Параметры установки'!B2/2*(9.8-'Погрешности прямые (a)'!H2)*0.001</f>
        <v>2.2465786167235672E-4</v>
      </c>
      <c r="C2" s="28"/>
      <c r="D2" s="28"/>
      <c r="E2" s="28"/>
      <c r="F2" s="28"/>
      <c r="G2" s="28"/>
    </row>
    <row r="3" spans="1:7" ht="28.8" x14ac:dyDescent="0.3">
      <c r="A3" s="32" t="s">
        <v>41</v>
      </c>
      <c r="B3" s="30">
        <f>'Погрешности прямые (M)'!H2</f>
        <v>5.9983649066519255E-2</v>
      </c>
      <c r="C3" s="28"/>
      <c r="D3" s="28"/>
      <c r="E3" s="28"/>
      <c r="F3" s="28"/>
      <c r="G3" s="28"/>
    </row>
    <row r="4" spans="1:7" x14ac:dyDescent="0.3">
      <c r="A4" s="32"/>
      <c r="B4">
        <f>'Таблица 2'!A3*'Параметры установки'!B2/2*'Погрешности косвенные (a)'!B8</f>
        <v>2.5765777493490448E-5</v>
      </c>
    </row>
    <row r="5" spans="1:7" x14ac:dyDescent="0.3">
      <c r="A5" s="32"/>
      <c r="B5">
        <f>'Таблица 2'!A3/2*(9.8-'Погрешности прямые (a)'!H2)*0.001</f>
        <v>1.303992371011288E-3</v>
      </c>
    </row>
    <row r="6" spans="1:7" ht="28.8" x14ac:dyDescent="0.3">
      <c r="A6" s="32" t="s">
        <v>46</v>
      </c>
      <c r="B6" s="31">
        <f>'Погрешности прямые (t)'!N2</f>
        <v>3.5733772097098167E-2</v>
      </c>
    </row>
    <row r="7" spans="1:7" x14ac:dyDescent="0.3">
      <c r="A7" s="32" t="s">
        <v>44</v>
      </c>
      <c r="B7">
        <f>B5^2</f>
        <v>1.7003961036556406E-6</v>
      </c>
      <c r="C7">
        <f>B2^2</f>
        <v>5.0471154811195763E-8</v>
      </c>
      <c r="D7">
        <f>B4^2</f>
        <v>6.6387528984405897E-10</v>
      </c>
    </row>
    <row r="8" spans="1:7" ht="28.8" x14ac:dyDescent="0.3">
      <c r="A8" s="32" t="s">
        <v>39</v>
      </c>
      <c r="B8">
        <f>SQRT(SUM(7:7))</f>
        <v>1.3234542431669787E-3</v>
      </c>
    </row>
    <row r="9" spans="1:7" ht="28.8" x14ac:dyDescent="0.3">
      <c r="A9" s="32" t="s">
        <v>47</v>
      </c>
      <c r="B9" s="31">
        <f>B8/B3</f>
        <v>2.2063583389188703E-2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8">
        <f>B2-($O$2+$N$2*A2)</f>
        <v>0.42403696602093532</v>
      </c>
      <c r="I2" s="19">
        <f>H2*H2</f>
        <v>0.17980734855223987</v>
      </c>
      <c r="J2" s="24">
        <f>SQRT(4*$R$2+4*$Q$2*A2*A2)</f>
        <v>4.9576164097232098</v>
      </c>
      <c r="K2" s="18"/>
      <c r="L2" s="18">
        <f>SUM(A:A)/COUNT(A:A)</f>
        <v>0.90338095238095228</v>
      </c>
      <c r="M2" s="18">
        <f>SUM(B:B)/COUNT(B:B)</f>
        <v>301.67071428571433</v>
      </c>
      <c r="N2" s="18">
        <f>SUM(G:G)/SUM(C:C)</f>
        <v>308.38344786082757</v>
      </c>
      <c r="O2" s="18">
        <f>M2-N2*L2</f>
        <v>23.082981458678148</v>
      </c>
      <c r="P2" s="18">
        <f>SUM(C:C)</f>
        <v>1.902756984126984</v>
      </c>
      <c r="Q2" s="18">
        <f>1/P2*SUM(I:I)/(COUNT(I:I)-2)</f>
        <v>5.6135134076679245</v>
      </c>
      <c r="R2" s="18">
        <f>(1/COUNT(I:I)+L2*L2/P2)*SUM(I:I)/(COUNT(I:I)-2)</f>
        <v>6.1070511006786266</v>
      </c>
    </row>
    <row r="3" spans="1:18" ht="16.8" thickTop="1" thickBot="1" x14ac:dyDescent="0.35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20">
        <f>A3-$L$2</f>
        <v>-0.51938095238095228</v>
      </c>
      <c r="F3" s="14">
        <f>B3-$M$2</f>
        <v>-160.13071428571433</v>
      </c>
      <c r="G3" s="17">
        <f>E3*F3</f>
        <v>83.168842891156473</v>
      </c>
      <c r="H3" s="18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7"/>
      <c r="L3" s="18"/>
      <c r="M3" s="18"/>
      <c r="N3" s="34"/>
      <c r="O3" s="34"/>
      <c r="P3" s="18"/>
      <c r="Q3" s="34" t="s">
        <v>58</v>
      </c>
      <c r="R3" s="34" t="s">
        <v>59</v>
      </c>
    </row>
    <row r="4" spans="1:18" ht="15.6" thickTop="1" thickBot="1" x14ac:dyDescent="0.35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20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8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8"/>
      <c r="L4" s="18"/>
      <c r="M4" s="18"/>
      <c r="N4" s="18"/>
      <c r="O4" s="18"/>
      <c r="P4" s="18"/>
      <c r="Q4" s="18">
        <f>SQRT(Q2)</f>
        <v>2.3692854213175591</v>
      </c>
      <c r="R4" s="18">
        <f>SQRT(R2)</f>
        <v>2.4712448483868665</v>
      </c>
    </row>
    <row r="5" spans="1:18" ht="16.8" thickTop="1" thickBot="1" x14ac:dyDescent="0.35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20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8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20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8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8"/>
      <c r="L6" s="18"/>
      <c r="M6" s="18"/>
      <c r="N6" s="18"/>
      <c r="O6" s="18"/>
      <c r="P6" s="18"/>
      <c r="Q6" s="18">
        <f>Q4*2</f>
        <v>4.7385708426351183</v>
      </c>
      <c r="R6" s="18">
        <f>R4*2</f>
        <v>4.9424896967737331</v>
      </c>
    </row>
    <row r="7" spans="1:18" x14ac:dyDescent="0.3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20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8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20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8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zoomScaleNormal="100" workbookViewId="0">
      <selection activeCell="O2" sqref="O2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2'!D3</f>
        <v>2.5525100441776689</v>
      </c>
      <c r="B2" s="14">
        <f>'Таблица 2'!E3</f>
        <v>5.9821275823830219E-2</v>
      </c>
      <c r="C2" s="38">
        <f>(A2-$L$2)*(A2-$L$2)</f>
        <v>14.86028664798366</v>
      </c>
      <c r="D2" s="37">
        <f>(B2-$M$2)*(B2-$M$2)</f>
        <v>5.2361277596290725E-3</v>
      </c>
      <c r="E2" s="16">
        <f>A2-$L$2</f>
        <v>-3.8549042333090013</v>
      </c>
      <c r="F2" s="14">
        <f>B2-$M$2</f>
        <v>-7.2361092858172563E-2</v>
      </c>
      <c r="G2" s="39">
        <f>E2*F2</f>
        <v>0.27894508318583516</v>
      </c>
      <c r="H2" s="18">
        <f>B2-($O$2+$N$2*A2)</f>
        <v>2.5135614589583341E-3</v>
      </c>
      <c r="I2" s="36">
        <f>H2*H2</f>
        <v>6.3179912079607491E-6</v>
      </c>
      <c r="J2" s="24">
        <f>SQRT(4*$R$2+4*$Q$2*A2*A2)</f>
        <v>1.5818043895474306E-2</v>
      </c>
      <c r="K2" s="18"/>
      <c r="L2" s="18">
        <f>SUM(A:A)/COUNT(A:A)</f>
        <v>6.4074142774866703</v>
      </c>
      <c r="M2" s="18">
        <f>SUM(B:B)/COUNT(B:B)</f>
        <v>0.13218236868200278</v>
      </c>
      <c r="N2" s="18">
        <f>SUM(G:G)/SUM(C:C)</f>
        <v>1.9423220341030219E-2</v>
      </c>
      <c r="O2" s="18">
        <f>M2-N2*L2</f>
        <v>7.7297493541162443E-3</v>
      </c>
      <c r="P2" s="18">
        <f>SUM(C:C)</f>
        <v>30.445813636525916</v>
      </c>
      <c r="Q2" s="35">
        <f>1/P2*SUM(I:I)/(COUNT(I:I)-2)</f>
        <v>1.1335752073500652E-6</v>
      </c>
      <c r="R2" s="35">
        <f>(1/COUNT(I:I)+L2*L2/P2)*SUM(I:I)/(COUNT(I:I)-2)</f>
        <v>5.516703709047492E-5</v>
      </c>
    </row>
    <row r="3" spans="1:18" ht="16.8" thickTop="1" thickBot="1" x14ac:dyDescent="0.35">
      <c r="A3" s="13">
        <f>'Таблица 2'!D9</f>
        <v>5.5223513225242504</v>
      </c>
      <c r="B3" s="14">
        <f>'Таблица 2'!E9</f>
        <v>0.10834711528523734</v>
      </c>
      <c r="C3" s="38">
        <f t="shared" ref="C3:C5" si="0">(A3-$L$2)*(A3-$L$2)</f>
        <v>0.78333643424681043</v>
      </c>
      <c r="D3" s="37">
        <f t="shared" ref="D3:D5" si="1">(B3-$M$2)*(B3-$M$2)</f>
        <v>5.6811930448801853E-4</v>
      </c>
      <c r="E3" s="20">
        <f>A3-$L$2</f>
        <v>-0.88506295496241982</v>
      </c>
      <c r="F3" s="14">
        <f>B3-$M$2</f>
        <v>-2.3835253396765441E-2</v>
      </c>
      <c r="G3" s="39">
        <f>E3*F3</f>
        <v>2.1095699803619274E-2</v>
      </c>
      <c r="H3" s="18">
        <f>B3-($O$2+$N$2*A3)</f>
        <v>-6.644480606847053E-3</v>
      </c>
      <c r="I3" s="37">
        <f>H3*H3</f>
        <v>4.4149122534766581E-5</v>
      </c>
      <c r="J3" s="17">
        <f t="shared" ref="J3:J5" si="2">SQRT(4*$R$2+4*$Q$2*A3*A3)</f>
        <v>1.8945918756488531E-2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2'!D15</f>
        <v>7.441631035428542</v>
      </c>
      <c r="B4" s="14">
        <f>'Таблица 2'!E15</f>
        <v>0.15657460766785664</v>
      </c>
      <c r="C4" s="38">
        <f t="shared" si="0"/>
        <v>1.0696043024077961</v>
      </c>
      <c r="D4" s="37">
        <f t="shared" si="1"/>
        <v>5.949813227430086E-4</v>
      </c>
      <c r="E4" s="20">
        <f t="shared" ref="E4:E5" si="3">A4-$L$2</f>
        <v>1.0342167579418717</v>
      </c>
      <c r="F4" s="14">
        <f t="shared" ref="F4:F5" si="4">B4-$M$2</f>
        <v>2.4392238985853854E-2</v>
      </c>
      <c r="G4" s="39">
        <f t="shared" ref="G4:G5" si="5">E4*F4</f>
        <v>2.52268623228931E-2</v>
      </c>
      <c r="H4" s="18">
        <f t="shared" ref="H4:H5" si="6">B4-($O$2+$N$2*A4)</f>
        <v>4.304419015962957E-3</v>
      </c>
      <c r="I4" s="37">
        <f t="shared" ref="I4:I5" si="7">H4*H4</f>
        <v>1.852802306498351E-5</v>
      </c>
      <c r="J4" s="17">
        <f t="shared" si="2"/>
        <v>2.1720222867675529E-2</v>
      </c>
      <c r="K4" s="18"/>
      <c r="L4" s="18"/>
      <c r="M4" s="18"/>
      <c r="N4" s="18"/>
      <c r="O4" s="18"/>
      <c r="P4" s="18"/>
      <c r="Q4" s="18">
        <f>SQRT(Q2)</f>
        <v>1.0646948893227887E-3</v>
      </c>
      <c r="R4" s="18">
        <f>SQRT(R2)</f>
        <v>7.4274515878916987E-3</v>
      </c>
    </row>
    <row r="5" spans="1:18" ht="16.8" thickTop="1" thickBot="1" x14ac:dyDescent="0.35">
      <c r="A5" s="13">
        <f>'Таблица 2'!D21</f>
        <v>10.113164707816221</v>
      </c>
      <c r="B5" s="14">
        <f>'Таблица 2'!E21</f>
        <v>0.20398647595108696</v>
      </c>
      <c r="C5" s="38">
        <f t="shared" si="0"/>
        <v>13.73258625188765</v>
      </c>
      <c r="D5" s="37">
        <f t="shared" si="1"/>
        <v>5.1558298207101472E-3</v>
      </c>
      <c r="E5" s="20">
        <f t="shared" si="3"/>
        <v>3.7057504303295508</v>
      </c>
      <c r="F5" s="14">
        <f t="shared" si="4"/>
        <v>7.1804107269084178E-2</v>
      </c>
      <c r="G5" s="39">
        <f t="shared" si="5"/>
        <v>0.26608810141183792</v>
      </c>
      <c r="H5" s="18">
        <f t="shared" si="6"/>
        <v>-1.73499868074245E-4</v>
      </c>
      <c r="I5" s="37">
        <f t="shared" si="7"/>
        <v>3.0102204221780423E-8</v>
      </c>
      <c r="J5" s="17">
        <f t="shared" si="2"/>
        <v>2.6161398190216945E-2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2.1293897786455775E-3</v>
      </c>
      <c r="R6" s="18">
        <f>R4*2</f>
        <v>1.4854903175783397E-2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workbookViewId="0">
      <selection activeCell="N6" sqref="N6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2'!D4</f>
        <v>1.966663400860803</v>
      </c>
      <c r="B2" s="14">
        <f>'Таблица 2'!E4</f>
        <v>5.9904022561272224E-2</v>
      </c>
      <c r="C2" s="15">
        <f>(A2-$L$2)*(A2-$L$2)</f>
        <v>7.2564656833428662</v>
      </c>
      <c r="D2" s="14">
        <f>(B2-$M$2)*(B2-$M$2)</f>
        <v>5.3193025686726469E-3</v>
      </c>
      <c r="E2" s="16">
        <f>A2-$L$2</f>
        <v>-2.6937827832516241</v>
      </c>
      <c r="F2" s="14">
        <f>B2-$M$2</f>
        <v>-7.2933548992714231E-2</v>
      </c>
      <c r="G2" s="17">
        <f>E2*F2</f>
        <v>0.19646713859801243</v>
      </c>
      <c r="H2" s="18">
        <f>B2-($O$2+$N$2*A2)</f>
        <v>1.7006200220729475E-3</v>
      </c>
      <c r="I2" s="19">
        <f>H2*H2</f>
        <v>2.8921084594753927E-6</v>
      </c>
      <c r="J2" s="24">
        <f>SQRT(4*$R$2+4*$Q$2*A2*A2)</f>
        <v>6.3658840429639246E-3</v>
      </c>
      <c r="K2" s="18"/>
      <c r="L2" s="18">
        <f>SUM(A:A)/COUNT(A:A)</f>
        <v>4.6604461841124269</v>
      </c>
      <c r="M2" s="18">
        <f>SUM(B:B)/COUNT(B:B)</f>
        <v>0.13283757155398646</v>
      </c>
      <c r="N2" s="18">
        <f>SUM(G:G)/SUM(C:C)</f>
        <v>2.7706082865633811E-2</v>
      </c>
      <c r="O2" s="18">
        <f>M2-N2*L2</f>
        <v>3.7148633861406599E-3</v>
      </c>
      <c r="P2" s="18">
        <f>SUM(C:C)</f>
        <v>15.307232706177704</v>
      </c>
      <c r="Q2" s="18">
        <f>1/P2*SUM(I:I)/(COUNT(I:I)-2)</f>
        <v>3.4442801557910914E-7</v>
      </c>
      <c r="R2" s="18">
        <f>(1/COUNT(I:I)+L2*L2/P2)*SUM(I:I)/(COUNT(I:I)-2)</f>
        <v>8.7989533117621582E-6</v>
      </c>
    </row>
    <row r="3" spans="1:18" ht="16.8" thickTop="1" thickBot="1" x14ac:dyDescent="0.35">
      <c r="A3" s="13">
        <f>'Таблица 2'!D10</f>
        <v>3.8815914968747647</v>
      </c>
      <c r="B3" s="14">
        <f>'Таблица 2'!E10</f>
        <v>0.10876981275380063</v>
      </c>
      <c r="C3" s="15">
        <f t="shared" ref="C3:C5" si="0">(A3-$L$2)*(A3-$L$2)</f>
        <v>0.60661462383207676</v>
      </c>
      <c r="D3" s="14">
        <f t="shared" ref="D3:D5" si="1">(B3-$M$2)*(B3-$M$2)</f>
        <v>5.7925701366392244E-4</v>
      </c>
      <c r="E3" s="20">
        <f>A3-$L$2</f>
        <v>-0.77885468723766227</v>
      </c>
      <c r="F3" s="14">
        <f>B3-$M$2</f>
        <v>-2.4067758800185829E-2</v>
      </c>
      <c r="G3" s="17">
        <f>E3*F3</f>
        <v>1.8745286752830229E-2</v>
      </c>
      <c r="H3" s="18">
        <f>B3-($O$2+$N$2*A3)</f>
        <v>-2.4887462952918465E-3</v>
      </c>
      <c r="I3" s="14">
        <f>H3*H3</f>
        <v>6.1938581223288906E-6</v>
      </c>
      <c r="J3" s="17">
        <f t="shared" ref="J3:J5" si="2">SQRT(4*$R$2+4*$Q$2*A3*A3)</f>
        <v>7.4802045408669275E-3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2'!D16</f>
        <v>5.5557694085843776</v>
      </c>
      <c r="B4" s="14">
        <f>'Таблица 2'!E16</f>
        <v>0.15727992557388124</v>
      </c>
      <c r="C4" s="15">
        <f t="shared" si="0"/>
        <v>0.80160367627885099</v>
      </c>
      <c r="D4" s="14">
        <f t="shared" si="1"/>
        <v>5.974286700338665E-4</v>
      </c>
      <c r="E4" s="20">
        <f t="shared" ref="E4:E5" si="3">A4-$L$2</f>
        <v>0.89532322447195067</v>
      </c>
      <c r="F4" s="14">
        <f t="shared" ref="F4:F5" si="4">B4-$M$2</f>
        <v>2.444235401989478E-2</v>
      </c>
      <c r="G4" s="17">
        <f t="shared" ref="G4:G5" si="5">E4*F4</f>
        <v>2.1883807214777139E-2</v>
      </c>
      <c r="H4" s="18">
        <f t="shared" ref="H4:H5" si="6">B4-($O$2+$N$2*A4)</f>
        <v>-3.6354542885153052E-4</v>
      </c>
      <c r="I4" s="14">
        <f t="shared" ref="I4:I5" si="7">H4*H4</f>
        <v>1.3216527883884325E-7</v>
      </c>
      <c r="J4" s="17">
        <f t="shared" si="2"/>
        <v>8.8159550920673714E-3</v>
      </c>
      <c r="K4" s="18"/>
      <c r="L4" s="18"/>
      <c r="M4" s="18"/>
      <c r="N4" s="18"/>
      <c r="O4" s="18"/>
      <c r="P4" s="18"/>
      <c r="Q4" s="18">
        <f>SQRT(Q2)</f>
        <v>5.8687989876899781E-4</v>
      </c>
      <c r="R4" s="18">
        <f>SQRT(R2)</f>
        <v>2.9663029703255461E-3</v>
      </c>
    </row>
    <row r="5" spans="1:18" ht="16.8" thickTop="1" thickBot="1" x14ac:dyDescent="0.35">
      <c r="A5" s="13">
        <f>'Таблица 2'!D22</f>
        <v>7.2377604301297627</v>
      </c>
      <c r="B5" s="14">
        <f>'Таблица 2'!E22</f>
        <v>0.20539652532699168</v>
      </c>
      <c r="C5" s="15">
        <f t="shared" si="0"/>
        <v>6.642548722723908</v>
      </c>
      <c r="D5" s="14">
        <f t="shared" si="1"/>
        <v>5.2648017726331089E-3</v>
      </c>
      <c r="E5" s="20">
        <f t="shared" si="3"/>
        <v>2.5773142460173357</v>
      </c>
      <c r="F5" s="14">
        <f t="shared" si="4"/>
        <v>7.2558953773005225E-2</v>
      </c>
      <c r="G5" s="17">
        <f t="shared" si="5"/>
        <v>0.18700722523527968</v>
      </c>
      <c r="H5" s="18">
        <f t="shared" si="6"/>
        <v>1.1516717020703948E-3</v>
      </c>
      <c r="I5" s="14">
        <f t="shared" si="7"/>
        <v>1.3263477093497203E-6</v>
      </c>
      <c r="J5" s="17">
        <f t="shared" si="2"/>
        <v>1.0361829093812133E-2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1.1737597975379956E-3</v>
      </c>
      <c r="R6" s="18">
        <f>R4*2</f>
        <v>5.9326059406510923E-3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workbookViewId="0">
      <selection activeCell="B5" sqref="B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2'!D5</f>
        <v>1.375059956979394</v>
      </c>
      <c r="B2" s="14">
        <f>'Таблица 2'!E5</f>
        <v>5.9987582406496376E-2</v>
      </c>
      <c r="C2" s="15">
        <f>(A2-$L$2)*(A2-$L$2)</f>
        <v>4.212013438491212</v>
      </c>
      <c r="D2" s="14">
        <f>(B2-$M$2)*(B2-$M$2)</f>
        <v>5.372240072432399E-3</v>
      </c>
      <c r="E2" s="16">
        <f>A2-$L$2</f>
        <v>-2.0523190391581938</v>
      </c>
      <c r="F2" s="14">
        <f>B2-$M$2</f>
        <v>-7.3295566526444145E-2</v>
      </c>
      <c r="G2" s="17">
        <f>E2*F2</f>
        <v>0.15042588666810733</v>
      </c>
      <c r="H2" s="18">
        <f>B2-($O$2+$N$2*A2)</f>
        <v>-1.1534805629444256E-4</v>
      </c>
      <c r="I2" s="19">
        <f>H2*H2</f>
        <v>1.330517409090589E-8</v>
      </c>
      <c r="J2" s="24">
        <f>SQRT(4*$R$2+4*$Q$2*A2*A2)</f>
        <v>1.1931229166249734E-2</v>
      </c>
      <c r="K2" s="18"/>
      <c r="L2" s="18">
        <f>SUM(A:A)/COUNT(A:A)</f>
        <v>3.4273789961375876</v>
      </c>
      <c r="M2" s="18">
        <f>SUM(B:B)/COUNT(B:B)</f>
        <v>0.13328314893294052</v>
      </c>
      <c r="N2" s="18">
        <f>SUM(G:G)/SUM(C:C)</f>
        <v>3.5657330597179605E-2</v>
      </c>
      <c r="O2" s="18">
        <f>M2-N2*L2</f>
        <v>1.1071962985833003E-2</v>
      </c>
      <c r="P2" s="18">
        <f>SUM(C:C)</f>
        <v>9.3182341070702517</v>
      </c>
      <c r="Q2" s="18">
        <f>1/P2*SUM(I:I)/(COUNT(I:I)-2)</f>
        <v>2.2288434889031099E-6</v>
      </c>
      <c r="R2" s="18">
        <f>(1/COUNT(I:I)+L2*L2/P2)*SUM(I:I)/(COUNT(I:I)-2)</f>
        <v>3.1374282629683683E-5</v>
      </c>
    </row>
    <row r="3" spans="1:18" ht="16.8" thickTop="1" thickBot="1" x14ac:dyDescent="0.35">
      <c r="A3" s="13">
        <f>'Таблица 2'!D11</f>
        <v>2.6827379418754158</v>
      </c>
      <c r="B3" s="14">
        <f>'Таблица 2'!E11</f>
        <v>0.10907866500320024</v>
      </c>
      <c r="C3" s="15">
        <f t="shared" ref="C3:C5" si="0">(A3-$L$2)*(A3-$L$2)</f>
        <v>0.5544902996926786</v>
      </c>
      <c r="D3" s="14">
        <f t="shared" ref="D3:D5" si="1">(B3-$M$2)*(B3-$M$2)</f>
        <v>5.8585704230505568E-4</v>
      </c>
      <c r="E3" s="20">
        <f>A3-$L$2</f>
        <v>-0.74464105426217175</v>
      </c>
      <c r="F3" s="14">
        <f>B3-$M$2</f>
        <v>-2.4204483929740284E-2</v>
      </c>
      <c r="G3" s="17">
        <f>E3*F3</f>
        <v>1.8023652431313597E-2</v>
      </c>
      <c r="H3" s="18">
        <f>B3-($O$2+$N$2*A3)</f>
        <v>2.3474283183183287E-3</v>
      </c>
      <c r="I3" s="14">
        <f>H3*H3</f>
        <v>5.5104197096428167E-6</v>
      </c>
      <c r="J3" s="17">
        <f t="shared" ref="J3:J5" si="2">SQRT(4*$R$2+4*$Q$2*A3*A3)</f>
        <v>1.3771776052774042E-2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2'!D17</f>
        <v>4.260068672306998</v>
      </c>
      <c r="B4" s="14">
        <f>'Таблица 2'!E17</f>
        <v>0.15776452153635118</v>
      </c>
      <c r="C4" s="15">
        <f t="shared" si="0"/>
        <v>0.69337209679911771</v>
      </c>
      <c r="D4" s="14">
        <f t="shared" si="1"/>
        <v>5.9933760454702585E-4</v>
      </c>
      <c r="E4" s="20">
        <f t="shared" ref="E4:E5" si="3">A4-$L$2</f>
        <v>0.83268967616941048</v>
      </c>
      <c r="F4" s="14">
        <f t="shared" ref="F4:F5" si="4">B4-$M$2</f>
        <v>2.4481372603410656E-2</v>
      </c>
      <c r="G4" s="17">
        <f t="shared" ref="G4:G5" si="5">E4*F4</f>
        <v>2.0385386225316698E-2</v>
      </c>
      <c r="H4" s="18">
        <f t="shared" ref="H4:H5" si="6">B4-($O$2+$N$2*A4)</f>
        <v>-5.210118464620439E-3</v>
      </c>
      <c r="I4" s="14">
        <f t="shared" ref="I4:I5" si="7">H4*H4</f>
        <v>2.7145334415378841E-5</v>
      </c>
      <c r="J4" s="17">
        <f t="shared" si="2"/>
        <v>1.6949778383107662E-2</v>
      </c>
      <c r="K4" s="18"/>
      <c r="L4" s="18"/>
      <c r="M4" s="18"/>
      <c r="N4" s="18"/>
      <c r="O4" s="18"/>
      <c r="P4" s="18"/>
      <c r="Q4" s="18">
        <f>SQRT(Q2)</f>
        <v>1.4929311735318242E-3</v>
      </c>
      <c r="R4" s="18">
        <f>SQRT(R2)</f>
        <v>5.60127508962769E-3</v>
      </c>
    </row>
    <row r="5" spans="1:18" ht="16.8" thickTop="1" thickBot="1" x14ac:dyDescent="0.35">
      <c r="A5" s="13">
        <f>'Таблица 2'!D23</f>
        <v>5.3916494133885431</v>
      </c>
      <c r="B5" s="14">
        <f>'Таблица 2'!E23</f>
        <v>0.20630182678571429</v>
      </c>
      <c r="C5" s="15">
        <f t="shared" si="0"/>
        <v>3.8583582720872429</v>
      </c>
      <c r="D5" s="14">
        <f t="shared" si="1"/>
        <v>5.3317273153671548E-3</v>
      </c>
      <c r="E5" s="20">
        <f t="shared" si="3"/>
        <v>1.9642704172509555</v>
      </c>
      <c r="F5" s="14">
        <f t="shared" si="4"/>
        <v>7.3018677852773772E-2</v>
      </c>
      <c r="G5" s="17">
        <f t="shared" si="5"/>
        <v>0.14342842881298104</v>
      </c>
      <c r="H5" s="18">
        <f t="shared" si="6"/>
        <v>2.9780382025965113E-3</v>
      </c>
      <c r="I5" s="14">
        <f t="shared" si="7"/>
        <v>8.8687115361242595E-6</v>
      </c>
      <c r="J5" s="17">
        <f t="shared" si="2"/>
        <v>1.9612904217583004E-2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2.9858623470636484E-3</v>
      </c>
      <c r="R6" s="18">
        <f>R4*2</f>
        <v>1.120255017925538E-2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2'!D6</f>
        <v>1.0428299186115939</v>
      </c>
      <c r="B2" s="14">
        <f>'Таблица 2'!E6</f>
        <v>6.0034507573805553E-2</v>
      </c>
      <c r="C2" s="15">
        <f>(A2-$L$2)*(A2-$L$2)</f>
        <v>2.3885949099842811</v>
      </c>
      <c r="D2" s="14">
        <f>(B2-$M$2)*(B2-$M$2)</f>
        <v>5.4115444425531772E-3</v>
      </c>
      <c r="E2" s="16">
        <f>A2-$L$2</f>
        <v>-1.5455079779749703</v>
      </c>
      <c r="F2" s="14">
        <f>B2-$M$2</f>
        <v>-7.3563200328378708E-2</v>
      </c>
      <c r="G2" s="17">
        <f>E2*F2</f>
        <v>0.11369251299288025</v>
      </c>
      <c r="H2" s="18">
        <f>B2-($O$2+$N$2*A2)</f>
        <v>4.8429974033867285E-4</v>
      </c>
      <c r="I2" s="19">
        <f>H2*H2</f>
        <v>2.3454623849210595E-7</v>
      </c>
      <c r="J2" s="24">
        <f>SQRT(4*$R$2+4*$Q$2*A2*A2)</f>
        <v>1.7148213879635396E-3</v>
      </c>
      <c r="K2" s="18"/>
      <c r="L2" s="18">
        <f>SUM(A:A)/COUNT(A:A)</f>
        <v>2.5883378965865642</v>
      </c>
      <c r="M2" s="18">
        <f>SUM(B:B)/COUNT(B:B)</f>
        <v>0.13359770790218425</v>
      </c>
      <c r="N2" s="18">
        <f>SUM(G:G)/SUM(C:C)</f>
        <v>4.7911431790691524E-2</v>
      </c>
      <c r="O2" s="18">
        <f>M2-N2*L2</f>
        <v>9.5867333186151066E-3</v>
      </c>
      <c r="P2" s="18">
        <f>SUM(C:C)</f>
        <v>5.2219677755120237</v>
      </c>
      <c r="Q2" s="18">
        <f>1/P2*SUM(I:I)/(COUNT(I:I)-2)</f>
        <v>8.0852876090919275E-8</v>
      </c>
      <c r="R2" s="18">
        <f>(1/COUNT(I:I)+L2*L2/P2)*SUM(I:I)/(COUNT(I:I)-2)</f>
        <v>6.472260611865983E-7</v>
      </c>
    </row>
    <row r="3" spans="1:18" ht="16.8" thickTop="1" thickBot="1" x14ac:dyDescent="0.35">
      <c r="A3" s="13">
        <f>'Таблица 2'!D12</f>
        <v>2.095186413973217</v>
      </c>
      <c r="B3" s="14">
        <f>'Таблица 2'!E12</f>
        <v>0.10923003179047298</v>
      </c>
      <c r="C3" s="15">
        <f t="shared" ref="C3:C5" si="0">(A3-$L$2)*(A3-$L$2)</f>
        <v>0.24319838480374248</v>
      </c>
      <c r="D3" s="14">
        <f t="shared" ref="D3:D5" si="1">(B3-$M$2)*(B3-$M$2)</f>
        <v>5.9378363908526406E-4</v>
      </c>
      <c r="E3" s="20">
        <f>A3-$L$2</f>
        <v>-0.49315148261334718</v>
      </c>
      <c r="F3" s="14">
        <f>B3-$M$2</f>
        <v>-2.436767611171127E-2</v>
      </c>
      <c r="G3" s="17">
        <f>E3*F3</f>
        <v>1.2016955602332256E-2</v>
      </c>
      <c r="H3" s="18">
        <f>B3-($O$2+$N$2*A3)</f>
        <v>-7.4008249000348525E-4</v>
      </c>
      <c r="I3" s="14">
        <f>H3*H3</f>
        <v>5.4772209200975883E-7</v>
      </c>
      <c r="J3" s="17">
        <f t="shared" ref="J3:J5" si="2">SQRT(4*$R$2+4*$Q$2*A3*A3)</f>
        <v>2.0021533513742903E-3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2'!D18</f>
        <v>3.1016497010120467</v>
      </c>
      <c r="B4" s="14">
        <f>'Таблица 2'!E18</f>
        <v>0.15819777370687241</v>
      </c>
      <c r="C4" s="15">
        <f t="shared" si="0"/>
        <v>0.26348900856254481</v>
      </c>
      <c r="D4" s="14">
        <f t="shared" si="1"/>
        <v>6.0516323759498745E-4</v>
      </c>
      <c r="E4" s="20">
        <f t="shared" ref="E4:E5" si="3">A4-$L$2</f>
        <v>0.51331180442548252</v>
      </c>
      <c r="F4" s="14">
        <f t="shared" ref="F4:F5" si="4">B4-$M$2</f>
        <v>2.4600065804688154E-2</v>
      </c>
      <c r="G4" s="17">
        <f t="shared" ref="G4:G5" si="5">E4*F4</f>
        <v>1.2627504167190086E-2</v>
      </c>
      <c r="H4" s="18">
        <f t="shared" ref="H4:H5" si="6">B4-($O$2+$N$2*A4)</f>
        <v>6.5622995998604328E-6</v>
      </c>
      <c r="I4" s="14">
        <f t="shared" ref="I4:I5" si="7">H4*H4</f>
        <v>4.3063776038328396E-11</v>
      </c>
      <c r="J4" s="17">
        <f t="shared" si="2"/>
        <v>2.3875086559054883E-3</v>
      </c>
      <c r="K4" s="18"/>
      <c r="L4" s="18"/>
      <c r="M4" s="18"/>
      <c r="N4" s="18"/>
      <c r="O4" s="18"/>
      <c r="P4" s="18"/>
      <c r="Q4" s="18">
        <f>SQRT(Q2)</f>
        <v>2.8434640157898832E-4</v>
      </c>
      <c r="R4" s="18">
        <f>SQRT(R2)</f>
        <v>8.0450361166783978E-4</v>
      </c>
    </row>
    <row r="5" spans="1:18" ht="16.8" thickTop="1" thickBot="1" x14ac:dyDescent="0.35">
      <c r="A5" s="13">
        <f>'Таблица 2'!D24</f>
        <v>4.1136855527493994</v>
      </c>
      <c r="B5" s="14">
        <f>'Таблица 2'!E24</f>
        <v>0.20692851853758609</v>
      </c>
      <c r="C5" s="15">
        <f t="shared" si="0"/>
        <v>2.3266854721614547</v>
      </c>
      <c r="D5" s="14">
        <f t="shared" si="1"/>
        <v>5.3774077884451632E-3</v>
      </c>
      <c r="E5" s="20">
        <f t="shared" si="3"/>
        <v>1.5253476561628352</v>
      </c>
      <c r="F5" s="14">
        <f t="shared" si="4"/>
        <v>7.3330810635401839E-2</v>
      </c>
      <c r="G5" s="17">
        <f t="shared" si="5"/>
        <v>0.1118549801272309</v>
      </c>
      <c r="H5" s="18">
        <f t="shared" si="6"/>
        <v>2.4922045006497973E-4</v>
      </c>
      <c r="I5" s="14">
        <f t="shared" si="7"/>
        <v>6.2110832730591056E-8</v>
      </c>
      <c r="J5" s="17">
        <f t="shared" si="2"/>
        <v>2.8393319532789766E-3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5.6869280315797663E-4</v>
      </c>
      <c r="R6" s="18">
        <f>R4*2</f>
        <v>1.6090072233356796E-3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2'!D7</f>
        <v>0.83787889839698926</v>
      </c>
      <c r="B2" s="14">
        <f>'Таблица 2'!E7</f>
        <v>6.0063455470753722E-2</v>
      </c>
      <c r="C2" s="15">
        <f>(A2-$L$2)*(A2-$L$2)</f>
        <v>1.3416640253709888</v>
      </c>
      <c r="D2" s="14">
        <f>(B2-$M$2)*(B2-$M$2)</f>
        <v>5.4399188408005977E-3</v>
      </c>
      <c r="E2" s="16">
        <f>A2-$L$2</f>
        <v>-1.1583022167685724</v>
      </c>
      <c r="F2" s="14">
        <f>B2-$M$2</f>
        <v>-7.375580547184471E-2</v>
      </c>
      <c r="G2" s="17">
        <f>E2*F2</f>
        <v>8.543151297758933E-2</v>
      </c>
      <c r="H2" s="18">
        <f>B2-($O$2+$N$2*A2)</f>
        <v>-1.4223163413973755E-3</v>
      </c>
      <c r="I2" s="19">
        <f>H2*H2</f>
        <v>2.0229837750060157E-6</v>
      </c>
      <c r="J2" s="24">
        <f>SQRT(4*$R$2+4*$Q$2*A2*A2)</f>
        <v>1.0257290515608305E-2</v>
      </c>
      <c r="K2" s="18"/>
      <c r="L2" s="18">
        <f>SUM(A:A)/COUNT(A:A)</f>
        <v>1.9961811151655615</v>
      </c>
      <c r="M2" s="18">
        <f>SUM(B:B)/COUNT(B:B)</f>
        <v>0.13381926094259844</v>
      </c>
      <c r="N2" s="18">
        <f>SUM(G:G)/SUM(C:C)</f>
        <v>6.2447855217132434E-2</v>
      </c>
      <c r="O2" s="18">
        <f>M2-N2*L2</f>
        <v>9.1620316755654935E-3</v>
      </c>
      <c r="P2" s="18">
        <f>SUM(C:C)</f>
        <v>3.0840157797291523</v>
      </c>
      <c r="Q2" s="18">
        <f>1/P2*SUM(I:I)/(COUNT(I:I)-2)</f>
        <v>4.8193556208822046E-6</v>
      </c>
      <c r="R2" s="18">
        <f>(1/COUNT(I:I)+L2*L2/P2)*SUM(I:I)/(COUNT(I:I)-2)</f>
        <v>2.291961670780188E-5</v>
      </c>
    </row>
    <row r="3" spans="1:18" ht="16.8" thickTop="1" thickBot="1" x14ac:dyDescent="0.35">
      <c r="A3" s="13">
        <f>'Таблица 2'!D13</f>
        <v>1.6110939829373379</v>
      </c>
      <c r="B3" s="14">
        <f>'Таблица 2'!E13</f>
        <v>0.10935474513483374</v>
      </c>
      <c r="C3" s="15">
        <f t="shared" ref="C3:C5" si="0">(A3-$L$2)*(A3-$L$2)</f>
        <v>0.14829209940775742</v>
      </c>
      <c r="D3" s="14">
        <f t="shared" ref="D3:D5" si="1">(B3-$M$2)*(B3-$M$2)</f>
        <v>5.9851253370836867E-4</v>
      </c>
      <c r="E3" s="20">
        <f>A3-$L$2</f>
        <v>-0.38508713222822366</v>
      </c>
      <c r="F3" s="14">
        <f>B3-$M$2</f>
        <v>-2.4464515807764695E-2</v>
      </c>
      <c r="G3" s="17">
        <f>E3*F3</f>
        <v>9.4209702337641511E-3</v>
      </c>
      <c r="H3" s="18">
        <f>B3-($O$2+$N$2*A3)</f>
        <v>-4.1665032839585669E-4</v>
      </c>
      <c r="I3" s="14">
        <f>H3*H3</f>
        <v>1.7359749615237523E-7</v>
      </c>
      <c r="J3" s="17">
        <f t="shared" ref="J3:J5" si="2">SQRT(4*$R$2+4*$Q$2*A3*A3)</f>
        <v>1.1904427909540828E-2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2'!D19</f>
        <v>2.3189691659369132</v>
      </c>
      <c r="B4" s="14">
        <f>'Таблица 2'!E19</f>
        <v>0.15849049857503211</v>
      </c>
      <c r="C4" s="15">
        <f t="shared" si="0"/>
        <v>0.10419212572076869</v>
      </c>
      <c r="D4" s="14">
        <f t="shared" si="1"/>
        <v>6.0866996631601152E-4</v>
      </c>
      <c r="E4" s="20">
        <f t="shared" ref="E4:E5" si="3">A4-$L$2</f>
        <v>0.32278805077135164</v>
      </c>
      <c r="F4" s="14">
        <f t="shared" ref="F4:F5" si="4">B4-$M$2</f>
        <v>2.4671237632433674E-2</v>
      </c>
      <c r="G4" s="17">
        <f t="shared" ref="G4:G5" si="5">E4*F4</f>
        <v>7.9635807054900826E-3</v>
      </c>
      <c r="H4" s="18">
        <f t="shared" ref="H4:H5" si="6">B4-($O$2+$N$2*A4)</f>
        <v>4.513816172043883E-3</v>
      </c>
      <c r="I4" s="14">
        <f t="shared" ref="I4:I5" si="7">H4*H4</f>
        <v>2.0374536435004891E-5</v>
      </c>
      <c r="J4" s="17">
        <f t="shared" si="2"/>
        <v>1.3976590457938273E-2</v>
      </c>
      <c r="K4" s="18"/>
      <c r="L4" s="18"/>
      <c r="M4" s="18"/>
      <c r="N4" s="18"/>
      <c r="O4" s="18"/>
      <c r="P4" s="18"/>
      <c r="Q4" s="18">
        <f>SQRT(Q2)</f>
        <v>2.1953030817821501E-3</v>
      </c>
      <c r="R4" s="18">
        <f>SQRT(R2)</f>
        <v>4.7874436506137466E-3</v>
      </c>
    </row>
    <row r="5" spans="1:18" ht="16.8" thickTop="1" thickBot="1" x14ac:dyDescent="0.35">
      <c r="A5" s="13">
        <f>'Таблица 2'!D25</f>
        <v>3.2167824133910048</v>
      </c>
      <c r="B5" s="14">
        <f>'Таблица 2'!E25</f>
        <v>0.2073683445897741</v>
      </c>
      <c r="C5" s="15">
        <f t="shared" si="0"/>
        <v>1.4898675292296375</v>
      </c>
      <c r="D5" s="14">
        <f t="shared" si="1"/>
        <v>5.4094677053392421E-3</v>
      </c>
      <c r="E5" s="20">
        <f t="shared" si="3"/>
        <v>1.2206012982254433</v>
      </c>
      <c r="F5" s="14">
        <f t="shared" si="4"/>
        <v>7.3549083647175661E-2</v>
      </c>
      <c r="G5" s="17">
        <f t="shared" si="5"/>
        <v>8.9774106983034327E-2</v>
      </c>
      <c r="H5" s="18">
        <f t="shared" si="6"/>
        <v>-2.6748495022507202E-3</v>
      </c>
      <c r="I5" s="14">
        <f t="shared" si="7"/>
        <v>7.1548198596909254E-6</v>
      </c>
      <c r="J5" s="17">
        <f t="shared" si="2"/>
        <v>1.7063271704033964E-2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4.3906061635643001E-3</v>
      </c>
      <c r="R6" s="18">
        <f>R4*2</f>
        <v>9.5748873012274933E-3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workbookViewId="0">
      <selection activeCell="B3" sqref="B3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554687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2'!D8</f>
        <v>0.64250573155906576</v>
      </c>
      <c r="B2" s="14">
        <f>'Таблица 2'!E8</f>
        <v>6.0091050562957417E-2</v>
      </c>
      <c r="C2" s="15">
        <f>(A2-$L$2)*(A2-$L$2)</f>
        <v>0.89563251666492216</v>
      </c>
      <c r="D2" s="14">
        <f>(B2-$M$2)*(B2-$M$2)</f>
        <v>5.4579715360158262E-3</v>
      </c>
      <c r="E2" s="16">
        <f>A2-$L$2</f>
        <v>-0.94637863282352386</v>
      </c>
      <c r="F2" s="14">
        <f>B2-$M$2</f>
        <v>-7.3878085627713891E-2</v>
      </c>
      <c r="G2" s="17">
        <f>E2*F2</f>
        <v>6.9916641671975102E-2</v>
      </c>
      <c r="H2" s="18">
        <f>B2-($O$2+$N$2*A2)</f>
        <v>-9.6745812580152635E-4</v>
      </c>
      <c r="I2" s="19">
        <f>H2*H2</f>
        <v>9.3597522517940193E-7</v>
      </c>
      <c r="J2" s="24">
        <f>SQRT(4*$R$2+4*$Q$2*A2*A2)</f>
        <v>3.7630008895135738E-3</v>
      </c>
      <c r="K2" s="18"/>
      <c r="L2" s="18">
        <f>SUM(A:A)/COUNT(A:A)</f>
        <v>1.5888843643825896</v>
      </c>
      <c r="M2" s="18">
        <f>SUM(B:B)/COUNT(B:B)</f>
        <v>0.1339691361906713</v>
      </c>
      <c r="N2" s="18">
        <f>SUM(G:G)/SUM(C:C)</f>
        <v>7.7041709283295262E-2</v>
      </c>
      <c r="O2" s="18">
        <f>M2-N2*L2</f>
        <v>1.1558768905134451E-2</v>
      </c>
      <c r="P2" s="18">
        <f>SUM(C:C)</f>
        <v>2.0384730263339446</v>
      </c>
      <c r="Q2" s="18">
        <f>1/P2*SUM(I:I)/(COUNT(I:I)-2)</f>
        <v>1.026997076548233E-6</v>
      </c>
      <c r="R2" s="18">
        <f>(1/COUNT(I:I)+L2*L2/P2)*SUM(I:I)/(COUNT(I:I)-2)</f>
        <v>3.1160855477671E-6</v>
      </c>
    </row>
    <row r="3" spans="1:18" ht="16.8" thickTop="1" thickBot="1" x14ac:dyDescent="0.35">
      <c r="A3" s="13">
        <f>'Таблица 2'!D14</f>
        <v>1.2601742190857883</v>
      </c>
      <c r="B3" s="14">
        <f>'Таблица 2'!E14</f>
        <v>0.10944515013715646</v>
      </c>
      <c r="C3" s="15">
        <f t="shared" ref="C3:C5" si="0">(A3-$L$2)*(A3-$L$2)</f>
        <v>0.10805035962104423</v>
      </c>
      <c r="D3" s="14">
        <f t="shared" ref="D3:D5" si="1">(B3-$M$2)*(B3-$M$2)</f>
        <v>6.0142589195299058E-4</v>
      </c>
      <c r="E3" s="20">
        <f>A3-$L$2</f>
        <v>-0.32871014529680131</v>
      </c>
      <c r="F3" s="14">
        <f>B3-$M$2</f>
        <v>-2.4523986053514843E-2</v>
      </c>
      <c r="G3" s="17">
        <f>E3*F3</f>
        <v>8.0612830189075932E-3</v>
      </c>
      <c r="H3" s="18">
        <f>B3-($O$2+$N$2*A3)</f>
        <v>8.0040539891107487E-4</v>
      </c>
      <c r="I3" s="14">
        <f>H3*H3</f>
        <v>6.4064880260599686E-7</v>
      </c>
      <c r="J3" s="17">
        <f t="shared" ref="J3:J5" si="2">SQRT(4*$R$2+4*$Q$2*A3*A3)</f>
        <v>4.3575208650543868E-3</v>
      </c>
      <c r="K3" s="27"/>
      <c r="L3" s="18"/>
      <c r="M3" s="18"/>
      <c r="N3" s="34" t="s">
        <v>54</v>
      </c>
      <c r="O3" s="34" t="s">
        <v>55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2'!D20</f>
        <v>1.8933638543586659</v>
      </c>
      <c r="B4" s="14">
        <f>'Таблица 2'!E20</f>
        <v>0.15864967623837831</v>
      </c>
      <c r="C4" s="15">
        <f t="shared" si="0"/>
        <v>9.2707759816091556E-2</v>
      </c>
      <c r="D4" s="14">
        <f t="shared" si="1"/>
        <v>6.0912905704646936E-4</v>
      </c>
      <c r="E4" s="20">
        <f t="shared" ref="E4:E5" si="3">A4-$L$2</f>
        <v>0.30447948997607632</v>
      </c>
      <c r="F4" s="14">
        <f t="shared" ref="F4:F5" si="4">B4-$M$2</f>
        <v>2.4680540047707006E-2</v>
      </c>
      <c r="G4" s="17">
        <f t="shared" ref="G4:G5" si="5">E4*F4</f>
        <v>7.5147182460599555E-3</v>
      </c>
      <c r="H4" s="18">
        <f t="shared" ref="H4:H5" si="6">B4-($O$2+$N$2*A4)</f>
        <v>1.2229196982441459E-3</v>
      </c>
      <c r="I4" s="14">
        <f t="shared" ref="I4:I5" si="7">H4*H4</f>
        <v>1.495532588353553E-6</v>
      </c>
      <c r="J4" s="17">
        <f t="shared" si="2"/>
        <v>5.2144767995210709E-3</v>
      </c>
      <c r="K4" s="18"/>
      <c r="L4" s="18"/>
      <c r="M4" s="18"/>
      <c r="N4" s="18"/>
      <c r="O4" s="18"/>
      <c r="P4" s="18"/>
      <c r="Q4" s="18">
        <f>SQRT(Q2)</f>
        <v>1.0134086424282325E-3</v>
      </c>
      <c r="R4" s="18">
        <f>SQRT(R2)</f>
        <v>1.7652437644039704E-3</v>
      </c>
    </row>
    <row r="5" spans="1:18" ht="16.8" thickTop="1" thickBot="1" x14ac:dyDescent="0.35">
      <c r="A5" s="13">
        <f>'Таблица 2'!D26</f>
        <v>2.559493652526839</v>
      </c>
      <c r="B5" s="14">
        <f>'Таблица 2'!E26</f>
        <v>0.20769066782419293</v>
      </c>
      <c r="C5" s="15">
        <f t="shared" si="0"/>
        <v>0.94208239023188656</v>
      </c>
      <c r="D5" s="14">
        <f t="shared" si="1"/>
        <v>5.4348642263923304E-3</v>
      </c>
      <c r="E5" s="20">
        <f t="shared" si="3"/>
        <v>0.9706092881442494</v>
      </c>
      <c r="F5" s="14">
        <f t="shared" si="4"/>
        <v>7.3721531633521631E-2</v>
      </c>
      <c r="G5" s="17">
        <f t="shared" si="5"/>
        <v>7.15548033397162E-2</v>
      </c>
      <c r="H5" s="18">
        <f t="shared" si="6"/>
        <v>-1.0558669713537916E-3</v>
      </c>
      <c r="I5" s="14">
        <f t="shared" si="7"/>
        <v>1.1148550611958286E-6</v>
      </c>
      <c r="J5" s="17">
        <f t="shared" si="2"/>
        <v>6.2750143786241179E-3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/>
      <c r="B6" s="14"/>
      <c r="C6" s="15"/>
      <c r="D6" s="14"/>
      <c r="E6" s="20"/>
      <c r="F6" s="14"/>
      <c r="G6" s="17"/>
      <c r="H6" s="18"/>
      <c r="I6" s="14"/>
      <c r="J6" s="17"/>
      <c r="K6" s="18"/>
      <c r="L6" s="18"/>
      <c r="M6" s="18"/>
      <c r="N6" s="18"/>
      <c r="O6" s="18"/>
      <c r="P6" s="18"/>
      <c r="Q6" s="18">
        <f>Q4*2</f>
        <v>2.026817284856465E-3</v>
      </c>
      <c r="R6" s="18">
        <f>R4*2</f>
        <v>3.5304875288079407E-3</v>
      </c>
    </row>
    <row r="7" spans="1:18" x14ac:dyDescent="0.3">
      <c r="A7" s="13"/>
      <c r="B7" s="14"/>
      <c r="C7" s="15"/>
      <c r="D7" s="14"/>
      <c r="E7" s="20"/>
      <c r="F7" s="14"/>
      <c r="G7" s="17"/>
      <c r="H7" s="18"/>
      <c r="I7" s="14"/>
      <c r="J7" s="17"/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3"/>
      <c r="B10" s="14"/>
      <c r="C10" s="15"/>
      <c r="D10" s="14"/>
      <c r="E10" s="20"/>
      <c r="F10" s="14"/>
      <c r="G10" s="17"/>
      <c r="H10" s="18"/>
      <c r="I10" s="14"/>
      <c r="J10" s="17"/>
    </row>
    <row r="11" spans="1:18" x14ac:dyDescent="0.3">
      <c r="A11" s="13"/>
      <c r="B11" s="14"/>
      <c r="C11" s="15"/>
      <c r="D11" s="14"/>
      <c r="E11" s="20"/>
      <c r="F11" s="14"/>
      <c r="G11" s="17"/>
      <c r="H11" s="18"/>
      <c r="I11" s="14"/>
      <c r="J11" s="17"/>
    </row>
    <row r="12" spans="1:18" x14ac:dyDescent="0.3">
      <c r="A12" s="13"/>
      <c r="B12" s="14"/>
      <c r="C12" s="15"/>
      <c r="D12" s="14"/>
      <c r="E12" s="20"/>
      <c r="F12" s="14"/>
      <c r="G12" s="17"/>
      <c r="H12" s="18"/>
      <c r="I12" s="14"/>
      <c r="J12" s="17"/>
    </row>
    <row r="13" spans="1:18" x14ac:dyDescent="0.3">
      <c r="A13" s="13"/>
      <c r="B13" s="14"/>
      <c r="C13" s="15"/>
      <c r="D13" s="14"/>
      <c r="E13" s="20"/>
      <c r="F13" s="14"/>
      <c r="G13" s="17"/>
      <c r="H13" s="18"/>
      <c r="I13" s="14"/>
      <c r="J13" s="17"/>
    </row>
    <row r="14" spans="1:18" x14ac:dyDescent="0.3">
      <c r="A14" s="13"/>
      <c r="B14" s="14"/>
      <c r="C14" s="15"/>
      <c r="D14" s="14"/>
      <c r="E14" s="20"/>
      <c r="F14" s="14"/>
      <c r="G14" s="17"/>
      <c r="H14" s="18"/>
      <c r="I14" s="14"/>
      <c r="J14" s="17"/>
    </row>
    <row r="15" spans="1:18" x14ac:dyDescent="0.3">
      <c r="A15" s="13"/>
      <c r="B15" s="14"/>
      <c r="C15" s="15"/>
      <c r="D15" s="14"/>
      <c r="E15" s="20"/>
      <c r="F15" s="14"/>
      <c r="G15" s="17"/>
      <c r="H15" s="18"/>
      <c r="I15" s="14"/>
      <c r="J15" s="17"/>
    </row>
    <row r="16" spans="1:18" x14ac:dyDescent="0.3">
      <c r="A16" s="13"/>
      <c r="B16" s="14"/>
      <c r="C16" s="15"/>
      <c r="D16" s="14"/>
      <c r="E16" s="20"/>
      <c r="F16" s="14"/>
      <c r="G16" s="17"/>
      <c r="H16" s="18"/>
      <c r="I16" s="14"/>
      <c r="J16" s="17"/>
    </row>
    <row r="17" spans="1:10" x14ac:dyDescent="0.3">
      <c r="A17" s="13"/>
      <c r="B17" s="14"/>
      <c r="C17" s="15"/>
      <c r="D17" s="14"/>
      <c r="E17" s="20"/>
      <c r="F17" s="14"/>
      <c r="G17" s="17"/>
      <c r="H17" s="18"/>
      <c r="I17" s="14"/>
      <c r="J17" s="17"/>
    </row>
    <row r="18" spans="1:10" x14ac:dyDescent="0.3">
      <c r="A18" s="13"/>
      <c r="B18" s="14"/>
      <c r="C18" s="15"/>
      <c r="D18" s="14"/>
      <c r="E18" s="20"/>
      <c r="F18" s="14"/>
      <c r="G18" s="17"/>
      <c r="H18" s="18"/>
      <c r="I18" s="14"/>
      <c r="J18" s="17"/>
    </row>
    <row r="19" spans="1:10" x14ac:dyDescent="0.3">
      <c r="A19" s="13"/>
      <c r="B19" s="14"/>
      <c r="C19" s="15"/>
      <c r="D19" s="14"/>
      <c r="E19" s="20"/>
      <c r="F19" s="14"/>
      <c r="G19" s="17"/>
      <c r="H19" s="18"/>
      <c r="I19" s="14"/>
      <c r="J19" s="17"/>
    </row>
    <row r="20" spans="1:10" x14ac:dyDescent="0.3">
      <c r="A20" s="13"/>
      <c r="B20" s="14"/>
      <c r="C20" s="15"/>
      <c r="D20" s="14"/>
      <c r="E20" s="20"/>
      <c r="F20" s="14"/>
      <c r="G20" s="17"/>
      <c r="H20" s="18"/>
      <c r="I20" s="14"/>
      <c r="J20" s="17"/>
    </row>
    <row r="21" spans="1:10" x14ac:dyDescent="0.3">
      <c r="A21" s="13"/>
      <c r="B21" s="14"/>
      <c r="C21" s="15"/>
      <c r="D21" s="14"/>
      <c r="E21" s="20"/>
      <c r="F21" s="14"/>
      <c r="G21" s="17"/>
      <c r="H21" s="18"/>
      <c r="I21" s="14"/>
      <c r="J21" s="17"/>
    </row>
    <row r="22" spans="1:10" x14ac:dyDescent="0.3">
      <c r="A22" s="13"/>
      <c r="B22" s="14"/>
      <c r="C22" s="15"/>
      <c r="D22" s="14"/>
      <c r="E22" s="20"/>
      <c r="F22" s="14"/>
      <c r="G22" s="17"/>
      <c r="H22" s="18"/>
      <c r="I22" s="14"/>
      <c r="J22" s="17"/>
    </row>
    <row r="23" spans="1:10" x14ac:dyDescent="0.3">
      <c r="A23" s="13"/>
      <c r="B23" s="14"/>
      <c r="C23" s="15"/>
      <c r="D23" s="14"/>
      <c r="E23" s="20"/>
      <c r="F23" s="14"/>
      <c r="G23" s="17"/>
      <c r="H23" s="18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tabSelected="1" workbookViewId="0">
      <selection activeCell="O5" sqref="O5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26" t="s">
        <v>29</v>
      </c>
      <c r="E1" s="25" t="s">
        <v>30</v>
      </c>
      <c r="F1" s="26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3'!B3</f>
        <v>5.9290000000000002E-3</v>
      </c>
      <c r="B2" s="14">
        <f>'Таблица 3'!B4</f>
        <v>1.9423220341030219E-2</v>
      </c>
      <c r="C2" s="15">
        <f>(A2-$L$2)*(A2-$L$2)</f>
        <v>2.3575043402777784E-4</v>
      </c>
      <c r="D2" s="14">
        <f>(B2-$M$2)*(B2-$M$2)</f>
        <v>6.5577229350703475E-4</v>
      </c>
      <c r="E2" s="16">
        <f>A2-$L$2</f>
        <v>-1.5354166666666669E-2</v>
      </c>
      <c r="F2" s="14">
        <f>B2-$M$2</f>
        <v>-2.5608051341463583E-2</v>
      </c>
      <c r="G2" s="17">
        <f>E2*F2</f>
        <v>3.9319028830538881E-4</v>
      </c>
      <c r="H2" s="18">
        <f>B2-($O$2+$N$2*A2)</f>
        <v>-1.6342264988819868E-4</v>
      </c>
      <c r="I2" s="19">
        <f>H2*H2</f>
        <v>2.6706962496480765E-8</v>
      </c>
      <c r="J2" s="24">
        <f>SQRT(4*$R$2+4*$Q$2*A2*A2)</f>
        <v>1.190253764101951E-3</v>
      </c>
      <c r="K2" s="18"/>
      <c r="L2" s="18">
        <f>SUM(A:A)/COUNT(A:A)</f>
        <v>2.1283166666666669E-2</v>
      </c>
      <c r="M2" s="18">
        <f>SUM(B:B)/COUNT(B:B)</f>
        <v>4.5031271682493802E-2</v>
      </c>
      <c r="N2" s="18">
        <f>SUM(G:G)/SUM(C:C)</f>
        <v>1.6571807017579623</v>
      </c>
      <c r="O2" s="18">
        <f>M2-N2*L2</f>
        <v>9.7612186101954587E-3</v>
      </c>
      <c r="P2" s="18">
        <f>SUM(C:C)</f>
        <v>8.6596927083333294E-4</v>
      </c>
      <c r="Q2" s="18">
        <f>1/P2*SUM(I:I)/(COUNT(I:I)-2)</f>
        <v>5.6000240568536701E-4</v>
      </c>
      <c r="R2" s="18">
        <f>(1/COUNT(I:I)+L2*L2/P2)*SUM(I:I)/(COUNT(I:I)-2)</f>
        <v>3.3449021821255939E-7</v>
      </c>
    </row>
    <row r="3" spans="1:18" ht="16.8" thickTop="1" thickBot="1" x14ac:dyDescent="0.35">
      <c r="A3" s="13">
        <f>'Таблица 3'!C3</f>
        <v>1.0404000000000002E-2</v>
      </c>
      <c r="B3" s="14">
        <f>'Таблица 3'!C4</f>
        <v>2.7706082865633811E-2</v>
      </c>
      <c r="C3" s="15">
        <f>(A3-$L$2)*(A3-$L$2)</f>
        <v>1.1835626736111112E-4</v>
      </c>
      <c r="D3" s="14">
        <f>(B3-$M$2)*(B3-$M$2)</f>
        <v>3.0016216753985051E-4</v>
      </c>
      <c r="E3" s="20">
        <f>A3-$L$2</f>
        <v>-1.0879166666666667E-2</v>
      </c>
      <c r="F3" s="14">
        <f>B3-$M$2</f>
        <v>-1.7325188816859991E-2</v>
      </c>
      <c r="G3" s="17">
        <f>E3*F3</f>
        <v>1.8848361667008932E-4</v>
      </c>
      <c r="H3" s="18">
        <f>B3-($O$2+$N$2*A3)</f>
        <v>7.0355623434851036E-4</v>
      </c>
      <c r="I3" s="14">
        <f>H3*H3</f>
        <v>4.9499137489065607E-7</v>
      </c>
      <c r="J3" s="17">
        <f t="shared" ref="J3:J7" si="0">SQRT(4*$R$2+4*$Q$2*A3*A3)</f>
        <v>1.2571502369592589E-3</v>
      </c>
      <c r="K3" s="27"/>
      <c r="L3" s="18"/>
      <c r="M3" s="18"/>
      <c r="N3" s="34" t="s">
        <v>57</v>
      </c>
      <c r="O3" s="34" t="s">
        <v>56</v>
      </c>
      <c r="P3" s="18"/>
      <c r="Q3" s="34" t="s">
        <v>58</v>
      </c>
      <c r="R3" s="34" t="s">
        <v>59</v>
      </c>
    </row>
    <row r="4" spans="1:18" ht="15.6" thickTop="1" thickBot="1" x14ac:dyDescent="0.35">
      <c r="A4" s="13">
        <f>'Таблица 3'!D3</f>
        <v>1.6129000000000001E-2</v>
      </c>
      <c r="B4" s="14">
        <f>'Таблица 3'!D4</f>
        <v>3.5657330597179605E-2</v>
      </c>
      <c r="C4" s="15">
        <f t="shared" ref="C4:C7" si="1">(A4-$L$2)*(A4-$L$2)</f>
        <v>2.6565434027777793E-5</v>
      </c>
      <c r="D4" s="14">
        <f t="shared" ref="D4:D7" si="2">(B4-$M$2)*(B4-$M$2)</f>
        <v>8.7870771470941502E-5</v>
      </c>
      <c r="E4" s="20">
        <f t="shared" ref="E4:E7" si="3">A4-$L$2</f>
        <v>-5.154166666666668E-3</v>
      </c>
      <c r="F4" s="14">
        <f t="shared" ref="F4:F7" si="4">B4-$M$2</f>
        <v>-9.3739410853141969E-3</v>
      </c>
      <c r="G4" s="17">
        <f t="shared" ref="G4:G7" si="5">E4*F4</f>
        <v>4.8314854677223605E-5</v>
      </c>
      <c r="H4" s="18">
        <f t="shared" ref="H4:H7" si="6">B4-($O$2+$N$2*A4)</f>
        <v>-8.3255555167002782E-4</v>
      </c>
      <c r="I4" s="14">
        <f t="shared" ref="I4:I7" si="7">H4*H4</f>
        <v>6.9314874661658439E-7</v>
      </c>
      <c r="J4" s="17">
        <f t="shared" si="0"/>
        <v>1.385888657863561E-3</v>
      </c>
      <c r="K4" s="18"/>
      <c r="L4" s="18"/>
      <c r="M4" s="18"/>
      <c r="N4" s="18"/>
      <c r="O4" s="18"/>
      <c r="P4" s="18"/>
      <c r="Q4" s="18">
        <f>SQRT(Q2)</f>
        <v>2.3664369961724462E-2</v>
      </c>
      <c r="R4" s="18">
        <f>SQRT(R2)</f>
        <v>5.7835129308453988E-4</v>
      </c>
    </row>
    <row r="5" spans="1:18" ht="16.8" thickTop="1" thickBot="1" x14ac:dyDescent="0.35">
      <c r="A5" s="13">
        <f>'Таблица 3'!E3</f>
        <v>2.3104E-2</v>
      </c>
      <c r="B5" s="14">
        <f>'Таблица 3'!E4</f>
        <v>4.7911431790691524E-2</v>
      </c>
      <c r="C5" s="15">
        <f t="shared" si="1"/>
        <v>3.3154340277777676E-6</v>
      </c>
      <c r="D5" s="14">
        <f t="shared" si="2"/>
        <v>8.2953222488535096E-6</v>
      </c>
      <c r="E5" s="20">
        <f t="shared" si="3"/>
        <v>1.8208333333333306E-3</v>
      </c>
      <c r="F5" s="14">
        <f t="shared" si="4"/>
        <v>2.8801601081977213E-3</v>
      </c>
      <c r="G5" s="17">
        <f t="shared" si="5"/>
        <v>5.2442915303433426E-6</v>
      </c>
      <c r="H5" s="18">
        <f t="shared" si="6"/>
        <v>-1.3728975291989187E-4</v>
      </c>
      <c r="I5" s="14">
        <f t="shared" si="7"/>
        <v>1.8848476256804958E-8</v>
      </c>
      <c r="J5" s="17">
        <f t="shared" si="0"/>
        <v>1.5917494769151798E-3</v>
      </c>
      <c r="K5" s="18"/>
      <c r="L5" s="18"/>
      <c r="M5" s="18"/>
      <c r="N5" s="18"/>
      <c r="O5" s="18"/>
      <c r="P5" s="18"/>
      <c r="Q5" s="34" t="s">
        <v>60</v>
      </c>
      <c r="R5" s="34" t="s">
        <v>61</v>
      </c>
    </row>
    <row r="6" spans="1:18" ht="15" thickTop="1" x14ac:dyDescent="0.3">
      <c r="A6" s="13">
        <f>'Таблица 3'!F3</f>
        <v>3.1328999999999996E-2</v>
      </c>
      <c r="B6" s="14">
        <f>'Таблица 3'!F4</f>
        <v>6.2447855217132434E-2</v>
      </c>
      <c r="C6" s="15">
        <f t="shared" si="1"/>
        <v>1.0091876736111099E-4</v>
      </c>
      <c r="D6" s="14">
        <f t="shared" si="2"/>
        <v>3.0333738201904551E-4</v>
      </c>
      <c r="E6" s="20">
        <f t="shared" si="3"/>
        <v>1.0045833333333327E-2</v>
      </c>
      <c r="F6" s="14">
        <f t="shared" si="4"/>
        <v>1.7416583534638631E-2</v>
      </c>
      <c r="G6" s="17">
        <f t="shared" si="5"/>
        <v>1.7496409542505713E-4</v>
      </c>
      <c r="H6" s="18">
        <f t="shared" si="6"/>
        <v>7.6882240156177922E-4</v>
      </c>
      <c r="I6" s="14">
        <f t="shared" si="7"/>
        <v>5.9108788514322166E-7</v>
      </c>
      <c r="J6" s="17">
        <f t="shared" si="0"/>
        <v>1.8805702054087328E-3</v>
      </c>
      <c r="K6" s="18"/>
      <c r="L6" s="18"/>
      <c r="M6" s="18"/>
      <c r="N6" s="18"/>
      <c r="O6" s="18"/>
      <c r="P6" s="18"/>
      <c r="Q6" s="18">
        <f>Q4*2</f>
        <v>4.7328739923448923E-2</v>
      </c>
      <c r="R6" s="18">
        <f>R4*2</f>
        <v>1.1567025861690798E-3</v>
      </c>
    </row>
    <row r="7" spans="1:18" x14ac:dyDescent="0.3">
      <c r="A7" s="13">
        <f>'Таблица 3'!G3</f>
        <v>4.0803999999999993E-2</v>
      </c>
      <c r="B7" s="14">
        <f>'Таблица 3'!G4</f>
        <v>7.7041709283295262E-2</v>
      </c>
      <c r="C7" s="15">
        <f t="shared" si="1"/>
        <v>3.8106293402777742E-4</v>
      </c>
      <c r="D7" s="14">
        <f t="shared" si="2"/>
        <v>1.024668115394804E-3</v>
      </c>
      <c r="E7" s="20">
        <f t="shared" si="3"/>
        <v>1.9520833333333324E-2</v>
      </c>
      <c r="F7" s="14">
        <f t="shared" si="4"/>
        <v>3.201043760080146E-2</v>
      </c>
      <c r="G7" s="17">
        <f t="shared" si="5"/>
        <v>6.2487041733231153E-4</v>
      </c>
      <c r="H7" s="18">
        <f t="shared" si="6"/>
        <v>-3.3911068143208101E-4</v>
      </c>
      <c r="I7" s="14">
        <f t="shared" si="7"/>
        <v>1.1499605426133033E-7</v>
      </c>
      <c r="J7" s="17">
        <f t="shared" si="0"/>
        <v>2.2511112069890306E-3</v>
      </c>
      <c r="K7" s="18"/>
      <c r="L7" s="18"/>
      <c r="M7" s="18"/>
      <c r="N7" s="18"/>
      <c r="O7" s="18"/>
      <c r="P7" s="18"/>
      <c r="Q7" s="18"/>
      <c r="R7" s="18"/>
    </row>
    <row r="8" spans="1:18" x14ac:dyDescent="0.3">
      <c r="A8" s="13"/>
      <c r="B8" s="14"/>
      <c r="C8" s="15"/>
      <c r="D8" s="14"/>
      <c r="E8" s="20"/>
      <c r="F8" s="14"/>
      <c r="G8" s="17"/>
      <c r="H8" s="18"/>
      <c r="I8" s="14"/>
      <c r="J8" s="17"/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3"/>
      <c r="B9" s="14"/>
      <c r="C9" s="15"/>
      <c r="D9" s="14"/>
      <c r="E9" s="20"/>
      <c r="F9" s="14"/>
      <c r="G9" s="17"/>
      <c r="H9" s="18"/>
      <c r="I9" s="14"/>
      <c r="J9" s="17"/>
      <c r="K9" s="18"/>
      <c r="L9" s="18"/>
      <c r="M9" s="18"/>
      <c r="N9" s="18"/>
      <c r="O9" s="18"/>
      <c r="P9" s="18"/>
      <c r="Q9" s="18"/>
      <c r="R9" s="1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9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75</v>
      </c>
    </row>
    <row r="3" spans="1:1" x14ac:dyDescent="0.3">
      <c r="A3" t="s">
        <v>76</v>
      </c>
    </row>
    <row r="5" spans="1:1" x14ac:dyDescent="0.3">
      <c r="A5" t="s">
        <v>74</v>
      </c>
    </row>
    <row r="7" spans="1:1" x14ac:dyDescent="0.3">
      <c r="A7" t="s">
        <v>73</v>
      </c>
    </row>
    <row r="9" spans="1:1" x14ac:dyDescent="0.3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zoomScale="126" workbookViewId="0">
      <selection activeCell="B3" sqref="B3"/>
    </sheetView>
  </sheetViews>
  <sheetFormatPr defaultRowHeight="14.4" x14ac:dyDescent="0.3"/>
  <cols>
    <col min="1" max="1" width="13.44140625" bestFit="1" customWidth="1"/>
  </cols>
  <sheetData>
    <row r="1" spans="1:7" x14ac:dyDescent="0.3">
      <c r="A1" s="53" t="s">
        <v>0</v>
      </c>
      <c r="B1" s="53" t="s">
        <v>1</v>
      </c>
      <c r="C1" s="53"/>
      <c r="D1" s="53"/>
      <c r="E1" s="53"/>
      <c r="F1" s="53"/>
      <c r="G1" s="53"/>
    </row>
    <row r="2" spans="1:7" x14ac:dyDescent="0.3">
      <c r="A2" s="5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52">
        <f>0.047+0.22</f>
        <v>0.26700000000000002</v>
      </c>
      <c r="B3" s="12">
        <v>4.8099999999999996</v>
      </c>
      <c r="C3" s="12">
        <v>5.51</v>
      </c>
      <c r="D3" s="12">
        <v>6.72</v>
      </c>
      <c r="E3" s="12">
        <v>7.53</v>
      </c>
      <c r="F3" s="12">
        <v>8.5299999999999994</v>
      </c>
      <c r="G3" s="12">
        <v>9.66</v>
      </c>
    </row>
    <row r="4" spans="1:7" x14ac:dyDescent="0.3">
      <c r="A4" s="52"/>
      <c r="B4" s="12">
        <v>4.8899999999999997</v>
      </c>
      <c r="C4" s="12">
        <v>5.51</v>
      </c>
      <c r="D4" s="12">
        <v>6.57</v>
      </c>
      <c r="E4" s="12">
        <v>7.55</v>
      </c>
      <c r="F4" s="12">
        <v>8.51</v>
      </c>
      <c r="G4" s="12">
        <v>9.7899999999999991</v>
      </c>
    </row>
    <row r="5" spans="1:7" x14ac:dyDescent="0.3">
      <c r="A5" s="52"/>
      <c r="B5" s="12">
        <v>4.95</v>
      </c>
      <c r="C5" s="12">
        <v>5.67</v>
      </c>
      <c r="D5" s="12">
        <v>6.67</v>
      </c>
      <c r="E5" s="12">
        <v>7.84</v>
      </c>
      <c r="F5" s="12">
        <v>8.5299999999999994</v>
      </c>
      <c r="G5" s="12">
        <v>9.75</v>
      </c>
    </row>
    <row r="6" spans="1:7" x14ac:dyDescent="0.3">
      <c r="A6" s="52"/>
      <c r="B6" s="12">
        <f>SUM(B3:B5)/3</f>
        <v>4.8833333333333329</v>
      </c>
      <c r="C6" s="12">
        <f t="shared" ref="C6:G6" si="0">SUM(C3:C5)/3</f>
        <v>5.5633333333333326</v>
      </c>
      <c r="D6" s="12">
        <f t="shared" si="0"/>
        <v>6.6533333333333333</v>
      </c>
      <c r="E6" s="12">
        <f t="shared" si="0"/>
        <v>7.6400000000000006</v>
      </c>
      <c r="F6" s="12">
        <f t="shared" si="0"/>
        <v>8.5233333333333334</v>
      </c>
      <c r="G6" s="12">
        <f t="shared" si="0"/>
        <v>9.7333333333333325</v>
      </c>
    </row>
    <row r="7" spans="1:7" x14ac:dyDescent="0.3">
      <c r="A7" s="52">
        <f>0.047+0.22*2</f>
        <v>0.48699999999999999</v>
      </c>
      <c r="B7" s="12">
        <v>3.39</v>
      </c>
      <c r="C7" s="12">
        <v>3.98</v>
      </c>
      <c r="D7" s="12">
        <v>4.8600000000000003</v>
      </c>
      <c r="E7" s="12">
        <v>5.25</v>
      </c>
      <c r="F7" s="12">
        <v>6.11</v>
      </c>
      <c r="G7" s="12">
        <v>6.88</v>
      </c>
    </row>
    <row r="8" spans="1:7" x14ac:dyDescent="0.3">
      <c r="A8" s="52"/>
      <c r="B8" s="12">
        <v>3.21</v>
      </c>
      <c r="C8" s="12">
        <v>4.0199999999999996</v>
      </c>
      <c r="D8" s="12">
        <v>4.58</v>
      </c>
      <c r="E8" s="12">
        <v>5.54</v>
      </c>
      <c r="F8" s="12">
        <v>6.13</v>
      </c>
      <c r="G8" s="12">
        <v>6.96</v>
      </c>
    </row>
    <row r="9" spans="1:7" x14ac:dyDescent="0.3">
      <c r="A9" s="52"/>
      <c r="B9" s="12">
        <v>3.36</v>
      </c>
      <c r="C9" s="12">
        <v>3.88</v>
      </c>
      <c r="D9" s="12">
        <v>4.8499999999999996</v>
      </c>
      <c r="E9" s="12">
        <v>5.38</v>
      </c>
      <c r="F9" s="12">
        <v>6.2</v>
      </c>
      <c r="G9" s="12">
        <v>7.01</v>
      </c>
    </row>
    <row r="10" spans="1:7" x14ac:dyDescent="0.3">
      <c r="A10" s="52"/>
      <c r="B10" s="12">
        <f>SUM(B7:B9)/3</f>
        <v>3.32</v>
      </c>
      <c r="C10" s="12">
        <f t="shared" ref="C10:G10" si="1">SUM(C7:C9)/3</f>
        <v>3.9599999999999995</v>
      </c>
      <c r="D10" s="12">
        <f t="shared" si="1"/>
        <v>4.7633333333333336</v>
      </c>
      <c r="E10" s="12">
        <f t="shared" si="1"/>
        <v>5.39</v>
      </c>
      <c r="F10" s="12">
        <f t="shared" si="1"/>
        <v>6.1466666666666674</v>
      </c>
      <c r="G10" s="12">
        <f t="shared" si="1"/>
        <v>6.95</v>
      </c>
    </row>
    <row r="11" spans="1:7" x14ac:dyDescent="0.3">
      <c r="A11" s="52">
        <f>0.047+0.22*3</f>
        <v>0.70700000000000007</v>
      </c>
      <c r="B11" s="12">
        <v>2.87</v>
      </c>
      <c r="C11" s="12">
        <v>3.36</v>
      </c>
      <c r="D11" s="12">
        <v>3.77</v>
      </c>
      <c r="E11" s="12">
        <v>4.4800000000000004</v>
      </c>
      <c r="F11" s="12">
        <v>5.0599999999999996</v>
      </c>
      <c r="G11" s="12">
        <v>5.61</v>
      </c>
    </row>
    <row r="12" spans="1:7" x14ac:dyDescent="0.3">
      <c r="A12" s="52"/>
      <c r="B12" s="12">
        <v>2.9</v>
      </c>
      <c r="C12" s="12">
        <v>3.4</v>
      </c>
      <c r="D12" s="12">
        <v>3.75</v>
      </c>
      <c r="E12" s="12">
        <v>4.45</v>
      </c>
      <c r="F12" s="12">
        <v>5.25</v>
      </c>
      <c r="G12" s="12">
        <v>5.82</v>
      </c>
    </row>
    <row r="13" spans="1:7" x14ac:dyDescent="0.3">
      <c r="A13" s="52"/>
      <c r="B13" s="12">
        <v>2.81</v>
      </c>
      <c r="C13" s="12">
        <v>3.17</v>
      </c>
      <c r="D13" s="12">
        <v>3.82</v>
      </c>
      <c r="E13" s="12">
        <v>4.3600000000000003</v>
      </c>
      <c r="F13" s="12">
        <v>5.0599999999999996</v>
      </c>
      <c r="G13" s="12">
        <v>5.58</v>
      </c>
    </row>
    <row r="14" spans="1:7" x14ac:dyDescent="0.3">
      <c r="A14" s="52"/>
      <c r="B14" s="12">
        <f>SUM(B11:B13)/3</f>
        <v>2.86</v>
      </c>
      <c r="C14" s="12">
        <f t="shared" ref="C14" si="2">SUM(C11:C13)/3</f>
        <v>3.31</v>
      </c>
      <c r="D14" s="12">
        <f t="shared" ref="D14" si="3">SUM(D11:D13)/3</f>
        <v>3.78</v>
      </c>
      <c r="E14" s="12">
        <f t="shared" ref="E14" si="4">SUM(E11:E13)/3</f>
        <v>4.43</v>
      </c>
      <c r="F14" s="12">
        <f t="shared" ref="F14" si="5">SUM(F11:F13)/3</f>
        <v>5.1233333333333322</v>
      </c>
      <c r="G14" s="12">
        <f t="shared" ref="G14" si="6">SUM(G11:G13)/3</f>
        <v>5.669999999999999</v>
      </c>
    </row>
    <row r="15" spans="1:7" x14ac:dyDescent="0.3">
      <c r="A15" s="52">
        <f>0.047+0.22*4</f>
        <v>0.92700000000000005</v>
      </c>
      <c r="B15" s="12">
        <v>2.5299999999999998</v>
      </c>
      <c r="C15" s="12">
        <v>2.88</v>
      </c>
      <c r="D15" s="12">
        <v>3.18</v>
      </c>
      <c r="E15" s="12">
        <v>3.86</v>
      </c>
      <c r="F15" s="12">
        <v>4.4400000000000004</v>
      </c>
      <c r="G15" s="12">
        <v>4.93</v>
      </c>
    </row>
    <row r="16" spans="1:7" x14ac:dyDescent="0.3">
      <c r="A16" s="52"/>
      <c r="B16" s="12">
        <v>2.38</v>
      </c>
      <c r="C16" s="12">
        <v>2.92</v>
      </c>
      <c r="D16" s="12">
        <v>3.48</v>
      </c>
      <c r="E16" s="12">
        <v>3.8</v>
      </c>
      <c r="F16" s="12">
        <v>4.3099999999999996</v>
      </c>
      <c r="G16" s="12">
        <v>4.93</v>
      </c>
    </row>
    <row r="17" spans="1:7" x14ac:dyDescent="0.3">
      <c r="A17" s="52"/>
      <c r="B17" s="12">
        <v>2.4500000000000002</v>
      </c>
      <c r="C17" s="12">
        <v>2.9</v>
      </c>
      <c r="D17" s="12">
        <v>3.42</v>
      </c>
      <c r="E17" s="12">
        <v>3.88</v>
      </c>
      <c r="F17" s="12">
        <v>4.3</v>
      </c>
      <c r="G17" s="12">
        <v>4.7699999999999996</v>
      </c>
    </row>
    <row r="18" spans="1:7" x14ac:dyDescent="0.3">
      <c r="A18" s="52"/>
      <c r="B18" s="12">
        <f>SUM(B15:B17)/3</f>
        <v>2.4533333333333336</v>
      </c>
      <c r="C18" s="12">
        <f t="shared" ref="C18" si="7">SUM(C15:C17)/3</f>
        <v>2.9</v>
      </c>
      <c r="D18" s="12">
        <f t="shared" ref="D18" si="8">SUM(D15:D17)/3</f>
        <v>3.36</v>
      </c>
      <c r="E18" s="12">
        <f t="shared" ref="E18" si="9">SUM(E15:E17)/3</f>
        <v>3.8466666666666662</v>
      </c>
      <c r="F18" s="12">
        <f t="shared" ref="F18" si="10">SUM(F15:F17)/3</f>
        <v>4.3500000000000005</v>
      </c>
      <c r="G18" s="12">
        <f t="shared" ref="G18" si="11">SUM(G15:G17)/3</f>
        <v>4.876666666666666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26"/>
  <sheetViews>
    <sheetView workbookViewId="0">
      <selection activeCell="C3" sqref="C3"/>
    </sheetView>
  </sheetViews>
  <sheetFormatPr defaultRowHeight="14.4" x14ac:dyDescent="0.3"/>
  <cols>
    <col min="1" max="1" width="13.44140625" bestFit="1" customWidth="1"/>
    <col min="9" max="12" width="9.44140625" bestFit="1" customWidth="1"/>
  </cols>
  <sheetData>
    <row r="1" spans="1:19" ht="18" customHeight="1" x14ac:dyDescent="0.3"/>
    <row r="2" spans="1:19" ht="16.8" x14ac:dyDescent="0.35">
      <c r="A2" s="21" t="s">
        <v>0</v>
      </c>
      <c r="B2" s="21" t="s">
        <v>8</v>
      </c>
      <c r="C2" s="22" t="s">
        <v>9</v>
      </c>
      <c r="D2" s="23" t="s">
        <v>10</v>
      </c>
      <c r="E2" s="2" t="s">
        <v>11</v>
      </c>
    </row>
    <row r="3" spans="1:19" x14ac:dyDescent="0.3">
      <c r="A3" s="52">
        <f>'Таблица 1'!A3</f>
        <v>0.26700000000000002</v>
      </c>
      <c r="B3" s="12">
        <f>'Таблица 1'!B6</f>
        <v>4.8833333333333329</v>
      </c>
      <c r="C3" s="12">
        <f>'Параметры установки'!$A$2*2/B3/B3</f>
        <v>5.8707731016086388E-2</v>
      </c>
      <c r="D3" s="12">
        <f>2*C3/'Параметры установки'!$B$2</f>
        <v>2.5525100441776689</v>
      </c>
      <c r="E3" s="12">
        <f>$A$3*'Параметры установки'!$B$2/2*(9.8-C3)</f>
        <v>5.9821275823830219E-2</v>
      </c>
    </row>
    <row r="4" spans="1:19" x14ac:dyDescent="0.3">
      <c r="A4" s="52"/>
      <c r="B4" s="12">
        <f>'Таблица 1'!C6</f>
        <v>5.5633333333333326</v>
      </c>
      <c r="C4" s="12">
        <f>'Параметры установки'!$A$2*2/B4/B4</f>
        <v>4.523325821979847E-2</v>
      </c>
      <c r="D4" s="12">
        <f>2*C4/'Параметры установки'!$B$2</f>
        <v>1.966663400860803</v>
      </c>
      <c r="E4" s="12">
        <f>$A$3*'Параметры установки'!$B$2/2*(9.8-C4)</f>
        <v>5.9904022561272224E-2</v>
      </c>
    </row>
    <row r="5" spans="1:19" x14ac:dyDescent="0.3">
      <c r="A5" s="52"/>
      <c r="B5" s="12">
        <f>'Таблица 1'!D6</f>
        <v>6.6533333333333333</v>
      </c>
      <c r="C5" s="12">
        <f>'Параметры установки'!$A$2*2/B5/B5</f>
        <v>3.1626379010526062E-2</v>
      </c>
      <c r="D5" s="12">
        <f>2*C5/'Параметры установки'!$B$2</f>
        <v>1.375059956979394</v>
      </c>
      <c r="E5" s="12">
        <f>$A$3*'Параметры установки'!$B$2/2*(9.8-C5)</f>
        <v>5.9987582406496376E-2</v>
      </c>
    </row>
    <row r="6" spans="1:19" x14ac:dyDescent="0.3">
      <c r="A6" s="52"/>
      <c r="B6" s="12">
        <f>'Таблица 1'!E6</f>
        <v>7.6400000000000006</v>
      </c>
      <c r="C6" s="12">
        <f>'Параметры установки'!$A$2*2/B6/B6</f>
        <v>2.398508812806666E-2</v>
      </c>
      <c r="D6" s="12">
        <f>2*C6/'Параметры установки'!$B$2</f>
        <v>1.0428299186115939</v>
      </c>
      <c r="E6" s="12">
        <f>$A$3*'Параметры установки'!$B$2/2*(9.8-C6)</f>
        <v>6.0034507573805553E-2</v>
      </c>
    </row>
    <row r="7" spans="1:19" x14ac:dyDescent="0.3">
      <c r="A7" s="52"/>
      <c r="B7" s="12">
        <f>'Таблица 1'!F6</f>
        <v>8.5233333333333334</v>
      </c>
      <c r="C7" s="12">
        <f>'Параметры установки'!$A$2*2/B7/B7</f>
        <v>1.9271214663130753E-2</v>
      </c>
      <c r="D7" s="12">
        <f>2*C7/'Параметры установки'!$B$2</f>
        <v>0.83787889839698926</v>
      </c>
      <c r="E7" s="12">
        <f>$A$3*'Параметры установки'!$B$2/2*(9.8-C7)</f>
        <v>6.0063455470753722E-2</v>
      </c>
    </row>
    <row r="8" spans="1:19" x14ac:dyDescent="0.3">
      <c r="A8" s="52"/>
      <c r="B8" s="12">
        <f>'Таблица 1'!G6</f>
        <v>9.7333333333333325</v>
      </c>
      <c r="C8" s="12">
        <f>'Параметры установки'!$A$2*2/B8/B8</f>
        <v>1.4777631825858511E-2</v>
      </c>
      <c r="D8" s="12">
        <f>2*C8/'Параметры установки'!$B$2</f>
        <v>0.64250573155906576</v>
      </c>
      <c r="E8" s="12">
        <f>$A$3*'Параметры установки'!$B$2/2*(9.8-C8)</f>
        <v>6.0091050562957417E-2</v>
      </c>
    </row>
    <row r="9" spans="1:19" x14ac:dyDescent="0.3">
      <c r="A9" s="52">
        <f>'Таблица 1'!A7</f>
        <v>0.48699999999999999</v>
      </c>
      <c r="B9" s="12">
        <f>'Таблица 1'!B10</f>
        <v>3.32</v>
      </c>
      <c r="C9" s="12">
        <f>'Параметры установки'!$A$2*2/B9/B9</f>
        <v>0.12701408041805776</v>
      </c>
      <c r="D9" s="12">
        <f>2*C9/'Параметры установки'!$B$2</f>
        <v>5.5223513225242504</v>
      </c>
      <c r="E9" s="12">
        <f>$A$9*'Параметры установки'!$B$2/2*(9.8-C9)</f>
        <v>0.10834711528523734</v>
      </c>
      <c r="N9" s="18"/>
      <c r="O9" s="18"/>
      <c r="P9" s="18"/>
      <c r="Q9" s="18"/>
      <c r="R9" s="18"/>
      <c r="S9" s="18"/>
    </row>
    <row r="10" spans="1:19" x14ac:dyDescent="0.3">
      <c r="A10" s="52"/>
      <c r="B10" s="12">
        <f>'Таблица 1'!C10</f>
        <v>3.9599999999999995</v>
      </c>
      <c r="C10" s="12">
        <f>'Параметры установки'!$A$2*2/B10/B10</f>
        <v>8.9276604428119591E-2</v>
      </c>
      <c r="D10" s="12">
        <f>2*C10/'Параметры установки'!$B$2</f>
        <v>3.8815914968747647</v>
      </c>
      <c r="E10" s="12">
        <f>$A$9*'Параметры установки'!$B$2/2*(9.8-C10)</f>
        <v>0.10876981275380063</v>
      </c>
      <c r="N10" s="18"/>
      <c r="O10" s="18"/>
      <c r="P10" s="18"/>
      <c r="Q10" s="18"/>
      <c r="R10" s="18"/>
      <c r="S10" s="18"/>
    </row>
    <row r="11" spans="1:19" x14ac:dyDescent="0.3">
      <c r="A11" s="52"/>
      <c r="B11" s="12">
        <f>'Таблица 1'!D10</f>
        <v>4.7633333333333336</v>
      </c>
      <c r="C11" s="12">
        <f>'Параметры установки'!$A$2*2/B11/B11</f>
        <v>6.1702972663134563E-2</v>
      </c>
      <c r="D11" s="12">
        <f>2*C11/'Параметры установки'!$B$2</f>
        <v>2.6827379418754158</v>
      </c>
      <c r="E11" s="12">
        <f>$A$9*'Параметры установки'!$B$2/2*(9.8-C11)</f>
        <v>0.10907866500320024</v>
      </c>
      <c r="N11" s="18"/>
      <c r="O11" s="18"/>
      <c r="P11" s="18"/>
      <c r="Q11" s="18"/>
      <c r="R11" s="18"/>
      <c r="S11" s="18"/>
    </row>
    <row r="12" spans="1:19" x14ac:dyDescent="0.3">
      <c r="A12" s="52"/>
      <c r="B12" s="12">
        <f>'Таблица 1'!E10</f>
        <v>5.39</v>
      </c>
      <c r="C12" s="12">
        <f>'Параметры установки'!$A$2*2/B12/B12</f>
        <v>4.8189287521383996E-2</v>
      </c>
      <c r="D12" s="12">
        <f>2*C12/'Параметры установки'!$B$2</f>
        <v>2.095186413973217</v>
      </c>
      <c r="E12" s="12">
        <f>$A$9*'Параметры установки'!$B$2/2*(9.8-C12)</f>
        <v>0.10923003179047298</v>
      </c>
      <c r="N12" s="18"/>
      <c r="O12" s="18"/>
      <c r="P12" s="18"/>
      <c r="Q12" s="18"/>
      <c r="R12" s="18"/>
      <c r="S12" s="18"/>
    </row>
    <row r="13" spans="1:19" x14ac:dyDescent="0.3">
      <c r="A13" s="52"/>
      <c r="B13" s="12">
        <f>'Таблица 1'!F10</f>
        <v>6.1466666666666674</v>
      </c>
      <c r="C13" s="12">
        <f>'Параметры установки'!$A$2*2/B13/B13</f>
        <v>3.705516160755877E-2</v>
      </c>
      <c r="D13" s="12">
        <f>2*C13/'Параметры установки'!$B$2</f>
        <v>1.6110939829373379</v>
      </c>
      <c r="E13" s="12">
        <f>$A$9*'Параметры установки'!$B$2/2*(9.8-C13)</f>
        <v>0.10935474513483374</v>
      </c>
    </row>
    <row r="14" spans="1:19" x14ac:dyDescent="0.3">
      <c r="A14" s="52"/>
      <c r="B14" s="12">
        <f>'Таблица 1'!G10</f>
        <v>6.95</v>
      </c>
      <c r="C14" s="12">
        <f>'Параметры установки'!$A$2*2/B14/B14</f>
        <v>2.8984007038973133E-2</v>
      </c>
      <c r="D14" s="12">
        <f>2*C14/'Параметры установки'!$B$2</f>
        <v>1.2601742190857883</v>
      </c>
      <c r="E14" s="12">
        <f>$A$9*'Параметры установки'!$B$2/2*(9.8-C14)</f>
        <v>0.10944515013715646</v>
      </c>
    </row>
    <row r="15" spans="1:19" x14ac:dyDescent="0.3">
      <c r="A15" s="52">
        <f>'Таблица 1'!A11</f>
        <v>0.70700000000000007</v>
      </c>
      <c r="B15" s="12">
        <f>'Таблица 1'!B14</f>
        <v>2.86</v>
      </c>
      <c r="C15" s="12">
        <f>'Параметры установки'!$A$2*2/B15/B15</f>
        <v>0.17115751381485647</v>
      </c>
      <c r="D15" s="12">
        <f>2*C15/'Параметры установки'!$B$2</f>
        <v>7.441631035428542</v>
      </c>
      <c r="E15" s="12">
        <f>$A$15*'Параметры установки'!$B$2/2*(9.8-C15)</f>
        <v>0.15657460766785664</v>
      </c>
    </row>
    <row r="16" spans="1:19" x14ac:dyDescent="0.3">
      <c r="A16" s="52"/>
      <c r="B16" s="12">
        <f>'Таблица 1'!C14</f>
        <v>3.31</v>
      </c>
      <c r="C16" s="12">
        <f>'Параметры установки'!$A$2*2/B16/B16</f>
        <v>0.12778269639744069</v>
      </c>
      <c r="D16" s="12">
        <f>2*C16/'Параметры установки'!$B$2</f>
        <v>5.5557694085843776</v>
      </c>
      <c r="E16" s="12">
        <f>$A$15*'Параметры установки'!$B$2/2*(9.8-C16)</f>
        <v>0.15727992557388124</v>
      </c>
    </row>
    <row r="17" spans="1:12" x14ac:dyDescent="0.3">
      <c r="A17" s="52"/>
      <c r="B17" s="12">
        <f>'Таблица 1'!D14</f>
        <v>3.78</v>
      </c>
      <c r="C17" s="12">
        <f>'Параметры установки'!$A$2*2/B17/B17</f>
        <v>9.798157946306095E-2</v>
      </c>
      <c r="D17" s="12">
        <f>2*C17/'Параметры установки'!$B$2</f>
        <v>4.260068672306998</v>
      </c>
      <c r="E17" s="12">
        <f>$A$15*'Параметры установки'!$B$2/2*(9.8-C17)</f>
        <v>0.15776452153635118</v>
      </c>
    </row>
    <row r="18" spans="1:12" x14ac:dyDescent="0.3">
      <c r="A18" s="52"/>
      <c r="B18" s="12">
        <f>'Таблица 1'!E14</f>
        <v>4.43</v>
      </c>
      <c r="C18" s="12">
        <f>'Параметры установки'!$A$2*2/B18/B18</f>
        <v>7.133794312327707E-2</v>
      </c>
      <c r="D18" s="12">
        <f>2*C18/'Параметры установки'!$B$2</f>
        <v>3.1016497010120467</v>
      </c>
      <c r="E18" s="12">
        <f>$A$15*'Параметры установки'!$B$2/2*(9.8-C18)</f>
        <v>0.15819777370687241</v>
      </c>
      <c r="I18" s="18"/>
      <c r="J18" s="18"/>
      <c r="K18" s="18"/>
      <c r="L18" s="18"/>
    </row>
    <row r="19" spans="1:12" x14ac:dyDescent="0.3">
      <c r="A19" s="52"/>
      <c r="B19" s="12">
        <f>'Таблица 1'!F14</f>
        <v>5.1233333333333322</v>
      </c>
      <c r="C19" s="12">
        <f>'Параметры установки'!$A$2*2/B19/B19</f>
        <v>5.3336290816549004E-2</v>
      </c>
      <c r="D19" s="12">
        <f>2*C19/'Параметры установки'!$B$2</f>
        <v>2.3189691659369132</v>
      </c>
      <c r="E19" s="12">
        <f>$A$15*'Параметры установки'!$B$2/2*(9.8-C19)</f>
        <v>0.15849049857503211</v>
      </c>
      <c r="I19" s="18"/>
      <c r="J19" s="18"/>
      <c r="K19" s="18"/>
      <c r="L19" s="18"/>
    </row>
    <row r="20" spans="1:12" x14ac:dyDescent="0.3">
      <c r="A20" s="52"/>
      <c r="B20" s="12">
        <f>'Таблица 1'!G14</f>
        <v>5.669999999999999</v>
      </c>
      <c r="C20" s="12">
        <f>'Параметры установки'!$A$2*2/B20/B20</f>
        <v>4.3547368650249316E-2</v>
      </c>
      <c r="D20" s="12">
        <f>2*C20/'Параметры установки'!$B$2</f>
        <v>1.8933638543586659</v>
      </c>
      <c r="E20" s="12">
        <f>$A$15*'Параметры установки'!$B$2/2*(9.8-C20)</f>
        <v>0.15864967623837831</v>
      </c>
      <c r="I20" s="18"/>
      <c r="J20" s="18"/>
      <c r="K20" s="18"/>
      <c r="L20" s="18"/>
    </row>
    <row r="21" spans="1:12" x14ac:dyDescent="0.3">
      <c r="A21" s="52">
        <f>'Таблица 1'!A15</f>
        <v>0.92700000000000005</v>
      </c>
      <c r="B21" s="12">
        <f>'Таблица 1'!B18</f>
        <v>2.4533333333333336</v>
      </c>
      <c r="C21" s="12">
        <f>'Параметры установки'!$A$2*2/B21/B21</f>
        <v>0.23260278827977307</v>
      </c>
      <c r="D21" s="12">
        <f>2*C21/'Параметры установки'!$B$2</f>
        <v>10.113164707816221</v>
      </c>
      <c r="E21" s="12">
        <f>$A$21*'Параметры установки'!$B$2/2*(9.8-C21)</f>
        <v>0.20398647595108696</v>
      </c>
      <c r="I21" s="18"/>
      <c r="J21" s="18"/>
      <c r="K21" s="18"/>
      <c r="L21" s="18"/>
    </row>
    <row r="22" spans="1:12" x14ac:dyDescent="0.3">
      <c r="A22" s="52"/>
      <c r="B22" s="12">
        <f>'Таблица 1'!C18</f>
        <v>2.9</v>
      </c>
      <c r="C22" s="12">
        <f>'Параметры установки'!$A$2*2/B22/B22</f>
        <v>0.16646848989298454</v>
      </c>
      <c r="D22" s="12">
        <f>2*C22/'Параметры установки'!$B$2</f>
        <v>7.2377604301297627</v>
      </c>
      <c r="E22" s="12">
        <f>$A$21*'Параметры установки'!$B$2/2*(9.8-C22)</f>
        <v>0.20539652532699168</v>
      </c>
      <c r="I22" s="18"/>
      <c r="J22" s="18"/>
      <c r="K22" s="18"/>
      <c r="L22" s="18"/>
    </row>
    <row r="23" spans="1:12" x14ac:dyDescent="0.3">
      <c r="A23" s="52"/>
      <c r="B23" s="12">
        <f>'Таблица 1'!D18</f>
        <v>3.36</v>
      </c>
      <c r="C23" s="12">
        <f>'Параметры установки'!$A$2*2/B23/B23</f>
        <v>0.1240079365079365</v>
      </c>
      <c r="D23" s="12">
        <f>2*C23/'Параметры установки'!$B$2</f>
        <v>5.3916494133885431</v>
      </c>
      <c r="E23" s="12">
        <f>$A$21*'Параметры установки'!$B$2/2*(9.8-C23)</f>
        <v>0.20630182678571429</v>
      </c>
      <c r="I23" s="18"/>
      <c r="J23" s="18"/>
      <c r="K23" s="18"/>
      <c r="L23" s="18"/>
    </row>
    <row r="24" spans="1:12" x14ac:dyDescent="0.3">
      <c r="A24" s="52"/>
      <c r="B24" s="12">
        <f>'Таблица 1'!E18</f>
        <v>3.8466666666666662</v>
      </c>
      <c r="C24" s="12">
        <f>'Параметры установки'!$A$2*2/B24/B24</f>
        <v>9.4614767713236181E-2</v>
      </c>
      <c r="D24" s="12">
        <f>2*C24/'Параметры установки'!$B$2</f>
        <v>4.1136855527493994</v>
      </c>
      <c r="E24" s="12">
        <f>$A$21*'Параметры установки'!$B$2/2*(9.8-C24)</f>
        <v>0.20692851853758609</v>
      </c>
    </row>
    <row r="25" spans="1:12" x14ac:dyDescent="0.3">
      <c r="A25" s="52"/>
      <c r="B25" s="12">
        <f>'Таблица 1'!F18</f>
        <v>4.3500000000000005</v>
      </c>
      <c r="C25" s="12">
        <f>'Параметры установки'!$A$2*2/B25/B25</f>
        <v>7.3985995507993105E-2</v>
      </c>
      <c r="D25" s="12">
        <f>2*C25/'Параметры установки'!$B$2</f>
        <v>3.2167824133910048</v>
      </c>
      <c r="E25" s="12">
        <f>$A$21*'Параметры установки'!$B$2/2*(9.8-C25)</f>
        <v>0.2073683445897741</v>
      </c>
    </row>
    <row r="26" spans="1:12" x14ac:dyDescent="0.3">
      <c r="A26" s="52"/>
      <c r="B26" s="12">
        <f>'Таблица 1'!G18</f>
        <v>4.876666666666666</v>
      </c>
      <c r="C26" s="12">
        <f>'Параметры установки'!$A$2*2/B26/B26</f>
        <v>5.8868354008117296E-2</v>
      </c>
      <c r="D26" s="12">
        <f>2*C26/'Параметры установки'!$B$2</f>
        <v>2.559493652526839</v>
      </c>
      <c r="E26" s="12">
        <f>$A$21*'Параметры установки'!$B$2/2*(9.8-C26)</f>
        <v>0.20769066782419293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I15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</cols>
  <sheetData>
    <row r="1" spans="1:9" ht="28.8" x14ac:dyDescent="0.3">
      <c r="A1" s="32" t="s">
        <v>51</v>
      </c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</row>
    <row r="2" spans="1:9" x14ac:dyDescent="0.3">
      <c r="A2" s="32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</row>
    <row r="3" spans="1:9" ht="16.2" x14ac:dyDescent="0.3">
      <c r="A3" s="32" t="s">
        <v>53</v>
      </c>
      <c r="B3" s="51">
        <f>B2*B2</f>
        <v>5.9290000000000002E-3</v>
      </c>
      <c r="C3" s="51">
        <f t="shared" ref="C3:G3" si="0">C2*C2</f>
        <v>1.0404000000000002E-2</v>
      </c>
      <c r="D3" s="51">
        <f t="shared" si="0"/>
        <v>1.6129000000000001E-2</v>
      </c>
      <c r="E3" s="51">
        <f t="shared" si="0"/>
        <v>2.3104E-2</v>
      </c>
      <c r="F3" s="51">
        <f t="shared" si="0"/>
        <v>3.1328999999999996E-2</v>
      </c>
      <c r="G3" s="51">
        <f t="shared" si="0"/>
        <v>4.0803999999999993E-2</v>
      </c>
    </row>
    <row r="4" spans="1:9" x14ac:dyDescent="0.3">
      <c r="A4" s="32" t="s">
        <v>54</v>
      </c>
      <c r="B4" s="12">
        <f>'МНК рис.1'!N2</f>
        <v>1.9423220341030219E-2</v>
      </c>
      <c r="C4" s="12">
        <f>'МНК рис.2'!N2</f>
        <v>2.7706082865633811E-2</v>
      </c>
      <c r="D4" s="12">
        <f>'МНК рис.3'!N2</f>
        <v>3.5657330597179605E-2</v>
      </c>
      <c r="E4" s="12">
        <f>'МНК рис.4'!N2</f>
        <v>4.7911431790691524E-2</v>
      </c>
      <c r="F4" s="12">
        <f>'МНК рис.5'!N2</f>
        <v>6.2447855217132434E-2</v>
      </c>
      <c r="G4" s="12">
        <f>'МНК рис.6'!N2</f>
        <v>7.7041709283295262E-2</v>
      </c>
    </row>
    <row r="10" spans="1:9" x14ac:dyDescent="0.3">
      <c r="I10" s="50"/>
    </row>
    <row r="11" spans="1:9" x14ac:dyDescent="0.3">
      <c r="I11" s="50"/>
    </row>
    <row r="12" spans="1:9" x14ac:dyDescent="0.3">
      <c r="I12" s="50"/>
    </row>
    <row r="13" spans="1:9" x14ac:dyDescent="0.3">
      <c r="I13" s="50"/>
    </row>
    <row r="14" spans="1:9" x14ac:dyDescent="0.3">
      <c r="I14" s="50"/>
    </row>
    <row r="15" spans="1:9" x14ac:dyDescent="0.3">
      <c r="I15" s="5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Normal="100" workbookViewId="0">
      <selection activeCell="R24" sqref="R24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workbookViewId="0">
      <selection activeCell="F50" sqref="F50"/>
    </sheetView>
  </sheetViews>
  <sheetFormatPr defaultRowHeight="14.4" x14ac:dyDescent="0.3"/>
  <cols>
    <col min="1" max="1" width="14.33203125" customWidth="1"/>
    <col min="2" max="2" width="11" customWidth="1"/>
    <col min="3" max="3" width="11.33203125" customWidth="1"/>
    <col min="4" max="4" width="10.6640625" customWidth="1"/>
    <col min="5" max="5" width="10" customWidth="1"/>
    <col min="6" max="6" width="10.33203125" customWidth="1"/>
    <col min="7" max="7" width="13.44140625" customWidth="1"/>
  </cols>
  <sheetData>
    <row r="1" spans="1:7" ht="47.4" customHeight="1" x14ac:dyDescent="0.3">
      <c r="A1" s="54" t="s">
        <v>62</v>
      </c>
      <c r="B1" s="54"/>
      <c r="C1" s="54"/>
      <c r="D1" s="54"/>
      <c r="E1" s="54"/>
      <c r="F1" s="54"/>
      <c r="G1" s="54"/>
    </row>
    <row r="2" spans="1:7" x14ac:dyDescent="0.3">
      <c r="A2" s="63" t="s">
        <v>65</v>
      </c>
      <c r="B2" s="56" t="s">
        <v>1</v>
      </c>
      <c r="C2" s="57"/>
      <c r="D2" s="57"/>
      <c r="E2" s="57"/>
      <c r="F2" s="57"/>
      <c r="G2" s="58"/>
    </row>
    <row r="3" spans="1:7" x14ac:dyDescent="0.3">
      <c r="A3" s="64"/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</row>
    <row r="4" spans="1:7" x14ac:dyDescent="0.3">
      <c r="A4" s="59">
        <f>0.047+0.22</f>
        <v>0.26700000000000002</v>
      </c>
      <c r="B4" s="12">
        <v>4.8099999999999996</v>
      </c>
      <c r="C4" s="12">
        <v>5.51</v>
      </c>
      <c r="D4" s="12">
        <v>6.72</v>
      </c>
      <c r="E4" s="12">
        <v>7.53</v>
      </c>
      <c r="F4" s="12">
        <v>8.5299999999999994</v>
      </c>
      <c r="G4" s="12">
        <v>9.66</v>
      </c>
    </row>
    <row r="5" spans="1:7" x14ac:dyDescent="0.3">
      <c r="A5" s="60"/>
      <c r="B5" s="12">
        <v>4.8899999999999997</v>
      </c>
      <c r="C5" s="12">
        <v>5.51</v>
      </c>
      <c r="D5" s="12">
        <v>6.57</v>
      </c>
      <c r="E5" s="12">
        <v>7.55</v>
      </c>
      <c r="F5" s="12">
        <v>8.51</v>
      </c>
      <c r="G5" s="12">
        <v>9.7899999999999991</v>
      </c>
    </row>
    <row r="6" spans="1:7" x14ac:dyDescent="0.3">
      <c r="A6" s="60"/>
      <c r="B6" s="12">
        <v>4.95</v>
      </c>
      <c r="C6" s="12">
        <v>5.67</v>
      </c>
      <c r="D6" s="12">
        <v>6.67</v>
      </c>
      <c r="E6" s="12">
        <v>7.84</v>
      </c>
      <c r="F6" s="12">
        <v>8.5299999999999994</v>
      </c>
      <c r="G6" s="12">
        <v>9.75</v>
      </c>
    </row>
    <row r="7" spans="1:7" x14ac:dyDescent="0.3">
      <c r="A7" s="61"/>
      <c r="B7" s="12">
        <f>SUM(B4:B6)/3</f>
        <v>4.8833333333333329</v>
      </c>
      <c r="C7" s="12">
        <f t="shared" ref="C7:G7" si="0">SUM(C4:C6)/3</f>
        <v>5.5633333333333326</v>
      </c>
      <c r="D7" s="12">
        <f t="shared" si="0"/>
        <v>6.6533333333333333</v>
      </c>
      <c r="E7" s="12">
        <f t="shared" si="0"/>
        <v>7.6400000000000006</v>
      </c>
      <c r="F7" s="12">
        <f t="shared" si="0"/>
        <v>8.5233333333333334</v>
      </c>
      <c r="G7" s="12">
        <f t="shared" si="0"/>
        <v>9.7333333333333325</v>
      </c>
    </row>
    <row r="8" spans="1:7" x14ac:dyDescent="0.3">
      <c r="A8" s="59">
        <f>0.047+0.22*2</f>
        <v>0.48699999999999999</v>
      </c>
      <c r="B8" s="12">
        <v>3.39</v>
      </c>
      <c r="C8" s="12">
        <v>3.98</v>
      </c>
      <c r="D8" s="12">
        <v>4.8600000000000003</v>
      </c>
      <c r="E8" s="12">
        <v>5.25</v>
      </c>
      <c r="F8" s="12">
        <v>6.11</v>
      </c>
      <c r="G8" s="12">
        <v>6.88</v>
      </c>
    </row>
    <row r="9" spans="1:7" x14ac:dyDescent="0.3">
      <c r="A9" s="60"/>
      <c r="B9" s="12">
        <v>3.21</v>
      </c>
      <c r="C9" s="12">
        <v>4.0199999999999996</v>
      </c>
      <c r="D9" s="12">
        <v>4.58</v>
      </c>
      <c r="E9" s="12">
        <v>5.54</v>
      </c>
      <c r="F9" s="12">
        <v>6.13</v>
      </c>
      <c r="G9" s="12">
        <v>6.96</v>
      </c>
    </row>
    <row r="10" spans="1:7" x14ac:dyDescent="0.3">
      <c r="A10" s="60"/>
      <c r="B10" s="12">
        <v>3.36</v>
      </c>
      <c r="C10" s="12">
        <v>3.88</v>
      </c>
      <c r="D10" s="12">
        <v>4.8499999999999996</v>
      </c>
      <c r="E10" s="12">
        <v>5.38</v>
      </c>
      <c r="F10" s="12">
        <v>6.2</v>
      </c>
      <c r="G10" s="12">
        <v>7.01</v>
      </c>
    </row>
    <row r="11" spans="1:7" x14ac:dyDescent="0.3">
      <c r="A11" s="61"/>
      <c r="B11" s="12">
        <f>SUM(B8:B10)/3</f>
        <v>3.32</v>
      </c>
      <c r="C11" s="12">
        <f t="shared" ref="C11:G11" si="1">SUM(C8:C10)/3</f>
        <v>3.9599999999999995</v>
      </c>
      <c r="D11" s="12">
        <f t="shared" si="1"/>
        <v>4.7633333333333336</v>
      </c>
      <c r="E11" s="12">
        <f t="shared" si="1"/>
        <v>5.39</v>
      </c>
      <c r="F11" s="12">
        <f t="shared" si="1"/>
        <v>6.1466666666666674</v>
      </c>
      <c r="G11" s="12">
        <f t="shared" si="1"/>
        <v>6.95</v>
      </c>
    </row>
    <row r="12" spans="1:7" x14ac:dyDescent="0.3">
      <c r="A12" s="59">
        <f>0.047+0.22*3</f>
        <v>0.70700000000000007</v>
      </c>
      <c r="B12" s="12">
        <v>2.87</v>
      </c>
      <c r="C12" s="12">
        <v>3.36</v>
      </c>
      <c r="D12" s="12">
        <v>3.77</v>
      </c>
      <c r="E12" s="12">
        <v>4.4800000000000004</v>
      </c>
      <c r="F12" s="12">
        <v>5.0599999999999996</v>
      </c>
      <c r="G12" s="12">
        <v>5.61</v>
      </c>
    </row>
    <row r="13" spans="1:7" x14ac:dyDescent="0.3">
      <c r="A13" s="60"/>
      <c r="B13" s="12">
        <v>2.9</v>
      </c>
      <c r="C13" s="12">
        <v>3.4</v>
      </c>
      <c r="D13" s="12">
        <v>3.75</v>
      </c>
      <c r="E13" s="12">
        <v>4.45</v>
      </c>
      <c r="F13" s="12">
        <v>5.25</v>
      </c>
      <c r="G13" s="12">
        <v>5.82</v>
      </c>
    </row>
    <row r="14" spans="1:7" x14ac:dyDescent="0.3">
      <c r="A14" s="60"/>
      <c r="B14" s="12">
        <v>2.81</v>
      </c>
      <c r="C14" s="12">
        <v>3.17</v>
      </c>
      <c r="D14" s="12">
        <v>3.82</v>
      </c>
      <c r="E14" s="12">
        <v>4.3600000000000003</v>
      </c>
      <c r="F14" s="12">
        <v>5.0599999999999996</v>
      </c>
      <c r="G14" s="12">
        <v>5.58</v>
      </c>
    </row>
    <row r="15" spans="1:7" x14ac:dyDescent="0.3">
      <c r="A15" s="61"/>
      <c r="B15" s="12">
        <f>SUM(B12:B14)/3</f>
        <v>2.86</v>
      </c>
      <c r="C15" s="12">
        <f t="shared" ref="C15" si="2">SUM(C12:C14)/3</f>
        <v>3.31</v>
      </c>
      <c r="D15" s="12">
        <f t="shared" ref="D15:G15" si="3">SUM(D12:D14)/3</f>
        <v>3.78</v>
      </c>
      <c r="E15" s="12">
        <f t="shared" si="3"/>
        <v>4.43</v>
      </c>
      <c r="F15" s="12">
        <f t="shared" si="3"/>
        <v>5.1233333333333322</v>
      </c>
      <c r="G15" s="12">
        <f t="shared" si="3"/>
        <v>5.669999999999999</v>
      </c>
    </row>
    <row r="16" spans="1:7" x14ac:dyDescent="0.3">
      <c r="A16" s="59">
        <f>0.047+0.22*4</f>
        <v>0.92700000000000005</v>
      </c>
      <c r="B16" s="12">
        <v>2.5299999999999998</v>
      </c>
      <c r="C16" s="12">
        <v>2.88</v>
      </c>
      <c r="D16" s="12">
        <v>3.18</v>
      </c>
      <c r="E16" s="12">
        <v>3.86</v>
      </c>
      <c r="F16" s="12">
        <v>4.4400000000000004</v>
      </c>
      <c r="G16" s="12">
        <v>4.93</v>
      </c>
    </row>
    <row r="17" spans="1:7" x14ac:dyDescent="0.3">
      <c r="A17" s="60"/>
      <c r="B17" s="12">
        <v>2.38</v>
      </c>
      <c r="C17" s="12">
        <v>2.92</v>
      </c>
      <c r="D17" s="12">
        <v>3.48</v>
      </c>
      <c r="E17" s="12">
        <v>3.8</v>
      </c>
      <c r="F17" s="12">
        <v>4.3099999999999996</v>
      </c>
      <c r="G17" s="12">
        <v>4.93</v>
      </c>
    </row>
    <row r="18" spans="1:7" x14ac:dyDescent="0.3">
      <c r="A18" s="60"/>
      <c r="B18" s="12">
        <v>2.4500000000000002</v>
      </c>
      <c r="C18" s="12">
        <v>2.9</v>
      </c>
      <c r="D18" s="12">
        <v>3.42</v>
      </c>
      <c r="E18" s="12">
        <v>3.88</v>
      </c>
      <c r="F18" s="12">
        <v>4.3</v>
      </c>
      <c r="G18" s="12">
        <v>4.7699999999999996</v>
      </c>
    </row>
    <row r="19" spans="1:7" x14ac:dyDescent="0.3">
      <c r="A19" s="61"/>
      <c r="B19" s="12">
        <f>SUM(B16:B18)/3</f>
        <v>2.4533333333333336</v>
      </c>
      <c r="C19" s="12">
        <f t="shared" ref="C19" si="4">SUM(C16:C18)/3</f>
        <v>2.9</v>
      </c>
      <c r="D19" s="12">
        <f t="shared" ref="D19:G19" si="5">SUM(D16:D18)/3</f>
        <v>3.36</v>
      </c>
      <c r="E19" s="12">
        <f t="shared" si="5"/>
        <v>3.8466666666666662</v>
      </c>
      <c r="F19" s="12">
        <f t="shared" si="5"/>
        <v>4.3500000000000005</v>
      </c>
      <c r="G19" s="12">
        <f t="shared" si="5"/>
        <v>4.876666666666666</v>
      </c>
    </row>
    <row r="20" spans="1:7" ht="41.4" customHeight="1" x14ac:dyDescent="0.3">
      <c r="A20" s="54" t="s">
        <v>63</v>
      </c>
      <c r="B20" s="54"/>
      <c r="C20" s="54"/>
      <c r="D20" s="54"/>
      <c r="E20" s="54"/>
      <c r="F20" s="41"/>
      <c r="G20" s="41"/>
    </row>
    <row r="21" spans="1:7" ht="15.6" x14ac:dyDescent="0.35">
      <c r="A21" s="40" t="s">
        <v>65</v>
      </c>
      <c r="B21" s="42" t="s">
        <v>67</v>
      </c>
      <c r="C21" s="43" t="s">
        <v>68</v>
      </c>
      <c r="D21" s="44" t="s">
        <v>69</v>
      </c>
      <c r="E21" s="45" t="s">
        <v>11</v>
      </c>
      <c r="F21" s="41"/>
      <c r="G21" s="41"/>
    </row>
    <row r="22" spans="1:7" x14ac:dyDescent="0.3">
      <c r="A22" s="59">
        <v>0.26700000000000002</v>
      </c>
      <c r="B22" s="12">
        <v>4.8833333333333329</v>
      </c>
      <c r="C22" s="12">
        <v>5.8707731016086388E-2</v>
      </c>
      <c r="D22" s="12">
        <v>2.5525100441776689</v>
      </c>
      <c r="E22" s="12">
        <v>5.9821275823830219E-2</v>
      </c>
      <c r="F22" s="41"/>
      <c r="G22" s="41"/>
    </row>
    <row r="23" spans="1:7" x14ac:dyDescent="0.3">
      <c r="A23" s="60"/>
      <c r="B23" s="12">
        <v>5.5633333333333326</v>
      </c>
      <c r="C23" s="12">
        <v>4.523325821979847E-2</v>
      </c>
      <c r="D23" s="12">
        <v>1.966663400860803</v>
      </c>
      <c r="E23" s="12">
        <v>5.9904022561272224E-2</v>
      </c>
      <c r="F23" s="41"/>
      <c r="G23" s="41"/>
    </row>
    <row r="24" spans="1:7" x14ac:dyDescent="0.3">
      <c r="A24" s="60"/>
      <c r="B24" s="12">
        <v>6.6533333333333333</v>
      </c>
      <c r="C24" s="12">
        <v>3.1626379010526062E-2</v>
      </c>
      <c r="D24" s="12">
        <v>1.375059956979394</v>
      </c>
      <c r="E24" s="12">
        <v>5.9987582406496376E-2</v>
      </c>
      <c r="F24" s="41"/>
      <c r="G24" s="41"/>
    </row>
    <row r="25" spans="1:7" x14ac:dyDescent="0.3">
      <c r="A25" s="60"/>
      <c r="B25" s="12">
        <v>7.6400000000000006</v>
      </c>
      <c r="C25" s="12">
        <v>2.398508812806666E-2</v>
      </c>
      <c r="D25" s="12">
        <v>1.0428299186115939</v>
      </c>
      <c r="E25" s="12">
        <v>6.0034507573805553E-2</v>
      </c>
      <c r="F25" s="41"/>
      <c r="G25" s="41"/>
    </row>
    <row r="26" spans="1:7" x14ac:dyDescent="0.3">
      <c r="A26" s="60"/>
      <c r="B26" s="12">
        <v>8.5233333333333334</v>
      </c>
      <c r="C26" s="12">
        <v>1.9271214663130753E-2</v>
      </c>
      <c r="D26" s="12">
        <v>0.83787889839698926</v>
      </c>
      <c r="E26" s="12">
        <v>6.0063455470753722E-2</v>
      </c>
      <c r="F26" s="41"/>
      <c r="G26" s="41"/>
    </row>
    <row r="27" spans="1:7" x14ac:dyDescent="0.3">
      <c r="A27" s="61"/>
      <c r="B27" s="12">
        <v>9.7333333333333325</v>
      </c>
      <c r="C27" s="12">
        <v>1.4777631825858511E-2</v>
      </c>
      <c r="D27" s="12">
        <v>0.64250573155906576</v>
      </c>
      <c r="E27" s="12">
        <v>6.0091050562957417E-2</v>
      </c>
      <c r="F27" s="41"/>
      <c r="G27" s="41"/>
    </row>
    <row r="28" spans="1:7" x14ac:dyDescent="0.3">
      <c r="A28" s="59">
        <v>0.48699999999999999</v>
      </c>
      <c r="B28" s="12">
        <v>3.32</v>
      </c>
      <c r="C28" s="12">
        <v>0.12701408041805776</v>
      </c>
      <c r="D28" s="12">
        <v>5.5223513225242504</v>
      </c>
      <c r="E28" s="12">
        <v>0.10834711528523734</v>
      </c>
      <c r="F28" s="41"/>
      <c r="G28" s="41"/>
    </row>
    <row r="29" spans="1:7" x14ac:dyDescent="0.3">
      <c r="A29" s="60"/>
      <c r="B29" s="12">
        <v>3.9599999999999995</v>
      </c>
      <c r="C29" s="12">
        <v>8.9276604428119591E-2</v>
      </c>
      <c r="D29" s="12">
        <v>3.8815914968747647</v>
      </c>
      <c r="E29" s="12">
        <v>0.10876981275380063</v>
      </c>
      <c r="F29" s="41"/>
      <c r="G29" s="41"/>
    </row>
    <row r="30" spans="1:7" x14ac:dyDescent="0.3">
      <c r="A30" s="60"/>
      <c r="B30" s="12">
        <v>4.7633333333333336</v>
      </c>
      <c r="C30" s="12">
        <v>6.1702972663134563E-2</v>
      </c>
      <c r="D30" s="12">
        <v>2.6827379418754158</v>
      </c>
      <c r="E30" s="12">
        <v>0.10907866500320024</v>
      </c>
      <c r="F30" s="41"/>
      <c r="G30" s="41"/>
    </row>
    <row r="31" spans="1:7" x14ac:dyDescent="0.3">
      <c r="A31" s="60"/>
      <c r="B31" s="12">
        <v>5.39</v>
      </c>
      <c r="C31" s="12">
        <v>4.8189287521383996E-2</v>
      </c>
      <c r="D31" s="12">
        <v>2.095186413973217</v>
      </c>
      <c r="E31" s="12">
        <v>0.10923003179047298</v>
      </c>
      <c r="F31" s="41"/>
      <c r="G31" s="41"/>
    </row>
    <row r="32" spans="1:7" x14ac:dyDescent="0.3">
      <c r="A32" s="60"/>
      <c r="B32" s="12">
        <v>6.1466666666666674</v>
      </c>
      <c r="C32" s="12">
        <v>3.705516160755877E-2</v>
      </c>
      <c r="D32" s="12">
        <v>1.6110939829373379</v>
      </c>
      <c r="E32" s="12">
        <v>0.10935474513483374</v>
      </c>
      <c r="F32" s="41"/>
      <c r="G32" s="41"/>
    </row>
    <row r="33" spans="1:7" x14ac:dyDescent="0.3">
      <c r="A33" s="61"/>
      <c r="B33" s="12">
        <v>6.95</v>
      </c>
      <c r="C33" s="12">
        <v>2.8984007038973133E-2</v>
      </c>
      <c r="D33" s="12">
        <v>1.2601742190857883</v>
      </c>
      <c r="E33" s="12">
        <v>0.10944515013715646</v>
      </c>
      <c r="F33" s="41"/>
      <c r="G33" s="41"/>
    </row>
    <row r="34" spans="1:7" x14ac:dyDescent="0.3">
      <c r="A34" s="59">
        <v>0.70700000000000007</v>
      </c>
      <c r="B34" s="12">
        <v>2.86</v>
      </c>
      <c r="C34" s="12">
        <v>0.17115751381485647</v>
      </c>
      <c r="D34" s="12">
        <v>7.441631035428542</v>
      </c>
      <c r="E34" s="12">
        <v>0.15657460766785664</v>
      </c>
      <c r="F34" s="41"/>
      <c r="G34" s="41"/>
    </row>
    <row r="35" spans="1:7" x14ac:dyDescent="0.3">
      <c r="A35" s="60"/>
      <c r="B35" s="12">
        <v>3.31</v>
      </c>
      <c r="C35" s="12">
        <v>0.12778269639744069</v>
      </c>
      <c r="D35" s="12">
        <v>5.5557694085843776</v>
      </c>
      <c r="E35" s="12">
        <v>0.15727992557388124</v>
      </c>
      <c r="F35" s="41"/>
      <c r="G35" s="41"/>
    </row>
    <row r="36" spans="1:7" x14ac:dyDescent="0.3">
      <c r="A36" s="60"/>
      <c r="B36" s="12">
        <v>3.78</v>
      </c>
      <c r="C36" s="12">
        <v>9.798157946306095E-2</v>
      </c>
      <c r="D36" s="12">
        <v>4.260068672306998</v>
      </c>
      <c r="E36" s="12">
        <v>0.15776452153635118</v>
      </c>
      <c r="F36" s="41"/>
      <c r="G36" s="41"/>
    </row>
    <row r="37" spans="1:7" x14ac:dyDescent="0.3">
      <c r="A37" s="60"/>
      <c r="B37" s="12">
        <v>4.43</v>
      </c>
      <c r="C37" s="12">
        <v>7.133794312327707E-2</v>
      </c>
      <c r="D37" s="12">
        <v>3.1016497010120467</v>
      </c>
      <c r="E37" s="12">
        <v>0.15819777370687241</v>
      </c>
      <c r="F37" s="41"/>
      <c r="G37" s="41"/>
    </row>
    <row r="38" spans="1:7" x14ac:dyDescent="0.3">
      <c r="A38" s="60"/>
      <c r="B38" s="12">
        <v>5.1233333333333322</v>
      </c>
      <c r="C38" s="12">
        <v>5.3336290816549004E-2</v>
      </c>
      <c r="D38" s="12">
        <v>2.3189691659369132</v>
      </c>
      <c r="E38" s="12">
        <v>0.15849049857503211</v>
      </c>
      <c r="F38" s="41"/>
      <c r="G38" s="41"/>
    </row>
    <row r="39" spans="1:7" x14ac:dyDescent="0.3">
      <c r="A39" s="61"/>
      <c r="B39" s="12">
        <v>5.669999999999999</v>
      </c>
      <c r="C39" s="12">
        <v>4.3547368650249316E-2</v>
      </c>
      <c r="D39" s="12">
        <v>1.8933638543586659</v>
      </c>
      <c r="E39" s="12">
        <v>0.15864967623837831</v>
      </c>
      <c r="F39" s="41"/>
      <c r="G39" s="41"/>
    </row>
    <row r="40" spans="1:7" x14ac:dyDescent="0.3">
      <c r="A40" s="62">
        <v>0.92700000000000005</v>
      </c>
      <c r="B40" s="12">
        <v>2.4533333333333336</v>
      </c>
      <c r="C40" s="12">
        <v>0.23260278827977307</v>
      </c>
      <c r="D40" s="12">
        <v>10.113164707816221</v>
      </c>
      <c r="E40" s="12">
        <v>0.20398647595108696</v>
      </c>
      <c r="F40" s="41"/>
      <c r="G40" s="41"/>
    </row>
    <row r="41" spans="1:7" x14ac:dyDescent="0.3">
      <c r="A41" s="62"/>
      <c r="B41" s="12">
        <v>2.9</v>
      </c>
      <c r="C41" s="12">
        <v>0.16646848989298454</v>
      </c>
      <c r="D41" s="12">
        <v>7.2377604301297627</v>
      </c>
      <c r="E41" s="12">
        <v>0.20539652532699168</v>
      </c>
      <c r="F41" s="41"/>
      <c r="G41" s="41"/>
    </row>
    <row r="42" spans="1:7" x14ac:dyDescent="0.3">
      <c r="A42" s="62"/>
      <c r="B42" s="12">
        <v>3.36</v>
      </c>
      <c r="C42" s="12">
        <v>0.1240079365079365</v>
      </c>
      <c r="D42" s="12">
        <v>5.3916494133885431</v>
      </c>
      <c r="E42" s="12">
        <v>0.20630182678571429</v>
      </c>
      <c r="F42" s="41"/>
      <c r="G42" s="41"/>
    </row>
    <row r="43" spans="1:7" x14ac:dyDescent="0.3">
      <c r="A43" s="62"/>
      <c r="B43" s="12">
        <v>3.8466666666666662</v>
      </c>
      <c r="C43" s="12">
        <v>9.4614767713236181E-2</v>
      </c>
      <c r="D43" s="12">
        <v>4.1136855527493994</v>
      </c>
      <c r="E43" s="12">
        <v>0.20692851853758609</v>
      </c>
      <c r="F43" s="41"/>
      <c r="G43" s="41"/>
    </row>
    <row r="44" spans="1:7" x14ac:dyDescent="0.3">
      <c r="A44" s="62"/>
      <c r="B44" s="12">
        <v>4.3500000000000005</v>
      </c>
      <c r="C44" s="12">
        <v>7.3985995507993105E-2</v>
      </c>
      <c r="D44" s="12">
        <v>3.2167824133910048</v>
      </c>
      <c r="E44" s="12">
        <v>0.2073683445897741</v>
      </c>
      <c r="F44" s="41"/>
      <c r="G44" s="41"/>
    </row>
    <row r="45" spans="1:7" x14ac:dyDescent="0.3">
      <c r="A45" s="62"/>
      <c r="B45" s="12">
        <v>4.876666666666666</v>
      </c>
      <c r="C45" s="12">
        <v>5.8868354008117296E-2</v>
      </c>
      <c r="D45" s="12">
        <v>2.559493652526839</v>
      </c>
      <c r="E45" s="12">
        <v>0.20769066782419293</v>
      </c>
      <c r="F45" s="41"/>
      <c r="G45" s="41"/>
    </row>
    <row r="46" spans="1:7" x14ac:dyDescent="0.3">
      <c r="A46" s="48"/>
      <c r="B46" s="49"/>
      <c r="C46" s="49"/>
      <c r="D46" s="49"/>
      <c r="E46" s="49"/>
      <c r="F46" s="41"/>
      <c r="G46" s="41"/>
    </row>
    <row r="47" spans="1:7" x14ac:dyDescent="0.3">
      <c r="A47" s="55" t="s">
        <v>66</v>
      </c>
      <c r="B47" s="55"/>
      <c r="C47" s="55"/>
      <c r="D47" s="55"/>
      <c r="E47" s="55"/>
      <c r="F47" s="55"/>
      <c r="G47" s="55"/>
    </row>
    <row r="48" spans="1:7" x14ac:dyDescent="0.3">
      <c r="A48" s="46" t="s">
        <v>51</v>
      </c>
      <c r="B48" s="47">
        <v>1</v>
      </c>
      <c r="C48" s="47">
        <v>2</v>
      </c>
      <c r="D48" s="47">
        <v>3</v>
      </c>
      <c r="E48" s="47">
        <v>4</v>
      </c>
      <c r="F48" s="47">
        <v>5</v>
      </c>
      <c r="G48" s="47">
        <v>6</v>
      </c>
    </row>
    <row r="49" spans="1:7" x14ac:dyDescent="0.3">
      <c r="A49" s="46" t="s">
        <v>64</v>
      </c>
      <c r="B49" s="2">
        <v>7.6999999999999999E-2</v>
      </c>
      <c r="C49" s="2">
        <v>0.10200000000000001</v>
      </c>
      <c r="D49" s="2">
        <v>0.127</v>
      </c>
      <c r="E49" s="2">
        <v>0.152</v>
      </c>
      <c r="F49" s="2">
        <v>0.17699999999999999</v>
      </c>
      <c r="G49" s="2">
        <v>0.20199999999999999</v>
      </c>
    </row>
    <row r="50" spans="1:7" ht="15" x14ac:dyDescent="0.3">
      <c r="A50" s="46" t="s">
        <v>70</v>
      </c>
      <c r="B50" s="2">
        <v>5.9290000000000002E-3</v>
      </c>
      <c r="C50" s="2">
        <v>1.0404000000000002E-2</v>
      </c>
      <c r="D50" s="2">
        <v>1.6129000000000001E-2</v>
      </c>
      <c r="E50" s="2">
        <v>2.3104E-2</v>
      </c>
      <c r="F50" s="2">
        <v>3.1328999999999996E-2</v>
      </c>
      <c r="G50" s="2">
        <v>4.0803999999999993E-2</v>
      </c>
    </row>
    <row r="51" spans="1:7" ht="15" x14ac:dyDescent="0.3">
      <c r="A51" s="46" t="s">
        <v>71</v>
      </c>
      <c r="B51" s="12">
        <v>1.9423220341030219E-2</v>
      </c>
      <c r="C51" s="12">
        <v>2.7706082865633811E-2</v>
      </c>
      <c r="D51" s="12">
        <v>3.5657330597179605E-2</v>
      </c>
      <c r="E51" s="12">
        <v>4.7911431790691524E-2</v>
      </c>
      <c r="F51" s="12">
        <v>6.2447855217132434E-2</v>
      </c>
      <c r="G51" s="12">
        <v>7.7041709283295262E-2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Вова</cp:lastModifiedBy>
  <cp:lastPrinted>2021-10-21T21:58:13Z</cp:lastPrinted>
  <dcterms:created xsi:type="dcterms:W3CDTF">2015-06-05T18:19:34Z</dcterms:created>
  <dcterms:modified xsi:type="dcterms:W3CDTF">2024-11-04T10:32:01Z</dcterms:modified>
</cp:coreProperties>
</file>