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lape\Desktop\myitmo\Physics\"/>
    </mc:Choice>
  </mc:AlternateContent>
  <xr:revisionPtr revIDLastSave="0" documentId="13_ncr:1_{2135406A-62ED-4032-940B-943FEB12EEBF}" xr6:coauthVersionLast="47" xr6:coauthVersionMax="47" xr10:uidLastSave="{00000000-0000-0000-0000-000000000000}"/>
  <bookViews>
    <workbookView xWindow="-108" yWindow="-108" windowWidth="23256" windowHeight="12456" activeTab="1" xr2:uid="{A8A01CF9-197A-4072-AFAB-3316D3F9F3EA}"/>
  </bookViews>
  <sheets>
    <sheet name="Лист1" sheetId="1" r:id="rId1"/>
    <sheet name="Лист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3" i="2" l="1"/>
  <c r="M43" i="2"/>
  <c r="L43" i="2"/>
  <c r="K43" i="2"/>
  <c r="H43" i="2"/>
  <c r="F43" i="2"/>
  <c r="F42" i="2"/>
  <c r="M42" i="2"/>
  <c r="L42" i="2"/>
  <c r="K42" i="2"/>
  <c r="I42" i="2"/>
  <c r="H42" i="2"/>
  <c r="G42" i="2"/>
  <c r="B59" i="2"/>
  <c r="B57" i="2"/>
  <c r="A54" i="2" l="1"/>
  <c r="G26" i="2"/>
  <c r="B24" i="2" s="1"/>
  <c r="C24" i="2" s="1"/>
  <c r="M3" i="2"/>
  <c r="F2" i="2"/>
  <c r="O42" i="2" l="1"/>
  <c r="G37" i="2"/>
  <c r="F37" i="2"/>
  <c r="B20" i="2"/>
  <c r="C20" i="2" s="1"/>
  <c r="B19" i="2"/>
  <c r="C19" i="2" s="1"/>
  <c r="B29" i="2"/>
  <c r="C29" i="2" s="1"/>
  <c r="B26" i="2"/>
  <c r="C26" i="2" s="1"/>
  <c r="B46" i="2"/>
  <c r="C46" i="2" s="1"/>
  <c r="B4" i="2"/>
  <c r="C4" i="2" s="1"/>
  <c r="B5" i="2"/>
  <c r="C5" i="2" s="1"/>
  <c r="B8" i="2"/>
  <c r="C8" i="2" s="1"/>
  <c r="B10" i="2"/>
  <c r="C10" i="2" s="1"/>
  <c r="B30" i="2"/>
  <c r="C30" i="2" s="1"/>
  <c r="B40" i="2"/>
  <c r="C40" i="2" s="1"/>
  <c r="B25" i="2"/>
  <c r="C25" i="2" s="1"/>
  <c r="B41" i="2"/>
  <c r="C41" i="2" s="1"/>
  <c r="B47" i="2"/>
  <c r="C47" i="2" s="1"/>
  <c r="F3" i="2"/>
  <c r="B34" i="2"/>
  <c r="C34" i="2" s="1"/>
  <c r="B35" i="2"/>
  <c r="C35" i="2" s="1"/>
  <c r="B27" i="2"/>
  <c r="C27" i="2" s="1"/>
  <c r="B37" i="2"/>
  <c r="C37" i="2" s="1"/>
  <c r="B43" i="2"/>
  <c r="C43" i="2" s="1"/>
  <c r="B16" i="2"/>
  <c r="C16" i="2" s="1"/>
  <c r="B6" i="2"/>
  <c r="C6" i="2" s="1"/>
  <c r="B11" i="2"/>
  <c r="C11" i="2" s="1"/>
  <c r="B32" i="2"/>
  <c r="C32" i="2" s="1"/>
  <c r="B38" i="2"/>
  <c r="C38" i="2" s="1"/>
  <c r="B44" i="2"/>
  <c r="C44" i="2" s="1"/>
  <c r="B50" i="2"/>
  <c r="C50" i="2" s="1"/>
  <c r="B3" i="2"/>
  <c r="C3" i="2" s="1"/>
  <c r="B14" i="2"/>
  <c r="C14" i="2" s="1"/>
  <c r="B17" i="2"/>
  <c r="C17" i="2" s="1"/>
  <c r="B28" i="2"/>
  <c r="C28" i="2" s="1"/>
  <c r="B9" i="2"/>
  <c r="C9" i="2" s="1"/>
  <c r="B33" i="2"/>
  <c r="C33" i="2" s="1"/>
  <c r="B39" i="2"/>
  <c r="C39" i="2" s="1"/>
  <c r="B45" i="2"/>
  <c r="C45" i="2" s="1"/>
  <c r="B51" i="2"/>
  <c r="C51" i="2" s="1"/>
  <c r="B15" i="2"/>
  <c r="C15" i="2" s="1"/>
  <c r="B36" i="2"/>
  <c r="C36" i="2" s="1"/>
  <c r="B42" i="2"/>
  <c r="C42" i="2" s="1"/>
  <c r="B48" i="2"/>
  <c r="C48" i="2" s="1"/>
  <c r="B21" i="2"/>
  <c r="C21" i="2" s="1"/>
  <c r="B23" i="2"/>
  <c r="C23" i="2" s="1"/>
  <c r="B7" i="2"/>
  <c r="C7" i="2" s="1"/>
  <c r="B13" i="2"/>
  <c r="C13" i="2" s="1"/>
  <c r="B31" i="2"/>
  <c r="C31" i="2" s="1"/>
  <c r="B49" i="2"/>
  <c r="C49" i="2" s="1"/>
  <c r="B2" i="2"/>
  <c r="B12" i="2"/>
  <c r="C12" i="2" s="1"/>
  <c r="B18" i="2"/>
  <c r="C18" i="2" s="1"/>
  <c r="B22" i="2"/>
  <c r="C22" i="2" s="1"/>
  <c r="F4" i="2" l="1"/>
  <c r="F5" i="2" s="1"/>
  <c r="I37" i="2"/>
  <c r="J37" i="2"/>
  <c r="H37" i="2"/>
  <c r="I2" i="2"/>
  <c r="P2" i="2" s="1"/>
  <c r="G2" i="2"/>
  <c r="H2" i="2" s="1"/>
  <c r="C2" i="2"/>
  <c r="G27" i="2"/>
  <c r="O2" i="2" l="1"/>
  <c r="H38" i="2"/>
  <c r="G38" i="2"/>
  <c r="I4" i="2"/>
  <c r="P3" i="2" s="1"/>
  <c r="G4" i="2"/>
  <c r="H4" i="2" s="1"/>
  <c r="F6" i="2"/>
  <c r="F7" i="2" s="1"/>
  <c r="M37" i="2"/>
  <c r="L37" i="2"/>
  <c r="K37" i="2"/>
  <c r="I6" i="2"/>
  <c r="P4" i="2" s="1"/>
  <c r="G28" i="2"/>
  <c r="G30" i="2"/>
  <c r="I30" i="2" s="1"/>
  <c r="F8" i="2" l="1"/>
  <c r="F9" i="2" s="1"/>
  <c r="P37" i="2"/>
  <c r="O37" i="2"/>
  <c r="N37" i="2"/>
  <c r="O3" i="2"/>
  <c r="K38" i="2"/>
  <c r="J38" i="2"/>
  <c r="I31" i="2"/>
  <c r="I32" i="2" s="1"/>
  <c r="I33" i="2" s="1"/>
  <c r="G6" i="2"/>
  <c r="H6" i="2" s="1"/>
  <c r="I8" i="2"/>
  <c r="P5" i="2" s="1"/>
  <c r="J2" i="2"/>
  <c r="G29" i="2"/>
  <c r="H22" i="2"/>
  <c r="J6" i="2"/>
  <c r="J4" i="2"/>
  <c r="G22" i="2"/>
  <c r="I22" i="2" s="1"/>
  <c r="H21" i="2"/>
  <c r="H23" i="2"/>
  <c r="G21" i="2"/>
  <c r="G23" i="2"/>
  <c r="Q3" i="2" l="1"/>
  <c r="Q4" i="2"/>
  <c r="I23" i="2"/>
  <c r="J23" i="2" s="1"/>
  <c r="G8" i="2"/>
  <c r="H8" i="2" s="1"/>
  <c r="Q2" i="2"/>
  <c r="I21" i="2"/>
  <c r="J21" i="2" s="1"/>
  <c r="O4" i="2"/>
  <c r="M38" i="2"/>
  <c r="N38" i="2"/>
  <c r="F10" i="2"/>
  <c r="F11" i="2" s="1"/>
  <c r="Q37" i="2"/>
  <c r="R37" i="2"/>
  <c r="S37" i="2"/>
  <c r="J8" i="2"/>
  <c r="J22" i="2"/>
  <c r="F12" i="2" l="1"/>
  <c r="F13" i="2" s="1"/>
  <c r="V37" i="2"/>
  <c r="U37" i="2"/>
  <c r="T37" i="2"/>
  <c r="G10" i="2"/>
  <c r="H10" i="2" s="1"/>
  <c r="O5" i="2"/>
  <c r="Q38" i="2"/>
  <c r="P38" i="2"/>
  <c r="I10" i="2"/>
  <c r="P6" i="2" s="1"/>
  <c r="Q5" i="2"/>
  <c r="I43" i="2"/>
  <c r="G12" i="2"/>
  <c r="H12" i="2" s="1"/>
  <c r="I12" i="2"/>
  <c r="P7" i="2" s="1"/>
  <c r="J10" i="2" l="1"/>
  <c r="Q6" i="2" s="1"/>
  <c r="O7" i="2"/>
  <c r="W38" i="2"/>
  <c r="V38" i="2"/>
  <c r="O6" i="2"/>
  <c r="S38" i="2"/>
  <c r="T38" i="2"/>
  <c r="F14" i="2"/>
  <c r="F15" i="2" s="1"/>
  <c r="X37" i="2"/>
  <c r="W37" i="2"/>
  <c r="Y37" i="2"/>
  <c r="J12" i="2"/>
  <c r="I14" i="2" l="1"/>
  <c r="P41" i="2"/>
  <c r="P42" i="2" s="1"/>
  <c r="AA37" i="2"/>
  <c r="Z37" i="2"/>
  <c r="G14" i="2"/>
  <c r="H14" i="2" s="1"/>
  <c r="Q7" i="2"/>
  <c r="O8" i="2" l="1"/>
  <c r="Z38" i="2"/>
  <c r="Y38" i="2"/>
  <c r="Q42" i="2"/>
  <c r="P43" i="2"/>
  <c r="O43" i="2"/>
  <c r="J14" i="2"/>
  <c r="P8" i="2"/>
  <c r="Q8" i="2" l="1"/>
  <c r="R42" i="2"/>
  <c r="Q43" i="2"/>
  <c r="S42" i="2" l="1"/>
  <c r="R43" i="2"/>
  <c r="T42" i="2" l="1"/>
  <c r="S43" i="2"/>
  <c r="U42" i="2" l="1"/>
  <c r="T43" i="2"/>
  <c r="V42" i="2" l="1"/>
  <c r="U43" i="2"/>
  <c r="W42" i="2" l="1"/>
  <c r="V43" i="2"/>
  <c r="X42" i="2" l="1"/>
  <c r="W43" i="2"/>
  <c r="Y42" i="2" l="1"/>
  <c r="X43" i="2"/>
  <c r="Z42" i="2" l="1"/>
  <c r="AA42" i="2" s="1"/>
  <c r="Y43" i="2"/>
  <c r="Z43" i="2" l="1"/>
  <c r="AB42" i="2"/>
  <c r="AA43" i="2" s="1"/>
  <c r="AC42" i="2" l="1"/>
  <c r="AD42" i="2" s="1"/>
  <c r="AB43" i="2"/>
  <c r="AC43" i="2" l="1"/>
  <c r="AE42" i="2"/>
  <c r="AD43" i="2"/>
  <c r="AF42" i="2" l="1"/>
  <c r="AG42" i="2" s="1"/>
  <c r="AF43" i="2" l="1"/>
  <c r="AH42" i="2"/>
  <c r="AG43" i="2" s="1"/>
  <c r="AE43" i="2"/>
  <c r="AI42" i="2" l="1"/>
  <c r="AJ42" i="2" s="1"/>
  <c r="AH43" i="2" l="1"/>
  <c r="AI43" i="2"/>
  <c r="AK42" i="2"/>
  <c r="AJ43" i="2" s="1"/>
  <c r="AL42" i="2" l="1"/>
  <c r="AK43" i="2"/>
  <c r="AM42" i="2" l="1"/>
  <c r="AN42" i="2" l="1"/>
  <c r="AM43" i="2"/>
  <c r="AL43" i="2"/>
  <c r="AO42" i="2" l="1"/>
  <c r="AP42" i="2" l="1"/>
  <c r="AN43" i="2"/>
  <c r="AQ42" i="2" l="1"/>
  <c r="AP43" i="2"/>
  <c r="AO43" i="2"/>
  <c r="AR42" i="2" l="1"/>
  <c r="AQ43" i="2"/>
  <c r="AS42" i="2" l="1"/>
  <c r="AR43" i="2"/>
  <c r="AT42" i="2" l="1"/>
  <c r="AU42" i="2" l="1"/>
  <c r="AS43" i="2"/>
  <c r="AV42" i="2" l="1"/>
  <c r="AW42" i="2" s="1"/>
  <c r="AV43" i="2" s="1"/>
  <c r="AT43" i="2"/>
  <c r="AU43" i="2" l="1"/>
</calcChain>
</file>

<file path=xl/sharedStrings.xml><?xml version="1.0" encoding="utf-8"?>
<sst xmlns="http://schemas.openxmlformats.org/spreadsheetml/2006/main" count="44" uniqueCount="40">
  <si>
    <t>𝑡𝑖 , с</t>
  </si>
  <si>
    <t>𝑡𝑖 − ⟨𝑡⟩_𝑁 , с</t>
  </si>
  <si>
    <t>(𝑡𝑖 − ⟨𝑡⟩_𝑁 )^ 2 , с^2</t>
  </si>
  <si>
    <t>Границы интервалов, c</t>
  </si>
  <si>
    <t>∆N</t>
  </si>
  <si>
    <t>Δ𝑁/𝑁Δ𝑡 , c -1</t>
  </si>
  <si>
    <t>𝑡, c</t>
  </si>
  <si>
    <t>𝜌, c -1</t>
  </si>
  <si>
    <t>m=</t>
  </si>
  <si>
    <t>Δ𝑡</t>
  </si>
  <si>
    <t>от</t>
  </si>
  <si>
    <t>до</t>
  </si>
  <si>
    <t>∆𝑁 /N</t>
  </si>
  <si>
    <t>P</t>
  </si>
  <si>
    <t>⟨𝑡⟩𝑁 ± 𝜎_N</t>
  </si>
  <si>
    <t>⟨𝑡⟩𝑁 ± 2𝜎_N</t>
  </si>
  <si>
    <t>⟨𝑡⟩𝑁 ± 3𝜎_N</t>
  </si>
  <si>
    <t>⟨𝑡⟩_N=</t>
  </si>
  <si>
    <t>∑︀ 𝑁 𝑖=1 (𝑡𝑖 − ⟨𝑡⟩_𝑁 )=</t>
  </si>
  <si>
    <t>𝜎_N=</t>
  </si>
  <si>
    <t>𝜌_𝑚𝑎x=</t>
  </si>
  <si>
    <t>D(t)=</t>
  </si>
  <si>
    <t>σ_⟨t⟩ =</t>
  </si>
  <si>
    <t>∆_⟨t⟩ =</t>
  </si>
  <si>
    <t>∆_d=</t>
  </si>
  <si>
    <t>ε_d=</t>
  </si>
  <si>
    <t>Гистограмма</t>
  </si>
  <si>
    <t>Формула Гаусса</t>
  </si>
  <si>
    <t>Вдруг надо будет:</t>
  </si>
  <si>
    <t>Мин. значение</t>
  </si>
  <si>
    <t>Макс. значение</t>
  </si>
  <si>
    <t>Общая сумма:</t>
  </si>
  <si>
    <t>Вспомогательные точки (чтобы график был точнее)</t>
  </si>
  <si>
    <t>Разница:</t>
  </si>
  <si>
    <t>Погрешность прибора:</t>
  </si>
  <si>
    <t>Внимание! Достаточно просто вставить свои 50 измерений, все таблицы будут посчитаны и график построится, вам останется только подправить засечки на осях! Ваши данные надо вписать в красные ячейки, всё остальное расчитается автоматически! На листе 2!!!</t>
  </si>
  <si>
    <t>По хорошему надо строить по этим точкам, но график хуйня получается, т.к. слишком мало точек</t>
  </si>
  <si>
    <t>Построение графика</t>
  </si>
  <si>
    <t>Тут надо подогнать эти точки, чтобы они попали на график (для красоты)</t>
  </si>
  <si>
    <t>&lt;- 33 в формуле это рандом, так вы можете поставить любое число. 33 - это количество точек на графике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</si>
</sst>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"/>
  </numFmts>
  <fonts count="5" x14ac:knownFonts="1">
    <font>
      <sz val="11"/>
      <color theme="1"/>
      <name val="Aptos Narrow"/>
      <family val="2"/>
      <charset val="204"/>
      <scheme val="minor"/>
    </font>
    <font>
      <sz val="11"/>
      <color theme="1"/>
      <name val="Aptos"/>
      <family val="2"/>
    </font>
    <font>
      <sz val="11"/>
      <color rgb="FF000000"/>
      <name val="Aptos Narrow"/>
      <family val="2"/>
    </font>
    <font>
      <sz val="16"/>
      <color theme="1"/>
      <name val="Aptos Narrow"/>
      <family val="2"/>
      <charset val="204"/>
      <scheme val="minor"/>
    </font>
    <font>
      <b/>
      <sz val="16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2" fontId="0" fillId="0" borderId="0" xfId="0" applyNumberFormat="1"/>
    <xf numFmtId="1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65" fontId="0" fillId="0" borderId="5" xfId="0" applyNumberForma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0" fontId="1" fillId="0" borderId="0" xfId="0" applyFont="1" applyAlignment="1">
      <alignment vertical="center" wrapText="1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2" fontId="0" fillId="0" borderId="1" xfId="0" applyNumberFormat="1" applyBorder="1" applyAlignment="1">
      <alignment horizontal="center" wrapText="1"/>
    </xf>
    <xf numFmtId="2" fontId="0" fillId="0" borderId="5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165" fontId="0" fillId="0" borderId="3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5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 wrapText="1"/>
    </xf>
    <xf numFmtId="2" fontId="0" fillId="0" borderId="3" xfId="0" applyNumberFormat="1" applyBorder="1" applyAlignment="1">
      <alignment horizontal="center"/>
    </xf>
    <xf numFmtId="0" fontId="0" fillId="3" borderId="0" xfId="0" applyFill="1" applyAlignment="1">
      <alignment horizontal="center"/>
    </xf>
    <xf numFmtId="0" fontId="2" fillId="3" borderId="0" xfId="0" applyFont="1" applyFill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4" borderId="0" xfId="0" applyFill="1" applyAlignment="1">
      <alignment horizontal="center"/>
    </xf>
    <xf numFmtId="166" fontId="0" fillId="0" borderId="1" xfId="0" applyNumberFormat="1" applyBorder="1" applyAlignment="1">
      <alignment horizontal="center"/>
    </xf>
    <xf numFmtId="166" fontId="0" fillId="0" borderId="2" xfId="0" applyNumberFormat="1" applyBorder="1" applyAlignment="1">
      <alignment horizontal="center"/>
    </xf>
    <xf numFmtId="166" fontId="0" fillId="0" borderId="3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wrapText="1"/>
    </xf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5" xfId="0" applyNumberForma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165" fontId="0" fillId="0" borderId="7" xfId="0" applyNumberFormat="1" applyBorder="1" applyAlignment="1">
      <alignment horizontal="center"/>
    </xf>
    <xf numFmtId="0" fontId="0" fillId="4" borderId="0" xfId="0" applyFill="1" applyAlignment="1">
      <alignment horizontal="center"/>
    </xf>
    <xf numFmtId="0" fontId="4" fillId="2" borderId="0" xfId="0" applyFont="1" applyFill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Гистограмма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Лист2!$F$37:$AA$37</c:f>
              <c:numCache>
                <c:formatCode>0.0</c:formatCode>
                <c:ptCount val="22"/>
                <c:pt idx="0">
                  <c:v>9.1</c:v>
                </c:pt>
                <c:pt idx="1">
                  <c:v>9.1</c:v>
                </c:pt>
                <c:pt idx="2">
                  <c:v>13.8</c:v>
                </c:pt>
                <c:pt idx="3">
                  <c:v>13.8</c:v>
                </c:pt>
                <c:pt idx="4">
                  <c:v>13.8</c:v>
                </c:pt>
                <c:pt idx="5">
                  <c:v>18.5</c:v>
                </c:pt>
                <c:pt idx="6">
                  <c:v>18.5</c:v>
                </c:pt>
                <c:pt idx="7">
                  <c:v>18.5</c:v>
                </c:pt>
                <c:pt idx="8">
                  <c:v>23.2</c:v>
                </c:pt>
                <c:pt idx="9">
                  <c:v>23.2</c:v>
                </c:pt>
                <c:pt idx="10">
                  <c:v>23.2</c:v>
                </c:pt>
                <c:pt idx="11">
                  <c:v>27.9</c:v>
                </c:pt>
                <c:pt idx="12">
                  <c:v>27.9</c:v>
                </c:pt>
                <c:pt idx="13">
                  <c:v>27.9</c:v>
                </c:pt>
                <c:pt idx="14">
                  <c:v>32.6</c:v>
                </c:pt>
                <c:pt idx="15">
                  <c:v>32.6</c:v>
                </c:pt>
                <c:pt idx="16">
                  <c:v>32.6</c:v>
                </c:pt>
                <c:pt idx="17">
                  <c:v>37.300000000000004</c:v>
                </c:pt>
                <c:pt idx="18">
                  <c:v>37.300000000000004</c:v>
                </c:pt>
                <c:pt idx="19">
                  <c:v>37.300000000000004</c:v>
                </c:pt>
                <c:pt idx="20">
                  <c:v>42.000000000000007</c:v>
                </c:pt>
                <c:pt idx="21">
                  <c:v>42.000000000000007</c:v>
                </c:pt>
              </c:numCache>
            </c:numRef>
          </c:xVal>
          <c:yVal>
            <c:numRef>
              <c:f>Лист2!$F$38:$AA$38</c:f>
              <c:numCache>
                <c:formatCode>0.000</c:formatCode>
                <c:ptCount val="22"/>
                <c:pt idx="0" formatCode="General">
                  <c:v>0</c:v>
                </c:pt>
                <c:pt idx="1">
                  <c:v>2.1276595744680847E-2</c:v>
                </c:pt>
                <c:pt idx="2">
                  <c:v>2.1276595744680847E-2</c:v>
                </c:pt>
                <c:pt idx="3" formatCode="General">
                  <c:v>0</c:v>
                </c:pt>
                <c:pt idx="4">
                  <c:v>2.5531914893617023E-2</c:v>
                </c:pt>
                <c:pt idx="5">
                  <c:v>2.5531914893617023E-2</c:v>
                </c:pt>
                <c:pt idx="6" formatCode="General">
                  <c:v>0</c:v>
                </c:pt>
                <c:pt idx="7">
                  <c:v>3.4042553191489369E-2</c:v>
                </c:pt>
                <c:pt idx="8">
                  <c:v>3.4042553191489369E-2</c:v>
                </c:pt>
                <c:pt idx="9" formatCode="General">
                  <c:v>0</c:v>
                </c:pt>
                <c:pt idx="10">
                  <c:v>5.1063829787234047E-2</c:v>
                </c:pt>
                <c:pt idx="11">
                  <c:v>5.1063829787234047E-2</c:v>
                </c:pt>
                <c:pt idx="12" formatCode="General">
                  <c:v>0</c:v>
                </c:pt>
                <c:pt idx="13">
                  <c:v>2.1276595744680837E-2</c:v>
                </c:pt>
                <c:pt idx="14">
                  <c:v>2.1276595744680837E-2</c:v>
                </c:pt>
                <c:pt idx="15" formatCode="General">
                  <c:v>0</c:v>
                </c:pt>
                <c:pt idx="16">
                  <c:v>3.4042553191489341E-2</c:v>
                </c:pt>
                <c:pt idx="17">
                  <c:v>3.4042553191489341E-2</c:v>
                </c:pt>
                <c:pt idx="18" formatCode="General">
                  <c:v>0</c:v>
                </c:pt>
                <c:pt idx="19">
                  <c:v>2.5531914893617006E-2</c:v>
                </c:pt>
                <c:pt idx="20">
                  <c:v>2.5531914893617006E-2</c:v>
                </c:pt>
                <c:pt idx="21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D6-440B-AD55-5BFB5639C017}"/>
            </c:ext>
          </c:extLst>
        </c:ser>
        <c:ser>
          <c:idx val="2"/>
          <c:order val="2"/>
          <c:tx>
            <c:v>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Лист2!$F$42:$M$42</c:f>
              <c:numCache>
                <c:formatCode>0.00</c:formatCode>
                <c:ptCount val="8"/>
                <c:pt idx="0">
                  <c:v>11.45</c:v>
                </c:pt>
                <c:pt idx="1">
                  <c:v>16.149999999999999</c:v>
                </c:pt>
                <c:pt idx="2">
                  <c:v>20.85</c:v>
                </c:pt>
                <c:pt idx="3">
                  <c:v>25.549999999999997</c:v>
                </c:pt>
                <c:pt idx="5">
                  <c:v>30.25</c:v>
                </c:pt>
                <c:pt idx="6">
                  <c:v>34.950000000000003</c:v>
                </c:pt>
                <c:pt idx="7">
                  <c:v>39.650000000000006</c:v>
                </c:pt>
              </c:numCache>
            </c:numRef>
          </c:xVal>
          <c:yVal>
            <c:numRef>
              <c:f>Лист2!$F$43:$M$43</c:f>
              <c:numCache>
                <c:formatCode>0.0000</c:formatCode>
                <c:ptCount val="8"/>
                <c:pt idx="0">
                  <c:v>1.3075150260781168E-2</c:v>
                </c:pt>
                <c:pt idx="1">
                  <c:v>2.6137674409137848E-2</c:v>
                </c:pt>
                <c:pt idx="2">
                  <c:v>3.9100248797238966E-2</c:v>
                </c:pt>
                <c:pt idx="3">
                  <c:v>4.4655694058200517E-2</c:v>
                </c:pt>
                <c:pt idx="5">
                  <c:v>3.8668594014767681E-2</c:v>
                </c:pt>
                <c:pt idx="6">
                  <c:v>2.5207774712704214E-2</c:v>
                </c:pt>
                <c:pt idx="7">
                  <c:v>1.2628546256124386E-2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D56-4C72-B618-F26B3129ED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1343984"/>
        <c:axId val="261374736"/>
      </c:scatterChart>
      <c:scatterChart>
        <c:scatterStyle val="smoothMarker"/>
        <c:varyColors val="0"/>
        <c:ser>
          <c:idx val="1"/>
          <c:order val="1"/>
          <c:tx>
            <c:v>Формула Гаусса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Лист2!$O$42:$AV$42</c:f>
              <c:numCache>
                <c:formatCode>0.00</c:formatCode>
                <c:ptCount val="34"/>
                <c:pt idx="0">
                  <c:v>9.1</c:v>
                </c:pt>
                <c:pt idx="1">
                  <c:v>10.096969696969698</c:v>
                </c:pt>
                <c:pt idx="2">
                  <c:v>11.093939393939396</c:v>
                </c:pt>
                <c:pt idx="3">
                  <c:v>12.090909090909093</c:v>
                </c:pt>
                <c:pt idx="4">
                  <c:v>13.087878787878791</c:v>
                </c:pt>
                <c:pt idx="5">
                  <c:v>14.084848484848489</c:v>
                </c:pt>
                <c:pt idx="6">
                  <c:v>15.081818181818187</c:v>
                </c:pt>
                <c:pt idx="7">
                  <c:v>16.078787878787885</c:v>
                </c:pt>
                <c:pt idx="8">
                  <c:v>17.075757575757581</c:v>
                </c:pt>
                <c:pt idx="9">
                  <c:v>18.072727272727278</c:v>
                </c:pt>
                <c:pt idx="10">
                  <c:v>19.069696969696974</c:v>
                </c:pt>
                <c:pt idx="11">
                  <c:v>20.06666666666667</c:v>
                </c:pt>
                <c:pt idx="12">
                  <c:v>21.063636363636366</c:v>
                </c:pt>
                <c:pt idx="13">
                  <c:v>22.060606060606062</c:v>
                </c:pt>
                <c:pt idx="14">
                  <c:v>23.057575757575759</c:v>
                </c:pt>
                <c:pt idx="15">
                  <c:v>24.054545454545455</c:v>
                </c:pt>
                <c:pt idx="16">
                  <c:v>25.051515151515151</c:v>
                </c:pt>
                <c:pt idx="17">
                  <c:v>26.048484848484847</c:v>
                </c:pt>
                <c:pt idx="18">
                  <c:v>27.045454545454543</c:v>
                </c:pt>
                <c:pt idx="19">
                  <c:v>28.042424242424239</c:v>
                </c:pt>
                <c:pt idx="20">
                  <c:v>29.039393939393936</c:v>
                </c:pt>
                <c:pt idx="21">
                  <c:v>30.036363636363632</c:v>
                </c:pt>
                <c:pt idx="22">
                  <c:v>31.033333333333328</c:v>
                </c:pt>
                <c:pt idx="23">
                  <c:v>32.030303030303024</c:v>
                </c:pt>
                <c:pt idx="24">
                  <c:v>33.027272727272724</c:v>
                </c:pt>
                <c:pt idx="25">
                  <c:v>34.024242424242424</c:v>
                </c:pt>
                <c:pt idx="26">
                  <c:v>35.021212121212123</c:v>
                </c:pt>
                <c:pt idx="27">
                  <c:v>36.018181818181823</c:v>
                </c:pt>
                <c:pt idx="28">
                  <c:v>37.015151515151523</c:v>
                </c:pt>
                <c:pt idx="29">
                  <c:v>38.012121212121222</c:v>
                </c:pt>
                <c:pt idx="30">
                  <c:v>39.009090909090922</c:v>
                </c:pt>
                <c:pt idx="31">
                  <c:v>40.006060606060622</c:v>
                </c:pt>
                <c:pt idx="32">
                  <c:v>41.003030303030322</c:v>
                </c:pt>
                <c:pt idx="33">
                  <c:v>42.000000000000021</c:v>
                </c:pt>
              </c:numCache>
            </c:numRef>
          </c:xVal>
          <c:yVal>
            <c:numRef>
              <c:f>Лист2!$O$43:$AV$43</c:f>
              <c:numCache>
                <c:formatCode>General</c:formatCode>
                <c:ptCount val="34"/>
                <c:pt idx="0">
                  <c:v>8.4495767078141722E-3</c:v>
                </c:pt>
                <c:pt idx="1">
                  <c:v>1.0295533623569164E-2</c:v>
                </c:pt>
                <c:pt idx="2">
                  <c:v>1.2389285592621447E-2</c:v>
                </c:pt>
                <c:pt idx="3">
                  <c:v>1.4724045873483622E-2</c:v>
                </c:pt>
                <c:pt idx="4">
                  <c:v>1.728190263802656E-2</c:v>
                </c:pt>
                <c:pt idx="5">
                  <c:v>2.0032697864879424E-2</c:v>
                </c:pt>
                <c:pt idx="6">
                  <c:v>2.2933525497079117E-2</c:v>
                </c:pt>
                <c:pt idx="7">
                  <c:v>2.5928995882639611E-2</c:v>
                </c:pt>
                <c:pt idx="8">
                  <c:v>2.8952366623834037E-2</c:v>
                </c:pt>
                <c:pt idx="9">
                  <c:v>3.1927575099075789E-2</c:v>
                </c:pt>
                <c:pt idx="10">
                  <c:v>3.4772130050444577E-2</c:v>
                </c:pt>
                <c:pt idx="11">
                  <c:v>3.7400736119348597E-2</c:v>
                </c:pt>
                <c:pt idx="12">
                  <c:v>3.9729445115573581E-2</c:v>
                </c:pt>
                <c:pt idx="13">
                  <c:v>4.1680060778005908E-2</c:v>
                </c:pt>
                <c:pt idx="14">
                  <c:v>4.3184478792285277E-2</c:v>
                </c:pt>
                <c:pt idx="15">
                  <c:v>4.4188627819278535E-2</c:v>
                </c:pt>
                <c:pt idx="16">
                  <c:v>4.4655694058200517E-2</c:v>
                </c:pt>
                <c:pt idx="17">
                  <c:v>4.456836133040476E-2</c:v>
                </c:pt>
                <c:pt idx="18">
                  <c:v>4.3929876644952272E-2</c:v>
                </c:pt>
                <c:pt idx="19">
                  <c:v>4.2763849824827047E-2</c:v>
                </c:pt>
                <c:pt idx="20">
                  <c:v>4.1112804433628782E-2</c:v>
                </c:pt>
                <c:pt idx="21">
                  <c:v>3.9035604004291381E-2</c:v>
                </c:pt>
                <c:pt idx="22">
                  <c:v>3.6603970746085228E-2</c:v>
                </c:pt>
                <c:pt idx="23">
                  <c:v>3.3898383618230728E-2</c:v>
                </c:pt>
                <c:pt idx="24">
                  <c:v>3.1003682117377859E-2</c:v>
                </c:pt>
                <c:pt idx="25">
                  <c:v>2.8004708422173331E-2</c:v>
                </c:pt>
                <c:pt idx="26">
                  <c:v>2.4982294852099504E-2</c:v>
                </c:pt>
                <c:pt idx="27">
                  <c:v>2.2009850819407827E-2</c:v>
                </c:pt>
                <c:pt idx="28">
                  <c:v>1.9150731298064338E-2</c:v>
                </c:pt>
                <c:pt idx="29">
                  <c:v>1.6456486628929023E-2</c:v>
                </c:pt>
                <c:pt idx="30">
                  <c:v>1.3966010826139416E-2</c:v>
                </c:pt>
                <c:pt idx="31">
                  <c:v>1.1705531071981924E-2</c:v>
                </c:pt>
                <c:pt idx="32">
                  <c:v>9.6893214582586019E-3</c:v>
                </c:pt>
                <c:pt idx="33">
                  <c:v>7.9209833718903253E-3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1D6-440B-AD55-5BFB5639C0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1343984"/>
        <c:axId val="261374736"/>
      </c:scatterChart>
      <c:valAx>
        <c:axId val="261343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</a:t>
                </a:r>
                <a:r>
                  <a:rPr lang="ru-RU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, 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61374736"/>
        <c:crosses val="autoZero"/>
        <c:crossBetween val="midCat"/>
      </c:valAx>
      <c:valAx>
        <c:axId val="26137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𝛥𝑁/𝑁𝛥</a:t>
                </a: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t</a:t>
                </a:r>
                <a:r>
                  <a:rPr lang="ru-RU" sz="1000" b="0" i="1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 </a:t>
                </a:r>
                <a:r>
                  <a:rPr lang="ru-RU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, </a:t>
                </a:r>
                <a:r>
                  <a:rPr lang="ru-RU" sz="1000" b="0" i="1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с</a:t>
                </a:r>
                <a:r>
                  <a:rPr lang="ru-RU" sz="1000" b="0" i="1" u="none" strike="noStrike" kern="1200" baseline="3000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-1</a:t>
                </a:r>
                <a:endParaRPr lang="en-US" sz="1000" b="0" i="1" u="none" strike="noStrike" kern="1200" baseline="30000">
                  <a:solidFill>
                    <a:sysClr val="windowText" lastClr="000000">
                      <a:lumMod val="65000"/>
                      <a:lumOff val="35000"/>
                    </a:sysClr>
                  </a:solidFill>
                  <a:effectLst/>
                </a:endParaRPr>
              </a:p>
              <a:p>
                <a:pPr>
                  <a:defRPr/>
                </a:pPr>
                <a:r>
                  <a:rPr lang="ru-RU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𝜌, </a:t>
                </a:r>
                <a:r>
                  <a:rPr lang="ru-RU" sz="1000" b="0" i="1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c</a:t>
                </a:r>
                <a:r>
                  <a:rPr lang="ru-RU" sz="1000" b="0" i="1" u="none" strike="noStrike" kern="1200" baseline="3000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-1</a:t>
                </a:r>
                <a:endParaRPr lang="ru-RU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61343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446314</xdr:colOff>
      <xdr:row>46</xdr:row>
      <xdr:rowOff>76199</xdr:rowOff>
    </xdr:from>
    <xdr:to>
      <xdr:col>19</xdr:col>
      <xdr:colOff>326572</xdr:colOff>
      <xdr:row>72</xdr:row>
      <xdr:rowOff>108857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C9D6C8DD-0C13-4FF1-B66C-7D2DEC5EB2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B2724-960B-4EFA-9081-561AC1C08C34}">
  <dimension ref="A1:K51"/>
  <sheetViews>
    <sheetView workbookViewId="0">
      <selection activeCell="H6" sqref="H6"/>
    </sheetView>
  </sheetViews>
  <sheetFormatPr defaultRowHeight="14.4" x14ac:dyDescent="0.3"/>
  <cols>
    <col min="8" max="8" width="29.109375" customWidth="1"/>
  </cols>
  <sheetData>
    <row r="1" spans="1:11" x14ac:dyDescent="0.3">
      <c r="A1" s="9"/>
      <c r="C1" s="1"/>
      <c r="D1" s="1"/>
    </row>
    <row r="2" spans="1:11" ht="92.4" customHeight="1" x14ac:dyDescent="0.4">
      <c r="A2" s="9"/>
      <c r="B2" s="43" t="s">
        <v>35</v>
      </c>
      <c r="C2" s="43"/>
      <c r="D2" s="43"/>
      <c r="E2" s="43"/>
      <c r="F2" s="43"/>
      <c r="G2" s="43"/>
      <c r="H2" s="43"/>
      <c r="I2" s="43"/>
      <c r="J2" s="43"/>
      <c r="K2" s="43"/>
    </row>
    <row r="3" spans="1:11" x14ac:dyDescent="0.3">
      <c r="A3" s="9"/>
      <c r="C3" s="1"/>
      <c r="D3" s="1"/>
    </row>
    <row r="4" spans="1:11" x14ac:dyDescent="0.3">
      <c r="A4" s="9"/>
      <c r="C4" s="1"/>
      <c r="D4" s="1"/>
    </row>
    <row r="5" spans="1:11" x14ac:dyDescent="0.3">
      <c r="A5" s="9"/>
      <c r="C5" s="1"/>
      <c r="D5" s="1"/>
    </row>
    <row r="6" spans="1:11" x14ac:dyDescent="0.3">
      <c r="A6" s="9"/>
      <c r="C6" s="1"/>
      <c r="D6" s="1"/>
    </row>
    <row r="7" spans="1:11" x14ac:dyDescent="0.3">
      <c r="A7" s="9"/>
      <c r="C7" s="1"/>
      <c r="D7" s="1"/>
    </row>
    <row r="8" spans="1:11" x14ac:dyDescent="0.3">
      <c r="A8" s="9"/>
      <c r="C8" s="1"/>
      <c r="D8" s="1"/>
    </row>
    <row r="9" spans="1:11" x14ac:dyDescent="0.3">
      <c r="A9" s="9"/>
      <c r="C9" s="1"/>
      <c r="D9" s="1"/>
    </row>
    <row r="10" spans="1:11" x14ac:dyDescent="0.3">
      <c r="A10" s="9"/>
      <c r="C10" s="1"/>
      <c r="D10" s="1"/>
    </row>
    <row r="11" spans="1:11" x14ac:dyDescent="0.3">
      <c r="A11" s="9"/>
      <c r="C11" s="1"/>
      <c r="D11" s="1"/>
    </row>
    <row r="12" spans="1:11" x14ac:dyDescent="0.3">
      <c r="A12" s="9"/>
      <c r="C12" s="1"/>
      <c r="D12" s="1"/>
    </row>
    <row r="13" spans="1:11" x14ac:dyDescent="0.3">
      <c r="A13" s="9"/>
      <c r="C13" s="1"/>
      <c r="D13" s="1"/>
    </row>
    <row r="14" spans="1:11" x14ac:dyDescent="0.3">
      <c r="A14" s="9"/>
      <c r="C14" s="1"/>
      <c r="D14" s="1"/>
    </row>
    <row r="15" spans="1:11" x14ac:dyDescent="0.3">
      <c r="A15" s="9"/>
      <c r="C15" s="1"/>
      <c r="D15" s="1"/>
    </row>
    <row r="16" spans="1:11" x14ac:dyDescent="0.3">
      <c r="A16" s="9"/>
      <c r="C16" s="1"/>
      <c r="D16" s="1"/>
    </row>
    <row r="17" spans="1:4" x14ac:dyDescent="0.3">
      <c r="A17" s="9"/>
      <c r="C17" s="1"/>
      <c r="D17" s="1"/>
    </row>
    <row r="18" spans="1:4" x14ac:dyDescent="0.3">
      <c r="A18" s="9"/>
      <c r="C18" s="1"/>
      <c r="D18" s="1"/>
    </row>
    <row r="19" spans="1:4" x14ac:dyDescent="0.3">
      <c r="A19" s="9"/>
      <c r="C19" s="1"/>
      <c r="D19" s="1"/>
    </row>
    <row r="20" spans="1:4" x14ac:dyDescent="0.3">
      <c r="A20" s="9"/>
      <c r="C20" s="1"/>
      <c r="D20" s="1"/>
    </row>
    <row r="21" spans="1:4" x14ac:dyDescent="0.3">
      <c r="A21" s="9"/>
      <c r="C21" s="1"/>
      <c r="D21" s="1"/>
    </row>
    <row r="22" spans="1:4" x14ac:dyDescent="0.3">
      <c r="A22" s="9"/>
      <c r="C22" s="1"/>
      <c r="D22" s="1"/>
    </row>
    <row r="23" spans="1:4" x14ac:dyDescent="0.3">
      <c r="A23" s="9"/>
      <c r="C23" s="1"/>
      <c r="D23" s="1"/>
    </row>
    <row r="24" spans="1:4" x14ac:dyDescent="0.3">
      <c r="A24" s="9"/>
      <c r="C24" s="1"/>
      <c r="D24" s="1"/>
    </row>
    <row r="25" spans="1:4" x14ac:dyDescent="0.3">
      <c r="A25" s="9"/>
      <c r="C25" s="1"/>
      <c r="D25" s="1"/>
    </row>
    <row r="26" spans="1:4" x14ac:dyDescent="0.3">
      <c r="A26" s="9"/>
      <c r="C26" s="1"/>
      <c r="D26" s="1"/>
    </row>
    <row r="27" spans="1:4" x14ac:dyDescent="0.3">
      <c r="A27" s="9"/>
      <c r="C27" s="1"/>
      <c r="D27" s="1"/>
    </row>
    <row r="28" spans="1:4" x14ac:dyDescent="0.3">
      <c r="A28" s="9"/>
      <c r="C28" s="1"/>
      <c r="D28" s="1"/>
    </row>
    <row r="29" spans="1:4" x14ac:dyDescent="0.3">
      <c r="A29" s="9"/>
      <c r="C29" s="1"/>
      <c r="D29" s="1"/>
    </row>
    <row r="30" spans="1:4" x14ac:dyDescent="0.3">
      <c r="A30" s="9"/>
      <c r="C30" s="1"/>
      <c r="D30" s="1"/>
    </row>
    <row r="31" spans="1:4" x14ac:dyDescent="0.3">
      <c r="A31" s="9"/>
      <c r="C31" s="1"/>
      <c r="D31" s="1"/>
    </row>
    <row r="32" spans="1:4" x14ac:dyDescent="0.3">
      <c r="A32" s="9"/>
      <c r="C32" s="1"/>
      <c r="D32" s="1"/>
    </row>
    <row r="33" spans="1:4" x14ac:dyDescent="0.3">
      <c r="A33" s="9"/>
      <c r="C33" s="1"/>
      <c r="D33" s="1"/>
    </row>
    <row r="34" spans="1:4" x14ac:dyDescent="0.3">
      <c r="A34" s="9"/>
      <c r="C34" s="1"/>
      <c r="D34" s="1"/>
    </row>
    <row r="35" spans="1:4" x14ac:dyDescent="0.3">
      <c r="A35" s="9"/>
      <c r="C35" s="1"/>
      <c r="D35" s="1"/>
    </row>
    <row r="36" spans="1:4" x14ac:dyDescent="0.3">
      <c r="A36" s="9"/>
      <c r="C36" s="1"/>
      <c r="D36" s="1"/>
    </row>
    <row r="37" spans="1:4" x14ac:dyDescent="0.3">
      <c r="A37" s="9"/>
      <c r="C37" s="1"/>
      <c r="D37" s="1"/>
    </row>
    <row r="38" spans="1:4" x14ac:dyDescent="0.3">
      <c r="A38" s="9"/>
      <c r="C38" s="1"/>
      <c r="D38" s="1"/>
    </row>
    <row r="39" spans="1:4" x14ac:dyDescent="0.3">
      <c r="A39" s="9"/>
      <c r="C39" s="1"/>
      <c r="D39" s="1"/>
    </row>
    <row r="40" spans="1:4" x14ac:dyDescent="0.3">
      <c r="A40" s="9"/>
      <c r="C40" s="1"/>
      <c r="D40" s="1"/>
    </row>
    <row r="41" spans="1:4" x14ac:dyDescent="0.3">
      <c r="A41" s="9"/>
      <c r="C41" s="1"/>
      <c r="D41" s="1"/>
    </row>
    <row r="42" spans="1:4" x14ac:dyDescent="0.3">
      <c r="A42" s="9"/>
      <c r="C42" s="1"/>
      <c r="D42" s="1"/>
    </row>
    <row r="43" spans="1:4" x14ac:dyDescent="0.3">
      <c r="A43" s="9"/>
      <c r="C43" s="1"/>
      <c r="D43" s="1"/>
    </row>
    <row r="44" spans="1:4" x14ac:dyDescent="0.3">
      <c r="A44" s="9"/>
      <c r="C44" s="1"/>
      <c r="D44" s="1"/>
    </row>
    <row r="45" spans="1:4" x14ac:dyDescent="0.3">
      <c r="A45" s="9"/>
      <c r="C45" s="1"/>
      <c r="D45" s="1"/>
    </row>
    <row r="46" spans="1:4" x14ac:dyDescent="0.3">
      <c r="A46" s="9"/>
      <c r="C46" s="1"/>
      <c r="D46" s="1"/>
    </row>
    <row r="47" spans="1:4" x14ac:dyDescent="0.3">
      <c r="A47" s="9"/>
      <c r="C47" s="1"/>
      <c r="D47" s="1"/>
    </row>
    <row r="48" spans="1:4" x14ac:dyDescent="0.3">
      <c r="A48" s="9"/>
      <c r="C48" s="1"/>
      <c r="D48" s="1"/>
    </row>
    <row r="49" spans="1:4" x14ac:dyDescent="0.3">
      <c r="A49" s="9"/>
      <c r="C49" s="1"/>
      <c r="D49" s="1"/>
    </row>
    <row r="50" spans="1:4" x14ac:dyDescent="0.3">
      <c r="A50" s="9"/>
      <c r="C50" s="1"/>
      <c r="D50" s="1"/>
    </row>
    <row r="51" spans="1:4" x14ac:dyDescent="0.3">
      <c r="B51" s="1"/>
      <c r="C51" s="1"/>
      <c r="D51" s="1"/>
    </row>
  </sheetData>
  <mergeCells count="1">
    <mergeCell ref="B2:K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32CBA-C2B7-4C42-AFFF-0079A99878AA}">
  <dimension ref="A1:AW59"/>
  <sheetViews>
    <sheetView tabSelected="1" topLeftCell="F34" zoomScale="91" zoomScaleNormal="85" workbookViewId="0">
      <selection activeCell="P44" sqref="P44"/>
    </sheetView>
  </sheetViews>
  <sheetFormatPr defaultRowHeight="14.4" x14ac:dyDescent="0.3"/>
  <cols>
    <col min="1" max="1" width="18" style="13" customWidth="1"/>
    <col min="2" max="2" width="16.33203125" style="13" customWidth="1"/>
    <col min="3" max="3" width="16.88671875" style="13" customWidth="1"/>
    <col min="4" max="4" width="8.88671875" style="13"/>
    <col min="5" max="5" width="4.88671875" style="13" customWidth="1"/>
    <col min="6" max="6" width="19.21875" style="13" customWidth="1"/>
    <col min="7" max="7" width="9.44140625" style="13" bestFit="1" customWidth="1"/>
    <col min="8" max="8" width="12.88671875" style="13" customWidth="1"/>
    <col min="9" max="12" width="8.88671875" style="13"/>
    <col min="13" max="13" width="11.109375" style="13" customWidth="1"/>
    <col min="14" max="14" width="8.88671875" style="13"/>
    <col min="15" max="15" width="13" style="13" customWidth="1"/>
    <col min="16" max="16" width="13.33203125" style="13" customWidth="1"/>
    <col min="17" max="17" width="10.88671875" style="13" customWidth="1"/>
    <col min="18" max="16384" width="8.88671875" style="13"/>
  </cols>
  <sheetData>
    <row r="1" spans="1:17" ht="29.4" thickBot="1" x14ac:dyDescent="0.35">
      <c r="A1" s="10" t="s">
        <v>0</v>
      </c>
      <c r="B1" s="11" t="s">
        <v>1</v>
      </c>
      <c r="C1" s="12" t="s">
        <v>2</v>
      </c>
      <c r="F1" s="14" t="s">
        <v>3</v>
      </c>
      <c r="G1" s="11" t="s">
        <v>4</v>
      </c>
      <c r="H1" s="11" t="s">
        <v>5</v>
      </c>
      <c r="I1" s="11" t="s">
        <v>6</v>
      </c>
      <c r="J1" s="12" t="s">
        <v>7</v>
      </c>
      <c r="O1" s="10" t="s">
        <v>5</v>
      </c>
      <c r="P1" s="11" t="s">
        <v>6</v>
      </c>
      <c r="Q1" s="12" t="s">
        <v>7</v>
      </c>
    </row>
    <row r="2" spans="1:17" x14ac:dyDescent="0.3">
      <c r="A2" s="30">
        <v>26.6</v>
      </c>
      <c r="B2" s="4">
        <f t="shared" ref="B2:B51" si="0">A2-G$26</f>
        <v>0.70800000000000907</v>
      </c>
      <c r="C2" s="15">
        <f>POWER(B2,2)</f>
        <v>0.50126400000001281</v>
      </c>
      <c r="F2" s="16">
        <f>MIN(A2:A51)</f>
        <v>9.1</v>
      </c>
      <c r="G2" s="45">
        <f>COUNTIFS($A$2:$A$50,"&gt;="&amp;F2,$A$2:$A$50,"&lt;="&amp;F3)</f>
        <v>5</v>
      </c>
      <c r="H2" s="46">
        <f>G2/(50*(F3-F2))</f>
        <v>2.1276595744680847E-2</v>
      </c>
      <c r="I2" s="44">
        <f>(F2+F3)/2</f>
        <v>11.45</v>
      </c>
      <c r="J2" s="47">
        <f>(1/($G$28*SQRT(2*PI())))*EXP(-(POWER(I2-$G$26,2))/(2*POWER($G$28,2)))</f>
        <v>1.2075150260781167E-2</v>
      </c>
      <c r="L2" s="10" t="s">
        <v>8</v>
      </c>
      <c r="M2" s="12">
        <v>7</v>
      </c>
      <c r="O2" s="16">
        <f>H2</f>
        <v>2.1276595744680847E-2</v>
      </c>
      <c r="P2" s="4">
        <f>I2</f>
        <v>11.45</v>
      </c>
      <c r="Q2" s="15">
        <f>J2</f>
        <v>1.2075150260781167E-2</v>
      </c>
    </row>
    <row r="3" spans="1:17" ht="15" thickBot="1" x14ac:dyDescent="0.35">
      <c r="A3" s="30">
        <v>21.3</v>
      </c>
      <c r="B3" s="4">
        <f t="shared" si="0"/>
        <v>-4.5919999999999916</v>
      </c>
      <c r="C3" s="15">
        <f t="shared" ref="C3:C51" si="1">POWER(B3,2)</f>
        <v>21.086463999999925</v>
      </c>
      <c r="F3" s="16">
        <f>F2+$M$3</f>
        <v>13.8</v>
      </c>
      <c r="G3" s="45"/>
      <c r="H3" s="46"/>
      <c r="I3" s="44"/>
      <c r="J3" s="47"/>
      <c r="L3" s="17" t="s">
        <v>9</v>
      </c>
      <c r="M3" s="18">
        <f>(MAX(A2:A51)-MIN(A2:A51))/M2</f>
        <v>4.7</v>
      </c>
      <c r="O3" s="16">
        <f>H4</f>
        <v>2.5531914893617023E-2</v>
      </c>
      <c r="P3" s="4">
        <f>I4</f>
        <v>16.149999999999999</v>
      </c>
      <c r="Q3" s="15">
        <f>J4</f>
        <v>2.4637674409137847E-2</v>
      </c>
    </row>
    <row r="4" spans="1:17" x14ac:dyDescent="0.3">
      <c r="A4" s="30">
        <v>18.2</v>
      </c>
      <c r="B4" s="4">
        <f t="shared" si="0"/>
        <v>-7.6919999999999931</v>
      </c>
      <c r="C4" s="15">
        <f t="shared" si="1"/>
        <v>59.16686399999989</v>
      </c>
      <c r="F4" s="16">
        <f>F3</f>
        <v>13.8</v>
      </c>
      <c r="G4" s="45">
        <f t="shared" ref="G4" si="2">COUNTIFS($A$2:$A$50,"&gt;="&amp;F4,$A$2:$A$50,"&lt;="&amp;F5)</f>
        <v>6</v>
      </c>
      <c r="H4" s="46">
        <f t="shared" ref="H4" si="3">G4/(50*(F5-F4))</f>
        <v>2.5531914893617023E-2</v>
      </c>
      <c r="I4" s="44">
        <f>(F4+F5)/2</f>
        <v>16.149999999999999</v>
      </c>
      <c r="J4" s="47">
        <f t="shared" ref="J4" si="4">(1/($G$28*SQRT(2*PI())))*EXP(-(POWER(I4-$G$26,2))/(2*POWER($G$28,2)))</f>
        <v>2.4637674409137847E-2</v>
      </c>
      <c r="O4" s="16">
        <f>H6</f>
        <v>3.4042553191489369E-2</v>
      </c>
      <c r="P4" s="4">
        <f>I6</f>
        <v>20.85</v>
      </c>
      <c r="Q4" s="15">
        <f>J6</f>
        <v>3.8100248797238966E-2</v>
      </c>
    </row>
    <row r="5" spans="1:17" x14ac:dyDescent="0.3">
      <c r="A5" s="30">
        <v>23.9</v>
      </c>
      <c r="B5" s="4">
        <f t="shared" si="0"/>
        <v>-1.9919999999999938</v>
      </c>
      <c r="C5" s="15">
        <f t="shared" si="1"/>
        <v>3.9680639999999752</v>
      </c>
      <c r="F5" s="16">
        <f>F4+$M$3</f>
        <v>18.5</v>
      </c>
      <c r="G5" s="45"/>
      <c r="H5" s="46"/>
      <c r="I5" s="44"/>
      <c r="J5" s="47"/>
      <c r="O5" s="16">
        <f>H8</f>
        <v>5.1063829787234047E-2</v>
      </c>
      <c r="P5" s="4">
        <f>I8</f>
        <v>25.549999999999997</v>
      </c>
      <c r="Q5" s="15">
        <f>J8</f>
        <v>4.4655694058200517E-2</v>
      </c>
    </row>
    <row r="6" spans="1:17" x14ac:dyDescent="0.3">
      <c r="A6" s="30">
        <v>40.299999999999997</v>
      </c>
      <c r="B6" s="4">
        <f t="shared" si="0"/>
        <v>14.408000000000005</v>
      </c>
      <c r="C6" s="15">
        <f t="shared" si="1"/>
        <v>207.59046400000014</v>
      </c>
      <c r="F6" s="16">
        <f>F5</f>
        <v>18.5</v>
      </c>
      <c r="G6" s="45">
        <f t="shared" ref="G6" si="5">COUNTIFS($A$2:$A$50,"&gt;="&amp;F6,$A$2:$A$50,"&lt;="&amp;F7)</f>
        <v>8</v>
      </c>
      <c r="H6" s="46">
        <f t="shared" ref="H6" si="6">G6/(50*(F7-F6))</f>
        <v>3.4042553191489369E-2</v>
      </c>
      <c r="I6" s="44">
        <f>(F6+F7)/2</f>
        <v>20.85</v>
      </c>
      <c r="J6" s="47">
        <f t="shared" ref="J6" si="7">(1/($G$28*SQRT(2*PI())))*EXP(-(POWER(I6-$G$26,2))/(2*POWER($G$28,2)))</f>
        <v>3.8100248797238966E-2</v>
      </c>
      <c r="O6" s="16">
        <f>H10</f>
        <v>2.1276595744680837E-2</v>
      </c>
      <c r="P6" s="4">
        <f>I10</f>
        <v>30.25</v>
      </c>
      <c r="Q6" s="15">
        <f>J10</f>
        <v>3.9668594014767682E-2</v>
      </c>
    </row>
    <row r="7" spans="1:17" x14ac:dyDescent="0.3">
      <c r="A7" s="30">
        <v>30.4</v>
      </c>
      <c r="B7" s="4">
        <f t="shared" si="0"/>
        <v>4.5080000000000062</v>
      </c>
      <c r="C7" s="15">
        <f t="shared" si="1"/>
        <v>20.322064000000058</v>
      </c>
      <c r="F7" s="16">
        <f>F6+$M$3</f>
        <v>23.2</v>
      </c>
      <c r="G7" s="45"/>
      <c r="H7" s="46"/>
      <c r="I7" s="44"/>
      <c r="J7" s="47"/>
      <c r="O7" s="16">
        <f>H12</f>
        <v>3.4042553191489341E-2</v>
      </c>
      <c r="P7" s="4">
        <f>I12</f>
        <v>34.950000000000003</v>
      </c>
      <c r="Q7" s="15">
        <f>J12</f>
        <v>2.6707774712704215E-2</v>
      </c>
    </row>
    <row r="8" spans="1:17" ht="15" thickBot="1" x14ac:dyDescent="0.35">
      <c r="A8" s="30">
        <v>15.6</v>
      </c>
      <c r="B8" s="4">
        <f t="shared" si="0"/>
        <v>-10.291999999999993</v>
      </c>
      <c r="C8" s="15">
        <f t="shared" si="1"/>
        <v>105.92526399999986</v>
      </c>
      <c r="F8" s="16">
        <f>F7</f>
        <v>23.2</v>
      </c>
      <c r="G8" s="45">
        <f t="shared" ref="G8" si="8">COUNTIFS($A$2:$A$50,"&gt;="&amp;F8,$A$2:$A$50,"&lt;="&amp;F9)</f>
        <v>12</v>
      </c>
      <c r="H8" s="46">
        <f t="shared" ref="H8" si="9">G8/(50*(F9-F8))</f>
        <v>5.1063829787234047E-2</v>
      </c>
      <c r="I8" s="44">
        <f>(F8+F9)/2</f>
        <v>25.549999999999997</v>
      </c>
      <c r="J8" s="47">
        <f t="shared" ref="J8" si="10">(1/($G$28*SQRT(2*PI())))*EXP(-(POWER(I8-$G$26,2))/(2*POWER($G$28,2)))</f>
        <v>4.4655694058200517E-2</v>
      </c>
      <c r="O8" s="19">
        <f>H14</f>
        <v>2.5531914893617006E-2</v>
      </c>
      <c r="P8" s="8">
        <f>I14</f>
        <v>39.650000000000006</v>
      </c>
      <c r="Q8" s="20">
        <f>J14</f>
        <v>1.3628546256124387E-2</v>
      </c>
    </row>
    <row r="9" spans="1:17" x14ac:dyDescent="0.3">
      <c r="A9" s="30">
        <v>21.7</v>
      </c>
      <c r="B9" s="4">
        <f t="shared" si="0"/>
        <v>-4.1919999999999931</v>
      </c>
      <c r="C9" s="15">
        <f t="shared" si="1"/>
        <v>17.572863999999942</v>
      </c>
      <c r="F9" s="16">
        <f>F8+$M$3</f>
        <v>27.9</v>
      </c>
      <c r="G9" s="45"/>
      <c r="H9" s="46"/>
      <c r="I9" s="44"/>
      <c r="J9" s="47"/>
      <c r="O9" s="4"/>
    </row>
    <row r="10" spans="1:17" x14ac:dyDescent="0.3">
      <c r="A10" s="30">
        <v>32.6</v>
      </c>
      <c r="B10" s="4">
        <f t="shared" si="0"/>
        <v>6.7080000000000091</v>
      </c>
      <c r="C10" s="15">
        <f t="shared" si="1"/>
        <v>44.997264000000122</v>
      </c>
      <c r="F10" s="16">
        <f>F9</f>
        <v>27.9</v>
      </c>
      <c r="G10" s="45">
        <f t="shared" ref="G10" si="11">COUNTIFS($A$2:$A$50,"&gt;="&amp;F10,$A$2:$A$50,"&lt;="&amp;F11)</f>
        <v>5</v>
      </c>
      <c r="H10" s="46">
        <f t="shared" ref="H10" si="12">G10/(50*(F11-F10))</f>
        <v>2.1276595744680837E-2</v>
      </c>
      <c r="I10" s="44">
        <f>(F10+F11)/2</f>
        <v>30.25</v>
      </c>
      <c r="J10" s="47">
        <f t="shared" ref="J10" si="13">(1/($G$28*SQRT(2*PI())))*EXP(-(POWER(I10-$G$26,2))/(2*POWER($G$28,2)))</f>
        <v>3.9668594014767682E-2</v>
      </c>
      <c r="O10" s="4"/>
    </row>
    <row r="11" spans="1:17" x14ac:dyDescent="0.3">
      <c r="A11" s="30">
        <v>33.1</v>
      </c>
      <c r="B11" s="4">
        <f t="shared" si="0"/>
        <v>7.2080000000000091</v>
      </c>
      <c r="C11" s="15">
        <f t="shared" si="1"/>
        <v>51.955264000000128</v>
      </c>
      <c r="F11" s="16">
        <f>F10+$M$3</f>
        <v>32.6</v>
      </c>
      <c r="G11" s="45"/>
      <c r="H11" s="46"/>
      <c r="I11" s="44"/>
      <c r="J11" s="47"/>
    </row>
    <row r="12" spans="1:17" x14ac:dyDescent="0.3">
      <c r="A12" s="30">
        <v>42</v>
      </c>
      <c r="B12" s="4">
        <f t="shared" si="0"/>
        <v>16.108000000000008</v>
      </c>
      <c r="C12" s="15">
        <f t="shared" si="1"/>
        <v>259.46766400000024</v>
      </c>
      <c r="F12" s="16">
        <f>F11</f>
        <v>32.6</v>
      </c>
      <c r="G12" s="45">
        <f t="shared" ref="G12" si="14">COUNTIFS($A$2:$A$50,"&gt;="&amp;F12,$A$2:$A$50,"&lt;="&amp;F13)</f>
        <v>8</v>
      </c>
      <c r="H12" s="46">
        <f t="shared" ref="H12" si="15">G12/(50*(F13-F12))</f>
        <v>3.4042553191489341E-2</v>
      </c>
      <c r="I12" s="44">
        <f>(F12+F13)/2</f>
        <v>34.950000000000003</v>
      </c>
      <c r="J12" s="47">
        <f t="shared" ref="J12" si="16">(1/($G$28*SQRT(2*PI())))*EXP(-(POWER(I12-$G$26,2))/(2*POWER($G$28,2)))</f>
        <v>2.6707774712704215E-2</v>
      </c>
    </row>
    <row r="13" spans="1:17" x14ac:dyDescent="0.3">
      <c r="A13" s="30">
        <v>18.899999999999999</v>
      </c>
      <c r="B13" s="4">
        <f t="shared" si="0"/>
        <v>-6.9919999999999938</v>
      </c>
      <c r="C13" s="15">
        <f t="shared" si="1"/>
        <v>48.888063999999915</v>
      </c>
      <c r="F13" s="16">
        <f>F12+$M$3</f>
        <v>37.300000000000004</v>
      </c>
      <c r="G13" s="45"/>
      <c r="H13" s="46"/>
      <c r="I13" s="44"/>
      <c r="J13" s="47"/>
    </row>
    <row r="14" spans="1:17" x14ac:dyDescent="0.3">
      <c r="A14" s="30">
        <v>19.100000000000001</v>
      </c>
      <c r="B14" s="4">
        <f t="shared" si="0"/>
        <v>-6.7919999999999909</v>
      </c>
      <c r="C14" s="15">
        <f t="shared" si="1"/>
        <v>46.131263999999874</v>
      </c>
      <c r="F14" s="16">
        <f>F13</f>
        <v>37.300000000000004</v>
      </c>
      <c r="G14" s="45">
        <f t="shared" ref="G14" si="17">COUNTIFS($A$2:$A$50,"&gt;="&amp;F14,$A$2:$A$50,"&lt;="&amp;F15)</f>
        <v>6</v>
      </c>
      <c r="H14" s="46">
        <f t="shared" ref="H14" si="18">G14/(50*(F15-F14))</f>
        <v>2.5531914893617006E-2</v>
      </c>
      <c r="I14" s="44">
        <f>(F14+F15)/2</f>
        <v>39.650000000000006</v>
      </c>
      <c r="J14" s="47">
        <f t="shared" ref="J14" si="19">(1/($G$28*SQRT(2*PI())))*EXP(-(POWER(I14-$G$26,2))/(2*POWER($G$28,2)))</f>
        <v>1.3628546256124387E-2</v>
      </c>
    </row>
    <row r="15" spans="1:17" ht="15" thickBot="1" x14ac:dyDescent="0.35">
      <c r="A15" s="30">
        <v>25.3</v>
      </c>
      <c r="B15" s="4">
        <f t="shared" si="0"/>
        <v>-0.59199999999999164</v>
      </c>
      <c r="C15" s="15">
        <f t="shared" si="1"/>
        <v>0.35046399999999012</v>
      </c>
      <c r="F15" s="19">
        <f>F14+$M$3</f>
        <v>42.000000000000007</v>
      </c>
      <c r="G15" s="48"/>
      <c r="H15" s="49"/>
      <c r="I15" s="50"/>
      <c r="J15" s="51"/>
    </row>
    <row r="16" spans="1:17" x14ac:dyDescent="0.3">
      <c r="A16" s="30">
        <v>27.8</v>
      </c>
      <c r="B16" s="4">
        <f t="shared" si="0"/>
        <v>1.9080000000000084</v>
      </c>
      <c r="C16" s="15">
        <f t="shared" si="1"/>
        <v>3.6404640000000317</v>
      </c>
      <c r="F16" s="3"/>
      <c r="G16" s="44"/>
      <c r="H16" s="44"/>
      <c r="I16" s="44"/>
      <c r="J16" s="44"/>
    </row>
    <row r="17" spans="1:12" x14ac:dyDescent="0.3">
      <c r="A17" s="30">
        <v>24.6</v>
      </c>
      <c r="B17" s="4">
        <f t="shared" si="0"/>
        <v>-1.2919999999999909</v>
      </c>
      <c r="C17" s="15">
        <f t="shared" si="1"/>
        <v>1.6692639999999765</v>
      </c>
      <c r="F17" s="3"/>
      <c r="G17" s="44"/>
      <c r="H17" s="44"/>
      <c r="I17" s="44"/>
      <c r="J17" s="44"/>
    </row>
    <row r="18" spans="1:12" x14ac:dyDescent="0.3">
      <c r="A18" s="30">
        <v>33.200000000000003</v>
      </c>
      <c r="B18" s="4">
        <f t="shared" si="0"/>
        <v>7.3080000000000105</v>
      </c>
      <c r="C18" s="15">
        <f t="shared" si="1"/>
        <v>53.406864000000155</v>
      </c>
    </row>
    <row r="19" spans="1:12" ht="15" thickBot="1" x14ac:dyDescent="0.35">
      <c r="A19" s="30">
        <v>37.4</v>
      </c>
      <c r="B19" s="4">
        <f t="shared" si="0"/>
        <v>11.508000000000006</v>
      </c>
      <c r="C19" s="15">
        <f t="shared" si="1"/>
        <v>132.43406400000015</v>
      </c>
    </row>
    <row r="20" spans="1:12" x14ac:dyDescent="0.3">
      <c r="A20" s="30">
        <v>23.7</v>
      </c>
      <c r="B20" s="4">
        <f t="shared" si="0"/>
        <v>-2.1919999999999931</v>
      </c>
      <c r="C20" s="15">
        <f t="shared" si="1"/>
        <v>4.8048639999999692</v>
      </c>
      <c r="F20" s="10"/>
      <c r="G20" s="11" t="s">
        <v>10</v>
      </c>
      <c r="H20" s="11" t="s">
        <v>11</v>
      </c>
      <c r="I20" s="11" t="s">
        <v>4</v>
      </c>
      <c r="J20" s="11" t="s">
        <v>12</v>
      </c>
      <c r="K20" s="12" t="s">
        <v>13</v>
      </c>
    </row>
    <row r="21" spans="1:12" x14ac:dyDescent="0.3">
      <c r="A21" s="30">
        <v>24.6</v>
      </c>
      <c r="B21" s="4">
        <f t="shared" si="0"/>
        <v>-1.2919999999999909</v>
      </c>
      <c r="C21" s="15">
        <f t="shared" si="1"/>
        <v>1.6692639999999765</v>
      </c>
      <c r="F21" s="21" t="s">
        <v>14</v>
      </c>
      <c r="G21" s="3">
        <f>$G$26-$G$28</f>
        <v>16.964815193386624</v>
      </c>
      <c r="H21" s="3">
        <f>$G$26+$G$28</f>
        <v>34.819184806613364</v>
      </c>
      <c r="I21" s="2">
        <f>COUNTIFS($A$2:$A$51,"&gt;="&amp;G21,$A$2:$A$51,"&lt;="&amp;H21)</f>
        <v>31</v>
      </c>
      <c r="J21" s="3">
        <f>I21/50</f>
        <v>0.62</v>
      </c>
      <c r="K21" s="40">
        <v>0.68300000000000005</v>
      </c>
      <c r="L21" s="21"/>
    </row>
    <row r="22" spans="1:12" x14ac:dyDescent="0.3">
      <c r="A22" s="30">
        <v>41.8</v>
      </c>
      <c r="B22" s="4">
        <f t="shared" si="0"/>
        <v>15.908000000000005</v>
      </c>
      <c r="C22" s="15">
        <f t="shared" si="1"/>
        <v>253.06446400000016</v>
      </c>
      <c r="F22" s="21" t="s">
        <v>15</v>
      </c>
      <c r="G22" s="3">
        <f>$G$26-2*$G$28</f>
        <v>8.0376303867732553</v>
      </c>
      <c r="H22" s="3">
        <f>$G$26+2*$G$28</f>
        <v>43.746369613226733</v>
      </c>
      <c r="I22" s="2">
        <f t="shared" ref="I22:I23" si="20">COUNTIFS($A$2:$A$51,"&gt;="&amp;G22,$A$2:$A$51,"&lt;="&amp;H22)</f>
        <v>50</v>
      </c>
      <c r="J22" s="3">
        <f t="shared" ref="J22:J23" si="21">I22/50</f>
        <v>1</v>
      </c>
      <c r="K22" s="42">
        <v>0.95399999999999996</v>
      </c>
    </row>
    <row r="23" spans="1:12" ht="15" thickBot="1" x14ac:dyDescent="0.35">
      <c r="A23" s="30">
        <v>10.3</v>
      </c>
      <c r="B23" s="4">
        <f t="shared" si="0"/>
        <v>-15.591999999999992</v>
      </c>
      <c r="C23" s="15">
        <f t="shared" si="1"/>
        <v>243.11046399999975</v>
      </c>
      <c r="F23" s="17" t="s">
        <v>16</v>
      </c>
      <c r="G23" s="7">
        <f>$G$26-3*$G$28</f>
        <v>-0.8895544198401133</v>
      </c>
      <c r="H23" s="7">
        <f>$G$26+3*$G$28</f>
        <v>52.673554419840102</v>
      </c>
      <c r="I23" s="6">
        <f t="shared" si="20"/>
        <v>50</v>
      </c>
      <c r="J23" s="7">
        <f t="shared" si="21"/>
        <v>1</v>
      </c>
      <c r="K23" s="41">
        <v>0.997</v>
      </c>
    </row>
    <row r="24" spans="1:12" x14ac:dyDescent="0.3">
      <c r="A24" s="30">
        <v>9.1</v>
      </c>
      <c r="B24" s="4">
        <f t="shared" si="0"/>
        <v>-16.791999999999994</v>
      </c>
      <c r="C24" s="15">
        <f t="shared" si="1"/>
        <v>281.97126399999979</v>
      </c>
    </row>
    <row r="25" spans="1:12" ht="15" thickBot="1" x14ac:dyDescent="0.35">
      <c r="A25" s="30">
        <v>34.1</v>
      </c>
      <c r="B25" s="4">
        <f t="shared" si="0"/>
        <v>8.2080000000000091</v>
      </c>
      <c r="C25" s="15">
        <f t="shared" si="1"/>
        <v>67.371264000000153</v>
      </c>
    </row>
    <row r="26" spans="1:12" x14ac:dyDescent="0.3">
      <c r="A26" s="30">
        <v>21</v>
      </c>
      <c r="B26" s="4">
        <f t="shared" si="0"/>
        <v>-4.8919999999999924</v>
      </c>
      <c r="C26" s="15">
        <f t="shared" si="1"/>
        <v>23.931663999999927</v>
      </c>
      <c r="F26" s="10" t="s">
        <v>17</v>
      </c>
      <c r="G26" s="23">
        <f>AVERAGE(A2:A51)</f>
        <v>25.891999999999992</v>
      </c>
    </row>
    <row r="27" spans="1:12" x14ac:dyDescent="0.3">
      <c r="A27" s="30">
        <v>37.799999999999997</v>
      </c>
      <c r="B27" s="4">
        <f t="shared" si="0"/>
        <v>11.908000000000005</v>
      </c>
      <c r="C27" s="15">
        <f t="shared" si="1"/>
        <v>141.80046400000012</v>
      </c>
      <c r="F27" s="21" t="s">
        <v>18</v>
      </c>
      <c r="G27" s="15">
        <f>SUM(B2:B51)</f>
        <v>3.979039320256561E-13</v>
      </c>
    </row>
    <row r="28" spans="1:12" x14ac:dyDescent="0.3">
      <c r="A28" s="30">
        <v>24.3</v>
      </c>
      <c r="B28" s="4">
        <f t="shared" si="0"/>
        <v>-1.5919999999999916</v>
      </c>
      <c r="C28" s="15">
        <f t="shared" si="1"/>
        <v>2.5344639999999732</v>
      </c>
      <c r="F28" s="21" t="s">
        <v>19</v>
      </c>
      <c r="G28" s="15">
        <f>SQRT((1/(50-1))*SUM(C2:C51))</f>
        <v>8.9271848066133686</v>
      </c>
    </row>
    <row r="29" spans="1:12" ht="15" thickBot="1" x14ac:dyDescent="0.35">
      <c r="A29" s="30">
        <v>22.8</v>
      </c>
      <c r="B29" s="4">
        <f t="shared" si="0"/>
        <v>-3.0919999999999916</v>
      </c>
      <c r="C29" s="15">
        <f t="shared" si="1"/>
        <v>9.5604639999999481</v>
      </c>
      <c r="F29" s="21" t="s">
        <v>20</v>
      </c>
      <c r="G29" s="24">
        <f>1/(G28*SQRT(2*PI()))</f>
        <v>4.4688475599372751E-2</v>
      </c>
    </row>
    <row r="30" spans="1:12" ht="15" thickBot="1" x14ac:dyDescent="0.35">
      <c r="A30" s="30">
        <v>26.6</v>
      </c>
      <c r="B30" s="4">
        <f t="shared" si="0"/>
        <v>0.70800000000000907</v>
      </c>
      <c r="C30" s="15">
        <f t="shared" si="1"/>
        <v>0.50126400000001281</v>
      </c>
      <c r="F30" s="17" t="s">
        <v>21</v>
      </c>
      <c r="G30" s="8">
        <f>(1/(50-1))*SUM(C2:C51)</f>
        <v>79.694628571428566</v>
      </c>
      <c r="H30" s="10" t="s">
        <v>22</v>
      </c>
      <c r="I30" s="28">
        <f>SQRT(G30/50)</f>
        <v>1.2624945827323661</v>
      </c>
    </row>
    <row r="31" spans="1:12" ht="28.8" x14ac:dyDescent="0.3">
      <c r="A31" s="30">
        <v>34.700000000000003</v>
      </c>
      <c r="B31" s="4">
        <f t="shared" si="0"/>
        <v>8.8080000000000105</v>
      </c>
      <c r="C31" s="15">
        <f t="shared" si="1"/>
        <v>77.58086400000019</v>
      </c>
      <c r="F31" s="27" t="s">
        <v>34</v>
      </c>
      <c r="H31" s="21" t="s">
        <v>23</v>
      </c>
      <c r="I31" s="5">
        <f>2.0096*I30</f>
        <v>2.5371091134589627</v>
      </c>
    </row>
    <row r="32" spans="1:12" x14ac:dyDescent="0.3">
      <c r="A32" s="30">
        <v>15.9</v>
      </c>
      <c r="B32" s="4">
        <f t="shared" si="0"/>
        <v>-9.991999999999992</v>
      </c>
      <c r="C32" s="15">
        <f t="shared" si="1"/>
        <v>99.840063999999842</v>
      </c>
      <c r="F32" s="29">
        <v>0.1</v>
      </c>
      <c r="H32" s="21" t="s">
        <v>24</v>
      </c>
      <c r="I32" s="5">
        <f>SQRT(I31^2+(F32*2/3)^2)</f>
        <v>2.5379848498446496</v>
      </c>
    </row>
    <row r="33" spans="1:49" ht="15" thickBot="1" x14ac:dyDescent="0.35">
      <c r="A33" s="30">
        <v>11.9</v>
      </c>
      <c r="B33" s="4">
        <f t="shared" si="0"/>
        <v>-13.991999999999992</v>
      </c>
      <c r="C33" s="15">
        <f t="shared" si="1"/>
        <v>195.77606399999976</v>
      </c>
      <c r="H33" s="17" t="s">
        <v>25</v>
      </c>
      <c r="I33" s="22">
        <f>I32/G26</f>
        <v>9.8021970100596725E-2</v>
      </c>
    </row>
    <row r="34" spans="1:49" x14ac:dyDescent="0.3">
      <c r="A34" s="30">
        <v>21.3</v>
      </c>
      <c r="B34" s="4">
        <f t="shared" si="0"/>
        <v>-4.5919999999999916</v>
      </c>
      <c r="C34" s="15">
        <f t="shared" si="1"/>
        <v>21.086463999999925</v>
      </c>
    </row>
    <row r="35" spans="1:49" ht="21" x14ac:dyDescent="0.4">
      <c r="A35" s="30">
        <v>15.7</v>
      </c>
      <c r="B35" s="4">
        <f t="shared" si="0"/>
        <v>-10.191999999999993</v>
      </c>
      <c r="C35" s="15">
        <f t="shared" si="1"/>
        <v>103.87686399999986</v>
      </c>
      <c r="F35" s="53" t="s">
        <v>37</v>
      </c>
      <c r="G35" s="53"/>
    </row>
    <row r="36" spans="1:49" ht="15" thickBot="1" x14ac:dyDescent="0.35">
      <c r="A36" s="30">
        <v>31.7</v>
      </c>
      <c r="B36" s="4">
        <f t="shared" si="0"/>
        <v>5.8080000000000069</v>
      </c>
      <c r="C36" s="15">
        <f t="shared" si="1"/>
        <v>33.732864000000077</v>
      </c>
      <c r="F36" s="33" t="s">
        <v>26</v>
      </c>
    </row>
    <row r="37" spans="1:49" x14ac:dyDescent="0.3">
      <c r="A37" s="30">
        <v>36.6</v>
      </c>
      <c r="B37" s="4">
        <f t="shared" si="0"/>
        <v>10.708000000000009</v>
      </c>
      <c r="C37" s="15">
        <f t="shared" si="1"/>
        <v>114.66126400000019</v>
      </c>
      <c r="F37" s="34">
        <f>F2</f>
        <v>9.1</v>
      </c>
      <c r="G37" s="35">
        <f>F2</f>
        <v>9.1</v>
      </c>
      <c r="H37" s="35">
        <f>F3</f>
        <v>13.8</v>
      </c>
      <c r="I37" s="35">
        <f>F3</f>
        <v>13.8</v>
      </c>
      <c r="J37" s="35">
        <f>F3</f>
        <v>13.8</v>
      </c>
      <c r="K37" s="35">
        <f>F5</f>
        <v>18.5</v>
      </c>
      <c r="L37" s="35">
        <f>F5</f>
        <v>18.5</v>
      </c>
      <c r="M37" s="35">
        <f>F5</f>
        <v>18.5</v>
      </c>
      <c r="N37" s="35">
        <f>F7</f>
        <v>23.2</v>
      </c>
      <c r="O37" s="35">
        <f>F7</f>
        <v>23.2</v>
      </c>
      <c r="P37" s="35">
        <f>F7</f>
        <v>23.2</v>
      </c>
      <c r="Q37" s="35">
        <f>F9</f>
        <v>27.9</v>
      </c>
      <c r="R37" s="35">
        <f>F9</f>
        <v>27.9</v>
      </c>
      <c r="S37" s="35">
        <f>F9</f>
        <v>27.9</v>
      </c>
      <c r="T37" s="35">
        <f>F11</f>
        <v>32.6</v>
      </c>
      <c r="U37" s="35">
        <f>F11</f>
        <v>32.6</v>
      </c>
      <c r="V37" s="35">
        <f>F11</f>
        <v>32.6</v>
      </c>
      <c r="W37" s="35">
        <f>F13</f>
        <v>37.300000000000004</v>
      </c>
      <c r="X37" s="35">
        <f>F13</f>
        <v>37.300000000000004</v>
      </c>
      <c r="Y37" s="35">
        <f>F13</f>
        <v>37.300000000000004</v>
      </c>
      <c r="Z37" s="35">
        <f>F15</f>
        <v>42.000000000000007</v>
      </c>
      <c r="AA37" s="36">
        <f>F15</f>
        <v>42.000000000000007</v>
      </c>
    </row>
    <row r="38" spans="1:49" ht="15" thickBot="1" x14ac:dyDescent="0.35">
      <c r="A38" s="30">
        <v>26.6</v>
      </c>
      <c r="B38" s="4">
        <f t="shared" si="0"/>
        <v>0.70800000000000907</v>
      </c>
      <c r="C38" s="15">
        <f t="shared" si="1"/>
        <v>0.50126400000001281</v>
      </c>
      <c r="F38" s="17">
        <v>0</v>
      </c>
      <c r="G38" s="7">
        <f>H2</f>
        <v>2.1276595744680847E-2</v>
      </c>
      <c r="H38" s="7">
        <f>H2</f>
        <v>2.1276595744680847E-2</v>
      </c>
      <c r="I38" s="37">
        <v>0</v>
      </c>
      <c r="J38" s="7">
        <f>H4</f>
        <v>2.5531914893617023E-2</v>
      </c>
      <c r="K38" s="7">
        <f>H4</f>
        <v>2.5531914893617023E-2</v>
      </c>
      <c r="L38" s="37">
        <v>0</v>
      </c>
      <c r="M38" s="7">
        <f>H6</f>
        <v>3.4042553191489369E-2</v>
      </c>
      <c r="N38" s="7">
        <f>H6</f>
        <v>3.4042553191489369E-2</v>
      </c>
      <c r="O38" s="37">
        <v>0</v>
      </c>
      <c r="P38" s="7">
        <f>H8</f>
        <v>5.1063829787234047E-2</v>
      </c>
      <c r="Q38" s="7">
        <f>H8</f>
        <v>5.1063829787234047E-2</v>
      </c>
      <c r="R38" s="37">
        <v>0</v>
      </c>
      <c r="S38" s="7">
        <f>H10</f>
        <v>2.1276595744680837E-2</v>
      </c>
      <c r="T38" s="7">
        <f>H10</f>
        <v>2.1276595744680837E-2</v>
      </c>
      <c r="U38" s="37">
        <v>0</v>
      </c>
      <c r="V38" s="7">
        <f>H12</f>
        <v>3.4042553191489341E-2</v>
      </c>
      <c r="W38" s="7">
        <f>H12</f>
        <v>3.4042553191489341E-2</v>
      </c>
      <c r="X38" s="37">
        <v>0</v>
      </c>
      <c r="Y38" s="7">
        <f>H14</f>
        <v>2.5531914893617006E-2</v>
      </c>
      <c r="Z38" s="7">
        <f>H14</f>
        <v>2.5531914893617006E-2</v>
      </c>
      <c r="AA38" s="22">
        <v>0</v>
      </c>
    </row>
    <row r="39" spans="1:49" x14ac:dyDescent="0.3">
      <c r="A39" s="30">
        <v>25.7</v>
      </c>
      <c r="B39" s="4">
        <f t="shared" si="0"/>
        <v>-0.19199999999999307</v>
      </c>
      <c r="C39" s="15">
        <f t="shared" si="1"/>
        <v>3.6863999999997336E-2</v>
      </c>
    </row>
    <row r="40" spans="1:49" x14ac:dyDescent="0.3">
      <c r="A40" s="30">
        <v>35.4</v>
      </c>
      <c r="B40" s="4">
        <f t="shared" si="0"/>
        <v>9.5080000000000062</v>
      </c>
      <c r="C40" s="15">
        <f t="shared" si="1"/>
        <v>90.402064000000124</v>
      </c>
      <c r="F40" s="33" t="s">
        <v>27</v>
      </c>
      <c r="O40" s="52" t="s">
        <v>32</v>
      </c>
      <c r="P40" s="52"/>
      <c r="Q40" s="52"/>
      <c r="R40" s="52"/>
    </row>
    <row r="41" spans="1:49" ht="15" thickBot="1" x14ac:dyDescent="0.35">
      <c r="A41" s="30">
        <v>29.6</v>
      </c>
      <c r="B41" s="4">
        <f t="shared" si="0"/>
        <v>3.7080000000000091</v>
      </c>
      <c r="C41" s="15">
        <f t="shared" si="1"/>
        <v>13.749264000000068</v>
      </c>
      <c r="F41" s="32" t="s">
        <v>36</v>
      </c>
      <c r="O41" s="13" t="s">
        <v>33</v>
      </c>
      <c r="P41" s="13">
        <f>(F15-F2)/33</f>
        <v>0.99696969696969717</v>
      </c>
      <c r="Q41" s="32" t="s">
        <v>39</v>
      </c>
    </row>
    <row r="42" spans="1:49" x14ac:dyDescent="0.3">
      <c r="A42" s="30">
        <v>39.4</v>
      </c>
      <c r="B42" s="4">
        <f t="shared" si="0"/>
        <v>13.508000000000006</v>
      </c>
      <c r="C42" s="15">
        <f t="shared" si="1"/>
        <v>182.46606400000016</v>
      </c>
      <c r="F42" s="4">
        <f>(F2+F3)/2</f>
        <v>11.45</v>
      </c>
      <c r="G42" s="4">
        <f>(F4+F5)/2</f>
        <v>16.149999999999999</v>
      </c>
      <c r="H42" s="4">
        <f>(F6+F7)/2</f>
        <v>20.85</v>
      </c>
      <c r="I42" s="4">
        <f>(F8+F9)/2</f>
        <v>25.549999999999997</v>
      </c>
      <c r="J42" s="4"/>
      <c r="K42" s="4">
        <f>(F10+F11)/2</f>
        <v>30.25</v>
      </c>
      <c r="L42" s="4">
        <f>(F12+F13)/2</f>
        <v>34.950000000000003</v>
      </c>
      <c r="M42" s="4">
        <f>(F14+F15)/2</f>
        <v>39.650000000000006</v>
      </c>
      <c r="O42" s="38">
        <f>F2</f>
        <v>9.1</v>
      </c>
      <c r="P42" s="39">
        <f>O42+$P$41</f>
        <v>10.096969696969698</v>
      </c>
      <c r="Q42" s="39">
        <f t="shared" ref="Q42:AI42" si="22">P42+$P$41</f>
        <v>11.093939393939396</v>
      </c>
      <c r="R42" s="39">
        <f t="shared" si="22"/>
        <v>12.090909090909093</v>
      </c>
      <c r="S42" s="39">
        <f t="shared" si="22"/>
        <v>13.087878787878791</v>
      </c>
      <c r="T42" s="39">
        <f t="shared" si="22"/>
        <v>14.084848484848489</v>
      </c>
      <c r="U42" s="39">
        <f t="shared" si="22"/>
        <v>15.081818181818187</v>
      </c>
      <c r="V42" s="39">
        <f t="shared" si="22"/>
        <v>16.078787878787885</v>
      </c>
      <c r="W42" s="39">
        <f t="shared" si="22"/>
        <v>17.075757575757581</v>
      </c>
      <c r="X42" s="39">
        <f t="shared" si="22"/>
        <v>18.072727272727278</v>
      </c>
      <c r="Y42" s="39">
        <f t="shared" si="22"/>
        <v>19.069696969696974</v>
      </c>
      <c r="Z42" s="39">
        <f t="shared" si="22"/>
        <v>20.06666666666667</v>
      </c>
      <c r="AA42" s="39">
        <f t="shared" si="22"/>
        <v>21.063636363636366</v>
      </c>
      <c r="AB42" s="39">
        <f t="shared" si="22"/>
        <v>22.060606060606062</v>
      </c>
      <c r="AC42" s="39">
        <f t="shared" si="22"/>
        <v>23.057575757575759</v>
      </c>
      <c r="AD42" s="39">
        <f t="shared" si="22"/>
        <v>24.054545454545455</v>
      </c>
      <c r="AE42" s="39">
        <f t="shared" si="22"/>
        <v>25.051515151515151</v>
      </c>
      <c r="AF42" s="39">
        <f t="shared" si="22"/>
        <v>26.048484848484847</v>
      </c>
      <c r="AG42" s="39">
        <f t="shared" si="22"/>
        <v>27.045454545454543</v>
      </c>
      <c r="AH42" s="39">
        <f t="shared" si="22"/>
        <v>28.042424242424239</v>
      </c>
      <c r="AI42" s="39">
        <f t="shared" si="22"/>
        <v>29.039393939393936</v>
      </c>
      <c r="AJ42" s="39">
        <f t="shared" ref="AJ42" si="23">AI42+$P$41</f>
        <v>30.036363636363632</v>
      </c>
      <c r="AK42" s="39">
        <f t="shared" ref="AK42" si="24">AJ42+$P$41</f>
        <v>31.033333333333328</v>
      </c>
      <c r="AL42" s="39">
        <f t="shared" ref="AL42" si="25">AK42+$P$41</f>
        <v>32.030303030303024</v>
      </c>
      <c r="AM42" s="39">
        <f t="shared" ref="AM42" si="26">AL42+$P$41</f>
        <v>33.027272727272724</v>
      </c>
      <c r="AN42" s="39">
        <f t="shared" ref="AN42" si="27">AM42+$P$41</f>
        <v>34.024242424242424</v>
      </c>
      <c r="AO42" s="39">
        <f t="shared" ref="AO42" si="28">AN42+$P$41</f>
        <v>35.021212121212123</v>
      </c>
      <c r="AP42" s="39">
        <f t="shared" ref="AP42" si="29">AO42+$P$41</f>
        <v>36.018181818181823</v>
      </c>
      <c r="AQ42" s="39">
        <f t="shared" ref="AQ42" si="30">AP42+$P$41</f>
        <v>37.015151515151523</v>
      </c>
      <c r="AR42" s="39">
        <f t="shared" ref="AR42" si="31">AQ42+$P$41</f>
        <v>38.012121212121222</v>
      </c>
      <c r="AS42" s="39">
        <f t="shared" ref="AS42" si="32">AR42+$P$41</f>
        <v>39.009090909090922</v>
      </c>
      <c r="AT42" s="39">
        <f t="shared" ref="AT42" si="33">AS42+$P$41</f>
        <v>40.006060606060622</v>
      </c>
      <c r="AU42" s="39">
        <f t="shared" ref="AU42" si="34">AT42+$P$41</f>
        <v>41.003030303030322</v>
      </c>
      <c r="AV42" s="39">
        <f t="shared" ref="AV42" si="35">AU42+$P$41</f>
        <v>42.000000000000021</v>
      </c>
      <c r="AW42" s="28">
        <f t="shared" ref="AW42" si="36">AV42+$P$41</f>
        <v>42.996969696969721</v>
      </c>
    </row>
    <row r="43" spans="1:49" ht="15" thickBot="1" x14ac:dyDescent="0.35">
      <c r="A43" s="30">
        <v>14.8</v>
      </c>
      <c r="B43" s="4">
        <f t="shared" si="0"/>
        <v>-11.091999999999992</v>
      </c>
      <c r="C43" s="15">
        <f t="shared" si="1"/>
        <v>123.03246399999982</v>
      </c>
      <c r="F43" s="25">
        <f>J2+0.001</f>
        <v>1.3075150260781168E-2</v>
      </c>
      <c r="G43" s="25">
        <f>J4+0.0015</f>
        <v>2.6137674409137848E-2</v>
      </c>
      <c r="H43" s="25">
        <f>J6+0.001</f>
        <v>3.9100248797238966E-2</v>
      </c>
      <c r="I43" s="25">
        <f>J8</f>
        <v>4.4655694058200517E-2</v>
      </c>
      <c r="J43" s="25"/>
      <c r="K43" s="25">
        <f>J10-0.001</f>
        <v>3.8668594014767681E-2</v>
      </c>
      <c r="L43" s="25">
        <f>J12-0.0015</f>
        <v>2.5207774712704214E-2</v>
      </c>
      <c r="M43" s="25">
        <f>J14-0.001</f>
        <v>1.2628546256124386E-2</v>
      </c>
      <c r="O43" s="17">
        <f>(1/($G$28*SQRT(2*PI())))*EXP(-(POWER((O42+P42)/2-$G$26,2))/(2*POWER($G$28,2)))</f>
        <v>8.4495767078141722E-3</v>
      </c>
      <c r="P43" s="37">
        <f t="shared" ref="P43:X43" si="37">(1/($G$28*SQRT(2*PI())))*EXP(-(POWER((P42+Q42)/2-$G$26,2))/(2*POWER($G$28,2)))</f>
        <v>1.0295533623569164E-2</v>
      </c>
      <c r="Q43" s="37">
        <f t="shared" si="37"/>
        <v>1.2389285592621447E-2</v>
      </c>
      <c r="R43" s="37">
        <f t="shared" si="37"/>
        <v>1.4724045873483622E-2</v>
      </c>
      <c r="S43" s="37">
        <f t="shared" si="37"/>
        <v>1.728190263802656E-2</v>
      </c>
      <c r="T43" s="37">
        <f t="shared" si="37"/>
        <v>2.0032697864879424E-2</v>
      </c>
      <c r="U43" s="37">
        <f t="shared" si="37"/>
        <v>2.2933525497079117E-2</v>
      </c>
      <c r="V43" s="37">
        <f t="shared" si="37"/>
        <v>2.5928995882639611E-2</v>
      </c>
      <c r="W43" s="37">
        <f t="shared" si="37"/>
        <v>2.8952366623834037E-2</v>
      </c>
      <c r="X43" s="37">
        <f t="shared" si="37"/>
        <v>3.1927575099075789E-2</v>
      </c>
      <c r="Y43" s="37">
        <f>(1/($G$28*SQRT(2*PI())))*EXP(-(POWER((Y42+Z42)/2-$G$26,2))/(2*POWER($G$28,2)))</f>
        <v>3.4772130050444577E-2</v>
      </c>
      <c r="Z43" s="37">
        <f t="shared" ref="Z43" si="38">(1/($G$28*SQRT(2*PI())))*EXP(-(POWER((Z42+AA42)/2-$G$26,2))/(2*POWER($G$28,2)))</f>
        <v>3.7400736119348597E-2</v>
      </c>
      <c r="AA43" s="37">
        <f t="shared" ref="AA43" si="39">(1/($G$28*SQRT(2*PI())))*EXP(-(POWER((AA42+AB42)/2-$G$26,2))/(2*POWER($G$28,2)))</f>
        <v>3.9729445115573581E-2</v>
      </c>
      <c r="AB43" s="37">
        <f t="shared" ref="AB43" si="40">(1/($G$28*SQRT(2*PI())))*EXP(-(POWER((AB42+AC42)/2-$G$26,2))/(2*POWER($G$28,2)))</f>
        <v>4.1680060778005908E-2</v>
      </c>
      <c r="AC43" s="37">
        <f t="shared" ref="AC43" si="41">(1/($G$28*SQRT(2*PI())))*EXP(-(POWER((AC42+AD42)/2-$G$26,2))/(2*POWER($G$28,2)))</f>
        <v>4.3184478792285277E-2</v>
      </c>
      <c r="AD43" s="37">
        <f t="shared" ref="AD43" si="42">(1/($G$28*SQRT(2*PI())))*EXP(-(POWER((AD42+AE42)/2-$G$26,2))/(2*POWER($G$28,2)))</f>
        <v>4.4188627819278535E-2</v>
      </c>
      <c r="AE43" s="37">
        <f t="shared" ref="AE43" si="43">(1/($G$28*SQRT(2*PI())))*EXP(-(POWER((AE42+AF42)/2-$G$26,2))/(2*POWER($G$28,2)))</f>
        <v>4.4655694058200517E-2</v>
      </c>
      <c r="AF43" s="37">
        <f t="shared" ref="AF43" si="44">(1/($G$28*SQRT(2*PI())))*EXP(-(POWER((AF42+AG42)/2-$G$26,2))/(2*POWER($G$28,2)))</f>
        <v>4.456836133040476E-2</v>
      </c>
      <c r="AG43" s="37">
        <f>(1/($G$28*SQRT(2*PI())))*EXP(-(POWER((AG42+AH42)/2-$G$26,2))/(2*POWER($G$28,2)))</f>
        <v>4.3929876644952272E-2</v>
      </c>
      <c r="AH43" s="37">
        <f t="shared" ref="AH43" si="45">(1/($G$28*SQRT(2*PI())))*EXP(-(POWER((AH42+AI42)/2-$G$26,2))/(2*POWER($G$28,2)))</f>
        <v>4.2763849824827047E-2</v>
      </c>
      <c r="AI43" s="37">
        <f t="shared" ref="AI43" si="46">(1/($G$28*SQRT(2*PI())))*EXP(-(POWER((AI42+AJ42)/2-$G$26,2))/(2*POWER($G$28,2)))</f>
        <v>4.1112804433628782E-2</v>
      </c>
      <c r="AJ43" s="37">
        <f t="shared" ref="AJ43" si="47">(1/($G$28*SQRT(2*PI())))*EXP(-(POWER((AJ42+AK42)/2-$G$26,2))/(2*POWER($G$28,2)))</f>
        <v>3.9035604004291381E-2</v>
      </c>
      <c r="AK43" s="37">
        <f t="shared" ref="AK43" si="48">(1/($G$28*SQRT(2*PI())))*EXP(-(POWER((AK42+AL42)/2-$G$26,2))/(2*POWER($G$28,2)))</f>
        <v>3.6603970746085228E-2</v>
      </c>
      <c r="AL43" s="37">
        <f t="shared" ref="AL43" si="49">(1/($G$28*SQRT(2*PI())))*EXP(-(POWER((AL42+AM42)/2-$G$26,2))/(2*POWER($G$28,2)))</f>
        <v>3.3898383618230728E-2</v>
      </c>
      <c r="AM43" s="37">
        <f t="shared" ref="AM43" si="50">(1/($G$28*SQRT(2*PI())))*EXP(-(POWER((AM42+AN42)/2-$G$26,2))/(2*POWER($G$28,2)))</f>
        <v>3.1003682117377859E-2</v>
      </c>
      <c r="AN43" s="37">
        <f t="shared" ref="AN43" si="51">(1/($G$28*SQRT(2*PI())))*EXP(-(POWER((AN42+AO42)/2-$G$26,2))/(2*POWER($G$28,2)))</f>
        <v>2.8004708422173331E-2</v>
      </c>
      <c r="AO43" s="37">
        <f t="shared" ref="AO43" si="52">(1/($G$28*SQRT(2*PI())))*EXP(-(POWER((AO42+AP42)/2-$G$26,2))/(2*POWER($G$28,2)))</f>
        <v>2.4982294852099504E-2</v>
      </c>
      <c r="AP43" s="37">
        <f t="shared" ref="AP43" si="53">(1/($G$28*SQRT(2*PI())))*EXP(-(POWER((AP42+AQ42)/2-$G$26,2))/(2*POWER($G$28,2)))</f>
        <v>2.2009850819407827E-2</v>
      </c>
      <c r="AQ43" s="37">
        <f>(1/($G$28*SQRT(2*PI())))*EXP(-(POWER((AQ42+AR42)/2-$G$26,2))/(2*POWER($G$28,2)))</f>
        <v>1.9150731298064338E-2</v>
      </c>
      <c r="AR43" s="37">
        <f t="shared" ref="AR43" si="54">(1/($G$28*SQRT(2*PI())))*EXP(-(POWER((AR42+AS42)/2-$G$26,2))/(2*POWER($G$28,2)))</f>
        <v>1.6456486628929023E-2</v>
      </c>
      <c r="AS43" s="37">
        <f t="shared" ref="AS43" si="55">(1/($G$28*SQRT(2*PI())))*EXP(-(POWER((AS42+AT42)/2-$G$26,2))/(2*POWER($G$28,2)))</f>
        <v>1.3966010826139416E-2</v>
      </c>
      <c r="AT43" s="37">
        <f t="shared" ref="AT43" si="56">(1/($G$28*SQRT(2*PI())))*EXP(-(POWER((AT42+AU42)/2-$G$26,2))/(2*POWER($G$28,2)))</f>
        <v>1.1705531071981924E-2</v>
      </c>
      <c r="AU43" s="37">
        <f t="shared" ref="AU43:AV43" si="57">(1/($G$28*SQRT(2*PI())))*EXP(-(POWER((AU42+AV42)/2-$G$26,2))/(2*POWER($G$28,2)))</f>
        <v>9.6893214582586019E-3</v>
      </c>
      <c r="AV43" s="37">
        <f t="shared" si="57"/>
        <v>7.9209833718903253E-3</v>
      </c>
      <c r="AW43" s="22"/>
    </row>
    <row r="44" spans="1:49" x14ac:dyDescent="0.3">
      <c r="A44" s="30">
        <v>23.8</v>
      </c>
      <c r="B44" s="4">
        <f t="shared" si="0"/>
        <v>-2.0919999999999916</v>
      </c>
      <c r="C44" s="15">
        <f t="shared" si="1"/>
        <v>4.3764639999999648</v>
      </c>
    </row>
    <row r="45" spans="1:49" x14ac:dyDescent="0.3">
      <c r="A45" s="30">
        <v>30.6</v>
      </c>
      <c r="B45" s="4">
        <f t="shared" si="0"/>
        <v>4.7080000000000091</v>
      </c>
      <c r="C45" s="15">
        <f t="shared" si="1"/>
        <v>22.165264000000086</v>
      </c>
      <c r="F45" s="32" t="s">
        <v>38</v>
      </c>
    </row>
    <row r="46" spans="1:49" x14ac:dyDescent="0.3">
      <c r="A46" s="30">
        <v>34.6</v>
      </c>
      <c r="B46" s="4">
        <f t="shared" si="0"/>
        <v>8.7080000000000091</v>
      </c>
      <c r="C46" s="15">
        <f t="shared" si="1"/>
        <v>75.829264000000151</v>
      </c>
    </row>
    <row r="47" spans="1:49" x14ac:dyDescent="0.3">
      <c r="A47" s="30">
        <v>12.5</v>
      </c>
      <c r="B47" s="4">
        <f t="shared" si="0"/>
        <v>-13.391999999999992</v>
      </c>
      <c r="C47" s="15">
        <f t="shared" si="1"/>
        <v>179.3456639999998</v>
      </c>
    </row>
    <row r="48" spans="1:49" x14ac:dyDescent="0.3">
      <c r="A48" s="30">
        <v>20.6</v>
      </c>
      <c r="B48" s="4">
        <f t="shared" si="0"/>
        <v>-5.2919999999999909</v>
      </c>
      <c r="C48" s="15">
        <f t="shared" si="1"/>
        <v>28.005263999999904</v>
      </c>
    </row>
    <row r="49" spans="1:3" x14ac:dyDescent="0.3">
      <c r="A49" s="30">
        <v>14.8</v>
      </c>
      <c r="B49" s="4">
        <f t="shared" si="0"/>
        <v>-11.091999999999992</v>
      </c>
      <c r="C49" s="15">
        <f t="shared" si="1"/>
        <v>123.03246399999982</v>
      </c>
    </row>
    <row r="50" spans="1:3" x14ac:dyDescent="0.3">
      <c r="A50" s="30">
        <v>12.8</v>
      </c>
      <c r="B50" s="4">
        <f t="shared" si="0"/>
        <v>-13.091999999999992</v>
      </c>
      <c r="C50" s="15">
        <f t="shared" si="1"/>
        <v>171.40046399999977</v>
      </c>
    </row>
    <row r="51" spans="1:3" ht="15" thickBot="1" x14ac:dyDescent="0.35">
      <c r="A51" s="31">
        <v>37.5</v>
      </c>
      <c r="B51" s="8">
        <f t="shared" si="0"/>
        <v>11.608000000000008</v>
      </c>
      <c r="C51" s="20">
        <f t="shared" si="1"/>
        <v>134.74566400000018</v>
      </c>
    </row>
    <row r="53" spans="1:3" x14ac:dyDescent="0.3">
      <c r="A53" s="26" t="s">
        <v>31</v>
      </c>
    </row>
    <row r="54" spans="1:3" x14ac:dyDescent="0.3">
      <c r="A54" s="13">
        <f>SUM(A2:A51)</f>
        <v>1294.5999999999997</v>
      </c>
      <c r="B54" s="4"/>
    </row>
    <row r="55" spans="1:3" x14ac:dyDescent="0.3">
      <c r="B55" s="4" t="s">
        <v>28</v>
      </c>
    </row>
    <row r="56" spans="1:3" x14ac:dyDescent="0.3">
      <c r="B56" s="26" t="s">
        <v>30</v>
      </c>
    </row>
    <row r="57" spans="1:3" x14ac:dyDescent="0.3">
      <c r="B57" s="13">
        <f>MAX(A2:A51)</f>
        <v>42</v>
      </c>
    </row>
    <row r="58" spans="1:3" x14ac:dyDescent="0.3">
      <c r="B58" s="26" t="s">
        <v>29</v>
      </c>
    </row>
    <row r="59" spans="1:3" x14ac:dyDescent="0.3">
      <c r="B59" s="13">
        <f>MIN(A2:A51)</f>
        <v>9.1</v>
      </c>
    </row>
  </sheetData>
  <mergeCells count="34">
    <mergeCell ref="O40:R40"/>
    <mergeCell ref="F35:G35"/>
    <mergeCell ref="G2:G3"/>
    <mergeCell ref="H2:H3"/>
    <mergeCell ref="I2:I3"/>
    <mergeCell ref="J2:J3"/>
    <mergeCell ref="G4:G5"/>
    <mergeCell ref="H4:H5"/>
    <mergeCell ref="I4:I5"/>
    <mergeCell ref="J4:J5"/>
    <mergeCell ref="G6:G7"/>
    <mergeCell ref="H6:H7"/>
    <mergeCell ref="I6:I7"/>
    <mergeCell ref="J6:J7"/>
    <mergeCell ref="G8:G9"/>
    <mergeCell ref="H8:H9"/>
    <mergeCell ref="I8:I9"/>
    <mergeCell ref="J8:J9"/>
    <mergeCell ref="G10:G11"/>
    <mergeCell ref="H10:H11"/>
    <mergeCell ref="I10:I11"/>
    <mergeCell ref="J10:J11"/>
    <mergeCell ref="G16:G17"/>
    <mergeCell ref="H16:H17"/>
    <mergeCell ref="I16:I17"/>
    <mergeCell ref="J16:J17"/>
    <mergeCell ref="G12:G13"/>
    <mergeCell ref="H12:H13"/>
    <mergeCell ref="I12:I13"/>
    <mergeCell ref="J12:J13"/>
    <mergeCell ref="G14:G15"/>
    <mergeCell ref="H14:H15"/>
    <mergeCell ref="I14:I15"/>
    <mergeCell ref="J14:J15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Вячеслав Петров</dc:creator>
  <cp:lastModifiedBy>Вячеслав Петров</cp:lastModifiedBy>
  <dcterms:created xsi:type="dcterms:W3CDTF">2024-09-28T14:30:12Z</dcterms:created>
  <dcterms:modified xsi:type="dcterms:W3CDTF">2024-10-01T17:31:16Z</dcterms:modified>
</cp:coreProperties>
</file>