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"/>
    </mc:Choice>
  </mc:AlternateContent>
  <xr:revisionPtr revIDLastSave="0" documentId="13_ncr:1_{AF47FD52-FAAB-41FD-AC0E-DB23F545A668}" xr6:coauthVersionLast="45" xr6:coauthVersionMax="45" xr10:uidLastSave="{00000000-0000-0000-0000-000000000000}"/>
  <bookViews>
    <workbookView xWindow="-120" yWindow="-120" windowWidth="29040" windowHeight="15840" tabRatio="802" firstSheet="2" activeTab="13" xr2:uid="{0E79FF56-38B2-4109-BFC2-5C245176024F}"/>
  </bookViews>
  <sheets>
    <sheet name="napoveda" sheetId="8" state="hidden" r:id="rId1"/>
    <sheet name="datumy" sheetId="27" r:id="rId2"/>
    <sheet name="employee" sheetId="25" r:id="rId3"/>
    <sheet name="data-2019" sheetId="2" r:id="rId4"/>
    <sheet name="data-2020" sheetId="26" r:id="rId5"/>
    <sheet name="cviceni" sheetId="28" r:id="rId6"/>
    <sheet name="ukol" sheetId="29" r:id="rId7"/>
    <sheet name="tabulky" sheetId="30" r:id="rId8"/>
    <sheet name="tabulky cviceni" sheetId="32" r:id="rId9"/>
    <sheet name="pivot1" sheetId="48" r:id="rId10"/>
    <sheet name="sales" sheetId="33" r:id="rId11"/>
    <sheet name="sales plans" sheetId="37" r:id="rId12"/>
    <sheet name="analysis" sheetId="39" r:id="rId13"/>
    <sheet name="cviceni2" sheetId="49" r:id="rId14"/>
  </sheets>
  <externalReferences>
    <externalReference r:id="rId15"/>
  </externalReferences>
  <definedNames>
    <definedName name="_xlcn.WorksheetConnection_JTI20201102.xlsxplan1" hidden="1">plan[]</definedName>
    <definedName name="_xlcn.WorksheetConnection_JTI20201102.xlsxprodeje1" hidden="1">prodeje[]</definedName>
    <definedName name="bh_family" localSheetId="4">'data-2020'!$F$11:$F$28</definedName>
    <definedName name="bh_family">'data-2019'!$G$11:$G$28</definedName>
  </definedNames>
  <calcPr calcId="191029"/>
  <pivotCaches>
    <pivotCache cacheId="0" r:id="rId1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eje" name="prodeje" connection="WorksheetConnection_JTI - 20201102.xlsx!prodeje"/>
          <x15:modelTable id="plan" name="plan" connection="WorksheetConnection_JTI - 20201102.xlsx!pl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33" l="1"/>
  <c r="P3" i="33"/>
  <c r="P4" i="33"/>
  <c r="P5" i="33"/>
  <c r="P6" i="33"/>
  <c r="P7" i="33"/>
  <c r="P8" i="33"/>
  <c r="P9" i="33"/>
  <c r="P10" i="33"/>
  <c r="P11" i="33"/>
  <c r="P12" i="33"/>
  <c r="Q12" i="33" s="1"/>
  <c r="P13" i="33"/>
  <c r="P14" i="33"/>
  <c r="P15" i="33"/>
  <c r="P16" i="33"/>
  <c r="P17" i="33"/>
  <c r="P18" i="33"/>
  <c r="P19" i="33"/>
  <c r="P20" i="33"/>
  <c r="P21" i="33"/>
  <c r="P22" i="33"/>
  <c r="P23" i="33"/>
  <c r="P24" i="33"/>
  <c r="P25" i="33"/>
  <c r="P26" i="33"/>
  <c r="P27" i="33"/>
  <c r="P28" i="33"/>
  <c r="P29" i="33"/>
  <c r="P30" i="33"/>
  <c r="P31" i="33"/>
  <c r="P32" i="33"/>
  <c r="P33" i="33"/>
  <c r="P34" i="33"/>
  <c r="P35" i="33"/>
  <c r="P36" i="33"/>
  <c r="P37" i="33"/>
  <c r="P38" i="33"/>
  <c r="P39" i="33"/>
  <c r="P40" i="33"/>
  <c r="P41" i="33"/>
  <c r="P42" i="33"/>
  <c r="P43" i="33"/>
  <c r="P44" i="33"/>
  <c r="P45" i="33"/>
  <c r="P46" i="33"/>
  <c r="P47" i="33"/>
  <c r="P48" i="33"/>
  <c r="P49" i="33"/>
  <c r="P50" i="33"/>
  <c r="P51" i="33"/>
  <c r="P52" i="33"/>
  <c r="P53" i="33"/>
  <c r="P54" i="33"/>
  <c r="P55" i="33"/>
  <c r="P56" i="33"/>
  <c r="P57" i="33"/>
  <c r="P58" i="33"/>
  <c r="P59" i="33"/>
  <c r="P60" i="33"/>
  <c r="P61" i="33"/>
  <c r="P62" i="33"/>
  <c r="P63" i="33"/>
  <c r="P64" i="33"/>
  <c r="P65" i="33"/>
  <c r="P66" i="33"/>
  <c r="P67" i="33"/>
  <c r="P68" i="33"/>
  <c r="P69" i="33"/>
  <c r="P70" i="33"/>
  <c r="P71" i="33"/>
  <c r="P72" i="33"/>
  <c r="P73" i="33"/>
  <c r="P74" i="33"/>
  <c r="P75" i="33"/>
  <c r="P76" i="33"/>
  <c r="P77" i="33"/>
  <c r="Q65" i="33"/>
  <c r="J59" i="33"/>
  <c r="Q59" i="33" s="1"/>
  <c r="J60" i="33"/>
  <c r="Q60" i="33" s="1"/>
  <c r="J61" i="33"/>
  <c r="Q61" i="33" s="1"/>
  <c r="J62" i="33"/>
  <c r="Q62" i="33" s="1"/>
  <c r="J63" i="33"/>
  <c r="Q63" i="33" s="1"/>
  <c r="J64" i="33"/>
  <c r="Q64" i="33" s="1"/>
  <c r="J65" i="33"/>
  <c r="J66" i="33"/>
  <c r="J67" i="33"/>
  <c r="Q67" i="33" s="1"/>
  <c r="J68" i="33"/>
  <c r="Q68" i="33" s="1"/>
  <c r="J69" i="33"/>
  <c r="Q69" i="33" s="1"/>
  <c r="J70" i="33"/>
  <c r="Q70" i="33" s="1"/>
  <c r="J71" i="33"/>
  <c r="Q71" i="33" s="1"/>
  <c r="J72" i="33"/>
  <c r="Q72" i="33" s="1"/>
  <c r="J73" i="33"/>
  <c r="Q73" i="33" s="1"/>
  <c r="J74" i="33"/>
  <c r="Q74" i="33" s="1"/>
  <c r="J75" i="33"/>
  <c r="Q75" i="33" s="1"/>
  <c r="J76" i="33"/>
  <c r="Q76" i="33" s="1"/>
  <c r="J77" i="33"/>
  <c r="Q77" i="33" s="1"/>
  <c r="K59" i="33"/>
  <c r="K60" i="33"/>
  <c r="K61" i="33"/>
  <c r="K62" i="33"/>
  <c r="K63" i="33"/>
  <c r="K64" i="33"/>
  <c r="K65" i="33"/>
  <c r="K66" i="33"/>
  <c r="K67" i="33"/>
  <c r="K68" i="33"/>
  <c r="K69" i="33"/>
  <c r="K70" i="33"/>
  <c r="K71" i="33"/>
  <c r="K72" i="33"/>
  <c r="K73" i="33"/>
  <c r="K74" i="33"/>
  <c r="K75" i="33"/>
  <c r="K76" i="33"/>
  <c r="K77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M59" i="33"/>
  <c r="M60" i="33"/>
  <c r="M61" i="33"/>
  <c r="M62" i="33"/>
  <c r="M63" i="33"/>
  <c r="M64" i="33"/>
  <c r="M65" i="33"/>
  <c r="M66" i="33"/>
  <c r="M67" i="33"/>
  <c r="M68" i="33"/>
  <c r="M69" i="33"/>
  <c r="M70" i="33"/>
  <c r="M71" i="33"/>
  <c r="M72" i="33"/>
  <c r="M73" i="33"/>
  <c r="M74" i="33"/>
  <c r="M75" i="33"/>
  <c r="M76" i="33"/>
  <c r="M77" i="33"/>
  <c r="N59" i="33"/>
  <c r="N60" i="33"/>
  <c r="N61" i="33"/>
  <c r="N62" i="33"/>
  <c r="N63" i="33"/>
  <c r="N64" i="33"/>
  <c r="N65" i="33"/>
  <c r="N66" i="33"/>
  <c r="N67" i="33"/>
  <c r="N68" i="33"/>
  <c r="N69" i="33"/>
  <c r="N70" i="33"/>
  <c r="N71" i="33"/>
  <c r="N72" i="33"/>
  <c r="N73" i="33"/>
  <c r="N74" i="33"/>
  <c r="N75" i="33"/>
  <c r="N76" i="33"/>
  <c r="N77" i="33"/>
  <c r="O59" i="33"/>
  <c r="O60" i="33"/>
  <c r="O61" i="33"/>
  <c r="O62" i="33"/>
  <c r="O63" i="33"/>
  <c r="O64" i="33"/>
  <c r="O65" i="33"/>
  <c r="O66" i="33"/>
  <c r="O67" i="33"/>
  <c r="O68" i="33"/>
  <c r="O69" i="33"/>
  <c r="O70" i="33"/>
  <c r="O71" i="33"/>
  <c r="O72" i="33"/>
  <c r="O73" i="33"/>
  <c r="O74" i="33"/>
  <c r="O75" i="33"/>
  <c r="O76" i="33"/>
  <c r="O77" i="33"/>
  <c r="K23" i="33"/>
  <c r="L23" i="33"/>
  <c r="M23" i="33"/>
  <c r="N23" i="33"/>
  <c r="O23" i="33"/>
  <c r="K3" i="33"/>
  <c r="L3" i="33"/>
  <c r="M3" i="33"/>
  <c r="N3" i="33"/>
  <c r="O3" i="33"/>
  <c r="K41" i="33"/>
  <c r="L41" i="33"/>
  <c r="M41" i="33"/>
  <c r="N41" i="33"/>
  <c r="O41" i="33"/>
  <c r="K24" i="33"/>
  <c r="L24" i="33"/>
  <c r="M24" i="33"/>
  <c r="N24" i="33"/>
  <c r="O24" i="33"/>
  <c r="K2" i="33"/>
  <c r="L2" i="33"/>
  <c r="M2" i="33"/>
  <c r="N2" i="33"/>
  <c r="O2" i="33"/>
  <c r="K45" i="33"/>
  <c r="L45" i="33"/>
  <c r="M45" i="33"/>
  <c r="N45" i="33"/>
  <c r="O45" i="33"/>
  <c r="K22" i="33"/>
  <c r="L22" i="33"/>
  <c r="M22" i="33"/>
  <c r="N22" i="33"/>
  <c r="O22" i="33"/>
  <c r="K4" i="33"/>
  <c r="L4" i="33"/>
  <c r="M4" i="33"/>
  <c r="N4" i="33"/>
  <c r="O4" i="33"/>
  <c r="K46" i="33"/>
  <c r="L46" i="33"/>
  <c r="M46" i="33"/>
  <c r="N46" i="33"/>
  <c r="O46" i="33"/>
  <c r="K25" i="33"/>
  <c r="L25" i="33"/>
  <c r="M25" i="33"/>
  <c r="N25" i="33"/>
  <c r="O25" i="33"/>
  <c r="K5" i="33"/>
  <c r="L5" i="33"/>
  <c r="M5" i="33"/>
  <c r="N5" i="33"/>
  <c r="O5" i="33"/>
  <c r="K40" i="33"/>
  <c r="L40" i="33"/>
  <c r="M40" i="33"/>
  <c r="N40" i="33"/>
  <c r="O40" i="33"/>
  <c r="K21" i="33"/>
  <c r="L21" i="33"/>
  <c r="M21" i="33"/>
  <c r="N21" i="33"/>
  <c r="O21" i="33"/>
  <c r="K6" i="33"/>
  <c r="L6" i="33"/>
  <c r="M6" i="33"/>
  <c r="N6" i="33"/>
  <c r="O6" i="33"/>
  <c r="K47" i="33"/>
  <c r="L47" i="33"/>
  <c r="M47" i="33"/>
  <c r="N47" i="33"/>
  <c r="O47" i="33"/>
  <c r="K26" i="33"/>
  <c r="L26" i="33"/>
  <c r="M26" i="33"/>
  <c r="N26" i="33"/>
  <c r="O26" i="33"/>
  <c r="K7" i="33"/>
  <c r="L7" i="33"/>
  <c r="M7" i="33"/>
  <c r="N7" i="33"/>
  <c r="O7" i="33"/>
  <c r="K48" i="33"/>
  <c r="L48" i="33"/>
  <c r="M48" i="33"/>
  <c r="N48" i="33"/>
  <c r="O48" i="33"/>
  <c r="K27" i="33"/>
  <c r="L27" i="33"/>
  <c r="M27" i="33"/>
  <c r="N27" i="33"/>
  <c r="O27" i="33"/>
  <c r="K8" i="33"/>
  <c r="L8" i="33"/>
  <c r="M8" i="33"/>
  <c r="N8" i="33"/>
  <c r="O8" i="33"/>
  <c r="K49" i="33"/>
  <c r="L49" i="33"/>
  <c r="M49" i="33"/>
  <c r="N49" i="33"/>
  <c r="O49" i="33"/>
  <c r="K28" i="33"/>
  <c r="L28" i="33"/>
  <c r="M28" i="33"/>
  <c r="N28" i="33"/>
  <c r="O28" i="33"/>
  <c r="K9" i="33"/>
  <c r="L9" i="33"/>
  <c r="M9" i="33"/>
  <c r="N9" i="33"/>
  <c r="O9" i="33"/>
  <c r="K42" i="33"/>
  <c r="L42" i="33"/>
  <c r="M42" i="33"/>
  <c r="N42" i="33"/>
  <c r="O42" i="33"/>
  <c r="K29" i="33"/>
  <c r="L29" i="33"/>
  <c r="M29" i="33"/>
  <c r="N29" i="33"/>
  <c r="O29" i="33"/>
  <c r="K10" i="33"/>
  <c r="L10" i="33"/>
  <c r="M10" i="33"/>
  <c r="N10" i="33"/>
  <c r="O10" i="33"/>
  <c r="K50" i="33"/>
  <c r="L50" i="33"/>
  <c r="M50" i="33"/>
  <c r="N50" i="33"/>
  <c r="O50" i="33"/>
  <c r="K30" i="33"/>
  <c r="L30" i="33"/>
  <c r="M30" i="33"/>
  <c r="N30" i="33"/>
  <c r="O30" i="33"/>
  <c r="K11" i="33"/>
  <c r="L11" i="33"/>
  <c r="M11" i="33"/>
  <c r="N11" i="33"/>
  <c r="O11" i="33"/>
  <c r="K51" i="33"/>
  <c r="L51" i="33"/>
  <c r="M51" i="33"/>
  <c r="N51" i="33"/>
  <c r="O51" i="33"/>
  <c r="K31" i="33"/>
  <c r="L31" i="33"/>
  <c r="M31" i="33"/>
  <c r="N31" i="33"/>
  <c r="O31" i="33"/>
  <c r="K12" i="33"/>
  <c r="L12" i="33"/>
  <c r="M12" i="33"/>
  <c r="N12" i="33"/>
  <c r="O12" i="33"/>
  <c r="K52" i="33"/>
  <c r="L52" i="33"/>
  <c r="M52" i="33"/>
  <c r="N52" i="33"/>
  <c r="O52" i="33"/>
  <c r="K32" i="33"/>
  <c r="L32" i="33"/>
  <c r="M32" i="33"/>
  <c r="N32" i="33"/>
  <c r="O32" i="33"/>
  <c r="K13" i="33"/>
  <c r="L13" i="33"/>
  <c r="M13" i="33"/>
  <c r="N13" i="33"/>
  <c r="O13" i="33"/>
  <c r="K53" i="33"/>
  <c r="L53" i="33"/>
  <c r="M53" i="33"/>
  <c r="N53" i="33"/>
  <c r="O53" i="33"/>
  <c r="K33" i="33"/>
  <c r="L33" i="33"/>
  <c r="M33" i="33"/>
  <c r="N33" i="33"/>
  <c r="O33" i="33"/>
  <c r="K14" i="33"/>
  <c r="L14" i="33"/>
  <c r="M14" i="33"/>
  <c r="N14" i="33"/>
  <c r="O14" i="33"/>
  <c r="K54" i="33"/>
  <c r="L54" i="33"/>
  <c r="M54" i="33"/>
  <c r="N54" i="33"/>
  <c r="O54" i="33"/>
  <c r="K34" i="33"/>
  <c r="L34" i="33"/>
  <c r="M34" i="33"/>
  <c r="N34" i="33"/>
  <c r="O34" i="33"/>
  <c r="K15" i="33"/>
  <c r="L15" i="33"/>
  <c r="M15" i="33"/>
  <c r="N15" i="33"/>
  <c r="O15" i="33"/>
  <c r="K55" i="33"/>
  <c r="L55" i="33"/>
  <c r="M55" i="33"/>
  <c r="N55" i="33"/>
  <c r="O55" i="33"/>
  <c r="K35" i="33"/>
  <c r="L35" i="33"/>
  <c r="M35" i="33"/>
  <c r="N35" i="33"/>
  <c r="O35" i="33"/>
  <c r="K16" i="33"/>
  <c r="L16" i="33"/>
  <c r="M16" i="33"/>
  <c r="N16" i="33"/>
  <c r="O16" i="33"/>
  <c r="K56" i="33"/>
  <c r="L56" i="33"/>
  <c r="M56" i="33"/>
  <c r="N56" i="33"/>
  <c r="O56" i="33"/>
  <c r="K36" i="33"/>
  <c r="L36" i="33"/>
  <c r="M36" i="33"/>
  <c r="N36" i="33"/>
  <c r="O36" i="33"/>
  <c r="K17" i="33"/>
  <c r="L17" i="33"/>
  <c r="M17" i="33"/>
  <c r="N17" i="33"/>
  <c r="O17" i="33"/>
  <c r="K57" i="33"/>
  <c r="L57" i="33"/>
  <c r="M57" i="33"/>
  <c r="N57" i="33"/>
  <c r="O57" i="33"/>
  <c r="K37" i="33"/>
  <c r="L37" i="33"/>
  <c r="M37" i="33"/>
  <c r="N37" i="33"/>
  <c r="O37" i="33"/>
  <c r="K18" i="33"/>
  <c r="L18" i="33"/>
  <c r="M18" i="33"/>
  <c r="N18" i="33"/>
  <c r="O18" i="33"/>
  <c r="K43" i="33"/>
  <c r="L43" i="33"/>
  <c r="M43" i="33"/>
  <c r="N43" i="33"/>
  <c r="O43" i="33"/>
  <c r="K58" i="33"/>
  <c r="L58" i="33"/>
  <c r="M58" i="33"/>
  <c r="N58" i="33"/>
  <c r="O58" i="33"/>
  <c r="K38" i="33"/>
  <c r="L38" i="33"/>
  <c r="M38" i="33"/>
  <c r="N38" i="33"/>
  <c r="O38" i="33"/>
  <c r="K39" i="33"/>
  <c r="L39" i="33"/>
  <c r="M39" i="33"/>
  <c r="N39" i="33"/>
  <c r="O39" i="33"/>
  <c r="K19" i="33"/>
  <c r="L19" i="33"/>
  <c r="M19" i="33"/>
  <c r="N19" i="33"/>
  <c r="O19" i="33"/>
  <c r="K20" i="33"/>
  <c r="L20" i="33"/>
  <c r="M20" i="33"/>
  <c r="N20" i="33"/>
  <c r="O20" i="33"/>
  <c r="L44" i="33"/>
  <c r="M44" i="33"/>
  <c r="N44" i="33"/>
  <c r="O44" i="33"/>
  <c r="K44" i="33"/>
  <c r="J44" i="33"/>
  <c r="Q44" i="33" s="1"/>
  <c r="J23" i="33"/>
  <c r="Q23" i="33" s="1"/>
  <c r="J3" i="33"/>
  <c r="Q3" i="33" s="1"/>
  <c r="J41" i="33"/>
  <c r="Q41" i="33" s="1"/>
  <c r="J24" i="33"/>
  <c r="Q24" i="33" s="1"/>
  <c r="J2" i="33"/>
  <c r="Q2" i="33" s="1"/>
  <c r="J45" i="33"/>
  <c r="Q45" i="33" s="1"/>
  <c r="J22" i="33"/>
  <c r="Q22" i="33" s="1"/>
  <c r="J4" i="33"/>
  <c r="Q4" i="33" s="1"/>
  <c r="J46" i="33"/>
  <c r="Q46" i="33" s="1"/>
  <c r="J25" i="33"/>
  <c r="Q25" i="33" s="1"/>
  <c r="J5" i="33"/>
  <c r="Q5" i="33" s="1"/>
  <c r="J40" i="33"/>
  <c r="Q40" i="33" s="1"/>
  <c r="J21" i="33"/>
  <c r="Q21" i="33" s="1"/>
  <c r="J6" i="33"/>
  <c r="Q6" i="33" s="1"/>
  <c r="J47" i="33"/>
  <c r="Q47" i="33" s="1"/>
  <c r="J26" i="33"/>
  <c r="Q26" i="33" s="1"/>
  <c r="J7" i="33"/>
  <c r="Q7" i="33" s="1"/>
  <c r="J48" i="33"/>
  <c r="Q48" i="33" s="1"/>
  <c r="J27" i="33"/>
  <c r="Q27" i="33" s="1"/>
  <c r="J8" i="33"/>
  <c r="Q8" i="33" s="1"/>
  <c r="J49" i="33"/>
  <c r="Q49" i="33" s="1"/>
  <c r="J28" i="33"/>
  <c r="Q28" i="33" s="1"/>
  <c r="J9" i="33"/>
  <c r="Q9" i="33" s="1"/>
  <c r="J42" i="33"/>
  <c r="Q42" i="33" s="1"/>
  <c r="J29" i="33"/>
  <c r="Q29" i="33" s="1"/>
  <c r="J10" i="33"/>
  <c r="Q10" i="33" s="1"/>
  <c r="J50" i="33"/>
  <c r="Q50" i="33" s="1"/>
  <c r="J30" i="33"/>
  <c r="Q30" i="33" s="1"/>
  <c r="J11" i="33"/>
  <c r="Q11" i="33" s="1"/>
  <c r="J51" i="33"/>
  <c r="Q51" i="33" s="1"/>
  <c r="J31" i="33"/>
  <c r="Q31" i="33" s="1"/>
  <c r="J52" i="33"/>
  <c r="Q52" i="33" s="1"/>
  <c r="J32" i="33"/>
  <c r="Q32" i="33" s="1"/>
  <c r="J13" i="33"/>
  <c r="Q13" i="33" s="1"/>
  <c r="J53" i="33"/>
  <c r="Q53" i="33" s="1"/>
  <c r="J33" i="33"/>
  <c r="Q33" i="33" s="1"/>
  <c r="J14" i="33"/>
  <c r="Q14" i="33" s="1"/>
  <c r="J54" i="33"/>
  <c r="Q54" i="33" s="1"/>
  <c r="J34" i="33"/>
  <c r="Q34" i="33" s="1"/>
  <c r="J15" i="33"/>
  <c r="Q15" i="33" s="1"/>
  <c r="J55" i="33"/>
  <c r="Q55" i="33" s="1"/>
  <c r="J35" i="33"/>
  <c r="Q35" i="33" s="1"/>
  <c r="J16" i="33"/>
  <c r="Q16" i="33" s="1"/>
  <c r="J56" i="33"/>
  <c r="Q56" i="33" s="1"/>
  <c r="J36" i="33"/>
  <c r="Q36" i="33" s="1"/>
  <c r="J17" i="33"/>
  <c r="Q17" i="33" s="1"/>
  <c r="J57" i="33"/>
  <c r="Q57" i="33" s="1"/>
  <c r="J37" i="33"/>
  <c r="Q37" i="33" s="1"/>
  <c r="J18" i="33"/>
  <c r="Q18" i="33" s="1"/>
  <c r="J43" i="33"/>
  <c r="Q43" i="33" s="1"/>
  <c r="J58" i="33"/>
  <c r="Q58" i="33" s="1"/>
  <c r="J38" i="33"/>
  <c r="Q38" i="33" s="1"/>
  <c r="J39" i="33"/>
  <c r="Q39" i="33" s="1"/>
  <c r="J19" i="33"/>
  <c r="Q19" i="33" s="1"/>
  <c r="J20" i="33"/>
  <c r="Q20" i="33" s="1"/>
  <c r="Q66" i="33" l="1"/>
  <c r="B2" i="39"/>
  <c r="B3" i="39"/>
  <c r="B4" i="39"/>
  <c r="B5" i="39"/>
  <c r="B6" i="39"/>
  <c r="B7" i="39"/>
  <c r="B8" i="39"/>
  <c r="B9" i="39"/>
  <c r="B10" i="39"/>
  <c r="B11" i="39"/>
  <c r="B12" i="39"/>
  <c r="B13" i="39"/>
  <c r="B14" i="39"/>
  <c r="B15" i="39"/>
  <c r="B16" i="39"/>
  <c r="B17" i="39"/>
  <c r="B18" i="39"/>
  <c r="B19" i="39"/>
  <c r="C3" i="39"/>
  <c r="C4" i="39"/>
  <c r="C5" i="39"/>
  <c r="C12" i="39"/>
  <c r="C6" i="39"/>
  <c r="C7" i="39"/>
  <c r="C8" i="39"/>
  <c r="C13" i="39"/>
  <c r="C9" i="39"/>
  <c r="C14" i="39"/>
  <c r="C10" i="39"/>
  <c r="C15" i="39"/>
  <c r="C11" i="39"/>
  <c r="C16" i="39"/>
  <c r="C17" i="39"/>
  <c r="C18" i="39"/>
  <c r="C19" i="39"/>
  <c r="C2" i="39"/>
  <c r="D17" i="39" l="1"/>
  <c r="D9" i="39"/>
  <c r="D8" i="39"/>
  <c r="D12" i="39"/>
  <c r="D4" i="39"/>
  <c r="D19" i="39"/>
  <c r="D11" i="39"/>
  <c r="D3" i="39"/>
  <c r="D18" i="39"/>
  <c r="D10" i="39"/>
  <c r="D2" i="39"/>
  <c r="D16" i="39"/>
  <c r="D15" i="39"/>
  <c r="D7" i="39"/>
  <c r="D14" i="39"/>
  <c r="D6" i="39"/>
  <c r="D13" i="39"/>
  <c r="D5" i="39"/>
  <c r="C21" i="32"/>
  <c r="J21" i="32"/>
  <c r="E63" i="29"/>
  <c r="E62" i="29"/>
  <c r="B63" i="29"/>
  <c r="B62" i="29"/>
  <c r="B64" i="29" s="1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41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20" i="29"/>
  <c r="B21" i="29"/>
  <c r="B22" i="29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20" i="29"/>
  <c r="B16" i="29"/>
  <c r="C16" i="29"/>
  <c r="D16" i="29"/>
  <c r="E16" i="29"/>
  <c r="F16" i="29"/>
  <c r="B15" i="27"/>
  <c r="D12" i="27"/>
  <c r="E12" i="27" s="1"/>
  <c r="D11" i="27"/>
  <c r="E11" i="27" s="1"/>
  <c r="D10" i="27"/>
  <c r="E10" i="27" s="1"/>
  <c r="K11" i="26"/>
  <c r="E8" i="26"/>
  <c r="H5" i="26"/>
  <c r="G12" i="27" l="1"/>
  <c r="G11" i="27"/>
  <c r="G10" i="27"/>
  <c r="F12" i="27"/>
  <c r="F11" i="27"/>
  <c r="F10" i="27"/>
  <c r="E65" i="28"/>
  <c r="B63" i="28"/>
  <c r="B64" i="28" s="1"/>
  <c r="C43" i="28"/>
  <c r="D43" i="28" s="1"/>
  <c r="C44" i="28"/>
  <c r="D44" i="28" s="1"/>
  <c r="C45" i="28"/>
  <c r="D45" i="28" s="1"/>
  <c r="C46" i="28"/>
  <c r="D46" i="28" s="1"/>
  <c r="C47" i="28"/>
  <c r="D47" i="28" s="1"/>
  <c r="C48" i="28"/>
  <c r="D48" i="28" s="1"/>
  <c r="C49" i="28"/>
  <c r="D49" i="28" s="1"/>
  <c r="C50" i="28"/>
  <c r="D50" i="28" s="1"/>
  <c r="C51" i="28"/>
  <c r="D51" i="28" s="1"/>
  <c r="C52" i="28"/>
  <c r="D52" i="28" s="1"/>
  <c r="C53" i="28"/>
  <c r="D53" i="28" s="1"/>
  <c r="C54" i="28"/>
  <c r="D54" i="28" s="1"/>
  <c r="C55" i="28"/>
  <c r="D55" i="28" s="1"/>
  <c r="C56" i="28"/>
  <c r="D56" i="28" s="1"/>
  <c r="C57" i="28"/>
  <c r="D57" i="28" s="1"/>
  <c r="C58" i="28"/>
  <c r="D58" i="28" s="1"/>
  <c r="C59" i="28"/>
  <c r="D59" i="28" s="1"/>
  <c r="C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42" i="28"/>
  <c r="D22" i="28"/>
  <c r="E22" i="28" s="1"/>
  <c r="D23" i="28"/>
  <c r="E23" i="28" s="1"/>
  <c r="D24" i="28"/>
  <c r="E24" i="28" s="1"/>
  <c r="D25" i="28"/>
  <c r="E25" i="28" s="1"/>
  <c r="D26" i="28"/>
  <c r="E26" i="28" s="1"/>
  <c r="D27" i="28"/>
  <c r="E27" i="28" s="1"/>
  <c r="D28" i="28"/>
  <c r="E28" i="28" s="1"/>
  <c r="D29" i="28"/>
  <c r="E29" i="28" s="1"/>
  <c r="D30" i="28"/>
  <c r="E30" i="28" s="1"/>
  <c r="D31" i="28"/>
  <c r="E31" i="28" s="1"/>
  <c r="D32" i="28"/>
  <c r="E32" i="28" s="1"/>
  <c r="D33" i="28"/>
  <c r="E33" i="28" s="1"/>
  <c r="D34" i="28"/>
  <c r="E34" i="28" s="1"/>
  <c r="D35" i="28"/>
  <c r="E35" i="28" s="1"/>
  <c r="D36" i="28"/>
  <c r="E36" i="28" s="1"/>
  <c r="D37" i="28"/>
  <c r="E37" i="28" s="1"/>
  <c r="D38" i="28"/>
  <c r="E38" i="28" s="1"/>
  <c r="D21" i="28"/>
  <c r="E21" i="28" s="1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21" i="28"/>
  <c r="E15" i="28"/>
  <c r="E16" i="28"/>
  <c r="E17" i="28"/>
  <c r="E18" i="28"/>
  <c r="E14" i="28"/>
  <c r="D15" i="28"/>
  <c r="D16" i="28"/>
  <c r="D17" i="28"/>
  <c r="D18" i="28"/>
  <c r="D14" i="28"/>
  <c r="C15" i="28"/>
  <c r="C16" i="28"/>
  <c r="C17" i="28"/>
  <c r="C18" i="28"/>
  <c r="C14" i="28"/>
  <c r="B11" i="27"/>
  <c r="B4" i="25"/>
  <c r="B5" i="25"/>
  <c r="B3" i="25"/>
  <c r="C9" i="26"/>
  <c r="E64" i="29" s="1"/>
  <c r="C2" i="26"/>
  <c r="C11" i="25"/>
  <c r="D11" i="25" s="1"/>
  <c r="C12" i="25"/>
  <c r="D12" i="25" s="1"/>
  <c r="C13" i="25"/>
  <c r="D13" i="25" s="1"/>
  <c r="C14" i="25"/>
  <c r="D14" i="25" s="1"/>
  <c r="C15" i="25"/>
  <c r="D15" i="25" s="1"/>
  <c r="C16" i="25"/>
  <c r="D16" i="25" s="1"/>
  <c r="C17" i="25"/>
  <c r="D17" i="25" s="1"/>
  <c r="C18" i="25"/>
  <c r="D18" i="25" s="1"/>
  <c r="C19" i="25"/>
  <c r="D19" i="25" s="1"/>
  <c r="C20" i="25"/>
  <c r="D20" i="25" s="1"/>
  <c r="C21" i="25"/>
  <c r="D21" i="25" s="1"/>
  <c r="C22" i="25"/>
  <c r="D22" i="25" s="1"/>
  <c r="C23" i="25"/>
  <c r="D23" i="25" s="1"/>
  <c r="C24" i="25"/>
  <c r="D24" i="25" s="1"/>
  <c r="C25" i="25"/>
  <c r="D25" i="25" s="1"/>
  <c r="C26" i="25"/>
  <c r="D26" i="25" s="1"/>
  <c r="C27" i="25"/>
  <c r="D27" i="25" s="1"/>
  <c r="C28" i="25"/>
  <c r="D28" i="25" s="1"/>
  <c r="E47" i="28" l="1"/>
  <c r="D42" i="28"/>
  <c r="E54" i="28"/>
  <c r="E46" i="28"/>
  <c r="E53" i="28"/>
  <c r="E45" i="28"/>
  <c r="E42" i="28"/>
  <c r="E52" i="28"/>
  <c r="E44" i="28"/>
  <c r="E59" i="28"/>
  <c r="E51" i="28"/>
  <c r="E43" i="28"/>
  <c r="E58" i="28"/>
  <c r="E50" i="28"/>
  <c r="E57" i="28"/>
  <c r="E49" i="28"/>
  <c r="E63" i="28"/>
  <c r="E56" i="28"/>
  <c r="E48" i="28"/>
  <c r="E64" i="28"/>
  <c r="E55" i="28"/>
  <c r="B67" i="28"/>
  <c r="B66" i="28"/>
  <c r="B65" i="28"/>
  <c r="B4" i="27" l="1"/>
  <c r="B7" i="25"/>
  <c r="B6" i="25" a="1"/>
  <c r="B6" i="25" s="1"/>
  <c r="C6" i="26"/>
  <c r="C5" i="26"/>
  <c r="C4" i="26"/>
  <c r="C7" i="26" s="1"/>
  <c r="C3" i="26"/>
  <c r="C8" i="26" s="1"/>
  <c r="C6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11" i="2"/>
  <c r="C4" i="2"/>
  <c r="C7" i="2" s="1"/>
  <c r="C2" i="2"/>
  <c r="C3" i="2"/>
  <c r="C8" i="2" s="1"/>
  <c r="C5" i="2"/>
  <c r="C4" i="27" l="1"/>
  <c r="C5" i="27"/>
  <c r="B7" i="27"/>
  <c r="B5" i="27"/>
  <c r="J2" i="2"/>
  <c r="E4" i="27"/>
  <c r="E5" i="27"/>
  <c r="E3" i="27"/>
  <c r="B10" i="27" s="1"/>
  <c r="B6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</author>
  </authors>
  <commentList>
    <comment ref="D10" authorId="0" shapeId="0" xr:uid="{FAF8373F-BD4F-424B-9C3B-A61EC26C2172}">
      <text>
        <r>
          <rPr>
            <b/>
            <sz val="9"/>
            <color indexed="81"/>
            <rFont val="Tahoma"/>
            <family val="2"/>
            <charset val="238"/>
          </rPr>
          <t>Petr:</t>
        </r>
        <r>
          <rPr>
            <sz val="9"/>
            <color indexed="81"/>
            <rFont val="Tahoma"/>
            <family val="2"/>
            <charset val="238"/>
          </rPr>
          <t xml:space="preserve">
Upravit texty v Territory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</author>
  </authors>
  <commentList>
    <comment ref="D10" authorId="0" shapeId="0" xr:uid="{F55EFC6D-75D1-482F-878A-A26AB2721F9A}">
      <text>
        <r>
          <rPr>
            <b/>
            <sz val="9"/>
            <color indexed="81"/>
            <rFont val="Tahoma"/>
            <family val="2"/>
            <charset val="238"/>
          </rPr>
          <t>Petr:</t>
        </r>
        <r>
          <rPr>
            <sz val="9"/>
            <color indexed="81"/>
            <rFont val="Tahoma"/>
            <family val="2"/>
            <charset val="238"/>
          </rPr>
          <t xml:space="preserve">
Upravit texty v Territory name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</author>
  </authors>
  <commentList>
    <comment ref="A16" authorId="0" shapeId="0" xr:uid="{EBBF2E1E-2B71-413A-AF06-5A0C86AD9BA3}">
      <text>
        <r>
          <rPr>
            <b/>
            <sz val="9"/>
            <color indexed="81"/>
            <rFont val="Tahoma"/>
            <family val="2"/>
            <charset val="238"/>
          </rPr>
          <t>Petr:</t>
        </r>
        <r>
          <rPr>
            <sz val="9"/>
            <color indexed="81"/>
            <rFont val="Tahoma"/>
            <family val="2"/>
            <charset val="238"/>
          </rPr>
          <t xml:space="preserve">
Pokud je vetsi nez minimalni hodnota, tak "ano", jinak "ne"</t>
        </r>
      </text>
    </comment>
    <comment ref="D40" authorId="0" shapeId="0" xr:uid="{9A60A524-4611-480A-9AF7-D7DA47619DA0}">
      <text>
        <r>
          <rPr>
            <b/>
            <sz val="9"/>
            <color indexed="81"/>
            <rFont val="Tahoma"/>
            <family val="2"/>
            <charset val="238"/>
          </rPr>
          <t>Petr:</t>
        </r>
        <r>
          <rPr>
            <sz val="9"/>
            <color indexed="81"/>
            <rFont val="Tahoma"/>
            <family val="2"/>
            <charset val="238"/>
          </rPr>
          <t xml:space="preserve">
Pokud je Camel Family 200 &gt; Camel Family 2019 tak "ano", jinak "ne"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65B8FA-17D0-402B-8B65-8E5436290D9B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30BF5B6-449B-4231-826C-0DC6B8740BCE}" name="WorksheetConnection_JTI - 20201102.xlsx!plan" type="102" refreshedVersion="6" minRefreshableVersion="5">
    <extLst>
      <ext xmlns:x15="http://schemas.microsoft.com/office/spreadsheetml/2010/11/main" uri="{DE250136-89BD-433C-8126-D09CA5730AF9}">
        <x15:connection id="plan" autoDelete="1">
          <x15:rangePr sourceName="_xlcn.WorksheetConnection_JTI20201102.xlsxplan1"/>
        </x15:connection>
      </ext>
    </extLst>
  </connection>
  <connection id="3" xr16:uid="{A6079EA5-749D-44B6-8ECE-5513BBBB70F6}" name="WorksheetConnection_JTI - 20201102.xlsx!prodeje" type="102" refreshedVersion="6" minRefreshableVersion="5">
    <extLst>
      <ext xmlns:x15="http://schemas.microsoft.com/office/spreadsheetml/2010/11/main" uri="{DE250136-89BD-433C-8126-D09CA5730AF9}">
        <x15:connection id="prodeje">
          <x15:rangePr sourceName="_xlcn.WorksheetConnection_JTI20201102.xlsxprodej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<sst xmlns="http://schemas.openxmlformats.org/spreadsheetml/2006/main" count="788" uniqueCount="202">
  <si>
    <t>ASM1</t>
  </si>
  <si>
    <t>ASM2</t>
  </si>
  <si>
    <t>Dušek, Martin</t>
  </si>
  <si>
    <t>Fremr, Oldřich</t>
  </si>
  <si>
    <t>Matějka, Ladislav</t>
  </si>
  <si>
    <t>Hajda, Jiri</t>
  </si>
  <si>
    <t>Dvořák, Robert</t>
  </si>
  <si>
    <t>Bartoš, Martin</t>
  </si>
  <si>
    <t>Kůstka, Tomáš</t>
  </si>
  <si>
    <t>Kašparová, Daniela</t>
  </si>
  <si>
    <t>Fiala, Michal</t>
  </si>
  <si>
    <t>Stehlík, Daniel</t>
  </si>
  <si>
    <t>Schüllerová, Stanislava</t>
  </si>
  <si>
    <t>Loffaj, Lukáš</t>
  </si>
  <si>
    <t>Stančík, Roman</t>
  </si>
  <si>
    <t>Hájková, Zuzana</t>
  </si>
  <si>
    <t>Korec, Jaroslav</t>
  </si>
  <si>
    <t>Uriová, Michaela</t>
  </si>
  <si>
    <t>Žid, František</t>
  </si>
  <si>
    <t>Ekrt, Lukáš</t>
  </si>
  <si>
    <t>Employee</t>
  </si>
  <si>
    <t>TSP</t>
  </si>
  <si>
    <t>Independent &amp; Distributive Total</t>
  </si>
  <si>
    <t>District</t>
  </si>
  <si>
    <t>Dušek</t>
  </si>
  <si>
    <t>Fremr</t>
  </si>
  <si>
    <t>Matějka</t>
  </si>
  <si>
    <t>Hajda</t>
  </si>
  <si>
    <t>Dvořák</t>
  </si>
  <si>
    <t>Bartoš</t>
  </si>
  <si>
    <t>Kůstka</t>
  </si>
  <si>
    <t>Kašparová</t>
  </si>
  <si>
    <t>Fiala</t>
  </si>
  <si>
    <t>Stehlík</t>
  </si>
  <si>
    <t>Schüllerová</t>
  </si>
  <si>
    <t>Loffaj</t>
  </si>
  <si>
    <t>Stančík</t>
  </si>
  <si>
    <t>Hájková</t>
  </si>
  <si>
    <t>Korec</t>
  </si>
  <si>
    <t>Uriová</t>
  </si>
  <si>
    <t>Žid</t>
  </si>
  <si>
    <t>Ekrt</t>
  </si>
  <si>
    <t>BH family</t>
  </si>
  <si>
    <t>Camel family</t>
  </si>
  <si>
    <t>LD family</t>
  </si>
  <si>
    <t>Winston family</t>
  </si>
  <si>
    <t>LD tabák</t>
  </si>
  <si>
    <t>Funkce</t>
  </si>
  <si>
    <t>základní práce: https://support.microsoft.com/cs-cz/office/p%c5%99ehled-vzorc%c5%af-v-excelu-ecfdc708-9162-49e8-b993-c311f47ca173?wt.mc_id=otc_excel&amp;ui=cs-cz&amp;rs=cs-cz&amp;ad=cz</t>
  </si>
  <si>
    <t>typy odkazů: https://support.microsoft.com/cs-cz/office/p%C5%99epnut%C3%AD-mezi-relativn%C3%ADmi-absolutn%C3%ADmi-a-sm%C3%AD%C5%A1en%C3%BDmi-odkazy-dfec08cd-ae65-4f56-839e-5f0d8d0baca9</t>
  </si>
  <si>
    <t>Typy funkcí</t>
  </si>
  <si>
    <t>přehled funkcí dle kategorie: https://support.microsoft.com/cs-cz/office/funkce-aplikace-excel-podle-kategorie-5f91f4e9-7b42-46d2-9bd1-63f26a86c0eb?ui=cs-cz&amp;rs=cs-cz&amp;ad=cz</t>
  </si>
  <si>
    <t>Možnosti přepočítání funkcí</t>
  </si>
  <si>
    <t>přehled možností přepočítání funkcí: https://support.microsoft.com/cs-cz/office/zm%c4%9bna-p%c5%99epo%c4%8dtu-iterace-nebo-p%c5%99esnosti-vzorce-v-excelu-73fc7dac-91cf-4d36-86e8-67124f6bcce4?ui=cs-cz&amp;rs=cs-cz&amp;ad=cz</t>
  </si>
  <si>
    <t>Praha 1-2</t>
  </si>
  <si>
    <t>Praha 2-3</t>
  </si>
  <si>
    <t>Praha 4</t>
  </si>
  <si>
    <t>Praha-sever</t>
  </si>
  <si>
    <t>Praha 5-6</t>
  </si>
  <si>
    <t>Praha-západ</t>
  </si>
  <si>
    <t>Chomutovsko</t>
  </si>
  <si>
    <t>Děčínsko</t>
  </si>
  <si>
    <t>Karlovarsko</t>
  </si>
  <si>
    <t>Lounsko</t>
  </si>
  <si>
    <t>Mostecko</t>
  </si>
  <si>
    <t>Teplicko</t>
  </si>
  <si>
    <t>Ústecko</t>
  </si>
  <si>
    <t>Territory nr.</t>
  </si>
  <si>
    <t>Territory name</t>
  </si>
  <si>
    <t>Prumer BH family</t>
  </si>
  <si>
    <t>Pocet Territory nr.</t>
  </si>
  <si>
    <t>Pocet Territory nr. (neprazdne)</t>
  </si>
  <si>
    <t>Pocet ciselnych hodnot</t>
  </si>
  <si>
    <t>Pocet vsech neprazdnych hodnot</t>
  </si>
  <si>
    <t>Prumer ciselnych hodnot</t>
  </si>
  <si>
    <t>Pocet Territory nr.1</t>
  </si>
  <si>
    <t>Pocet vsech hodnot v druhem argumentu funkce</t>
  </si>
  <si>
    <t>_Territory name</t>
  </si>
  <si>
    <t>benešovsko</t>
  </si>
  <si>
    <t xml:space="preserve"> Berounsko</t>
  </si>
  <si>
    <t>CHEBSKO</t>
  </si>
  <si>
    <t>Pocet Territory nr.1 (ceiling)</t>
  </si>
  <si>
    <t>Pocet Terriotry nr.1 (round)</t>
  </si>
  <si>
    <t>Prumer Territory 1</t>
  </si>
  <si>
    <t>Podmineny prumer</t>
  </si>
  <si>
    <t>BH family 2020</t>
  </si>
  <si>
    <t>Employee surname</t>
  </si>
  <si>
    <t>Employee firstname</t>
  </si>
  <si>
    <t>Martin</t>
  </si>
  <si>
    <t>Oldřich</t>
  </si>
  <si>
    <t>Ladislav</t>
  </si>
  <si>
    <t>Jiri</t>
  </si>
  <si>
    <t>Robert</t>
  </si>
  <si>
    <t>Tomáš</t>
  </si>
  <si>
    <t>Daniela</t>
  </si>
  <si>
    <t>Michal</t>
  </si>
  <si>
    <t>Daniel</t>
  </si>
  <si>
    <t>Stanislava</t>
  </si>
  <si>
    <t>Lukáš</t>
  </si>
  <si>
    <t>Roman</t>
  </si>
  <si>
    <t>Zuzana</t>
  </si>
  <si>
    <t>Jaroslav</t>
  </si>
  <si>
    <t>Michaela</t>
  </si>
  <si>
    <t>František</t>
  </si>
  <si>
    <t>Employee surname na řádku 11</t>
  </si>
  <si>
    <t>Employee firstname pana Duška</t>
  </si>
  <si>
    <t>Řádek surname = Dušek</t>
  </si>
  <si>
    <t>Firstname pana Duška</t>
  </si>
  <si>
    <t>Dohledani funkci VLOOKUP</t>
  </si>
  <si>
    <t>Dohledani funkci XLOOKUP</t>
  </si>
  <si>
    <t>Dohledani funkci INDEX</t>
  </si>
  <si>
    <t>Dohledani funkci MATCH</t>
  </si>
  <si>
    <t>Dohledani funkcemi INDEX, MATCH</t>
  </si>
  <si>
    <t>Firstname pana Matějky</t>
  </si>
  <si>
    <t>Dnesni datum</t>
  </si>
  <si>
    <t>Rucne zadane datum</t>
  </si>
  <si>
    <t>Posledni datum tohoto mesice</t>
  </si>
  <si>
    <t>Posledni datum predchoziho mesice</t>
  </si>
  <si>
    <t>Prvni datum tohoto mesice</t>
  </si>
  <si>
    <t>Rok dnesniho datumu</t>
  </si>
  <si>
    <t>Mesic dnesniho datumu</t>
  </si>
  <si>
    <t>Den dnesniho datumu</t>
  </si>
  <si>
    <t>Práce s datumy</t>
  </si>
  <si>
    <t>Podminene funkce</t>
  </si>
  <si>
    <t>Je dnes rok 2020?</t>
  </si>
  <si>
    <t>Jsou zítra Vánoce?</t>
  </si>
  <si>
    <t>Jake je vcerejsi datum?</t>
  </si>
  <si>
    <t>Employee name</t>
  </si>
  <si>
    <t>Employee Territory name 2020</t>
  </si>
  <si>
    <t>Employee Territory name 2020 - lowercase</t>
  </si>
  <si>
    <t>BH Family 2019</t>
  </si>
  <si>
    <t>BH Family 2020</t>
  </si>
  <si>
    <t xml:space="preserve">Je BH Family 2020 &gt; BH Family 2019 </t>
  </si>
  <si>
    <t>Jake je max cislo za 2020</t>
  </si>
  <si>
    <t>Max  za BH family pro Territory nr 1</t>
  </si>
  <si>
    <t>Dnešní datum</t>
  </si>
  <si>
    <t>Zítřejší datum</t>
  </si>
  <si>
    <t>Poslední den měsíce dneška</t>
  </si>
  <si>
    <t>Poslední den předchozího měsíce</t>
  </si>
  <si>
    <t>První den předchozího měsíc</t>
  </si>
  <si>
    <t>Prumer za BH Family 2020</t>
  </si>
  <si>
    <t>Maximum za BH Family 2020</t>
  </si>
  <si>
    <t>Min. hodnota</t>
  </si>
  <si>
    <t>Rozdil od min. hodnoty</t>
  </si>
  <si>
    <t>Je vetsi nez min hodnota?</t>
  </si>
  <si>
    <t>Kategorie</t>
  </si>
  <si>
    <t>Hodnota</t>
  </si>
  <si>
    <t>Rozdil od min. hodnoty (presnost 1 desetinne cislo)</t>
  </si>
  <si>
    <t>Employee name - lowercase</t>
  </si>
  <si>
    <t>Obdobi</t>
  </si>
  <si>
    <t>Je vetsi nez minimalni honota?</t>
  </si>
  <si>
    <t>Camel Family 2019</t>
  </si>
  <si>
    <t>Camel Family 2020</t>
  </si>
  <si>
    <t xml:space="preserve">Je Camel Family 2020 &gt; BH Family 2019 </t>
  </si>
  <si>
    <t>Poslední den příštího měsíce</t>
  </si>
  <si>
    <t>Prumer za Camel Family 2020</t>
  </si>
  <si>
    <t>Maximum za Camel Family 2020</t>
  </si>
  <si>
    <t>Benešovsko</t>
  </si>
  <si>
    <t>Berounsko</t>
  </si>
  <si>
    <t>Praha-Sever</t>
  </si>
  <si>
    <t>Praha-Západ</t>
  </si>
  <si>
    <t>Chebsko</t>
  </si>
  <si>
    <t>Prumer za Territory nr 1 v 2020</t>
  </si>
  <si>
    <t>Prumer Camel Family za Territory nr 1 v 2020</t>
  </si>
  <si>
    <t>Total</t>
  </si>
  <si>
    <t>1. VYTVOŘIT TABULKU</t>
  </si>
  <si>
    <t>3. Filtr nad Teritorry nr. 1</t>
  </si>
  <si>
    <t>4. Total row, dopočítat průměr za teritory nr.</t>
  </si>
  <si>
    <t>2. Řazení: teritory nr - nejmenší - největší a pak řazení employee A-Z</t>
  </si>
  <si>
    <t>Obsahuje "n" a neobsahuje "Martin"</t>
  </si>
  <si>
    <t>Date</t>
  </si>
  <si>
    <t>Column1</t>
  </si>
  <si>
    <t>prodeje celkem BH family</t>
  </si>
  <si>
    <t>plan BH family</t>
  </si>
  <si>
    <t>Row Labels</t>
  </si>
  <si>
    <t>Grand Total</t>
  </si>
  <si>
    <t>Sum of Camel family</t>
  </si>
  <si>
    <t>Sum of BH family</t>
  </si>
  <si>
    <t>VII</t>
  </si>
  <si>
    <t>VIII</t>
  </si>
  <si>
    <t>IX</t>
  </si>
  <si>
    <t>Column Labels</t>
  </si>
  <si>
    <t>Total Sum of BH family</t>
  </si>
  <si>
    <t>Total Sum of Camel family</t>
  </si>
  <si>
    <t>Prodej celkem</t>
  </si>
  <si>
    <t>Plán celkem</t>
  </si>
  <si>
    <t>BH family plán</t>
  </si>
  <si>
    <t>Camel family plán</t>
  </si>
  <si>
    <t>LD family plán</t>
  </si>
  <si>
    <t>Winston family plán</t>
  </si>
  <si>
    <t>LD tabák plán</t>
  </si>
  <si>
    <t>Plán vs. prodej</t>
  </si>
  <si>
    <t>Teritorry name</t>
  </si>
  <si>
    <t>Prodeje celkem (4 měsíce)</t>
  </si>
  <si>
    <t>Měsíční plán</t>
  </si>
  <si>
    <t>Plán celkem (4 měsíce)</t>
  </si>
  <si>
    <t>Plán splněn (4 měsíce)</t>
  </si>
  <si>
    <t>Produkt</t>
  </si>
  <si>
    <t>Počet obchodníků - splnili plán</t>
  </si>
  <si>
    <t>Počet obchodníků - nesplnili plán</t>
  </si>
  <si>
    <t>Nejvyšší prodeje</t>
  </si>
  <si>
    <t>Obchodník s nejvyššími prodeji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</si>
</sst>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Kč&quot;_-;\-* #,##0.00\ &quot;Kč&quot;_-;_-* &quot;-&quot;??\ &quot;Kč&quot;_-;_-@_-"/>
    <numFmt numFmtId="164" formatCode="0.0"/>
    <numFmt numFmtId="165" formatCode="_-* #,##0.00\ [$Kč-405]_-;\-* #,##0.00\ [$Kč-405]_-;_-* &quot;-&quot;??\ [$Kč-405]_-;_-@_-"/>
    <numFmt numFmtId="166" formatCode="_-* #,##0\ &quot;Kč&quot;_-;\-* #,##0\ &quot;Kč&quot;_-;_-* &quot;-&quot;??\ &quot;Kč&quot;_-;_-@_-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9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5">
    <xf numFmtId="0" fontId="0" fillId="0" borderId="0" xfId="0"/>
    <xf numFmtId="9" fontId="0" fillId="0" borderId="0" xfId="1" applyFont="1"/>
    <xf numFmtId="0" fontId="0" fillId="0" borderId="1" xfId="0" applyBorder="1"/>
    <xf numFmtId="9" fontId="0" fillId="0" borderId="1" xfId="1" applyFont="1" applyBorder="1"/>
    <xf numFmtId="0" fontId="0" fillId="2" borderId="1" xfId="0" applyFill="1" applyBorder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Fill="1" applyBorder="1"/>
    <xf numFmtId="9" fontId="0" fillId="0" borderId="0" xfId="0" applyNumberFormat="1"/>
    <xf numFmtId="0" fontId="0" fillId="0" borderId="2" xfId="0" applyFill="1" applyBorder="1"/>
    <xf numFmtId="2" fontId="0" fillId="0" borderId="1" xfId="1" applyNumberFormat="1" applyFont="1" applyBorder="1"/>
    <xf numFmtId="2" fontId="0" fillId="0" borderId="1" xfId="0" applyNumberFormat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2" fontId="0" fillId="0" borderId="0" xfId="1" applyNumberFormat="1" applyFont="1" applyBorder="1"/>
    <xf numFmtId="0" fontId="7" fillId="0" borderId="0" xfId="0" applyFont="1"/>
    <xf numFmtId="14" fontId="0" fillId="0" borderId="0" xfId="0" applyNumberFormat="1"/>
    <xf numFmtId="0" fontId="0" fillId="0" borderId="0" xfId="0" applyFill="1"/>
    <xf numFmtId="0" fontId="0" fillId="4" borderId="1" xfId="0" applyFill="1" applyBorder="1"/>
    <xf numFmtId="0" fontId="0" fillId="3" borderId="1" xfId="0" applyFill="1" applyBorder="1"/>
    <xf numFmtId="0" fontId="5" fillId="3" borderId="1" xfId="0" applyFont="1" applyFill="1" applyBorder="1"/>
    <xf numFmtId="14" fontId="6" fillId="0" borderId="0" xfId="0" applyNumberFormat="1" applyFont="1" applyFill="1" applyAlignment="1">
      <alignment horizontal="right"/>
    </xf>
    <xf numFmtId="0" fontId="0" fillId="0" borderId="0" xfId="0" applyFont="1"/>
    <xf numFmtId="2" fontId="0" fillId="0" borderId="0" xfId="0" applyNumberFormat="1"/>
    <xf numFmtId="164" fontId="0" fillId="0" borderId="1" xfId="0" applyNumberFormat="1" applyBorder="1"/>
    <xf numFmtId="14" fontId="0" fillId="0" borderId="1" xfId="0" applyNumberFormat="1" applyBorder="1"/>
    <xf numFmtId="0" fontId="5" fillId="0" borderId="0" xfId="0" applyFont="1" applyFill="1" applyBorder="1"/>
    <xf numFmtId="0" fontId="0" fillId="0" borderId="0" xfId="0" applyFont="1" applyFill="1" applyBorder="1"/>
    <xf numFmtId="49" fontId="0" fillId="3" borderId="0" xfId="1" applyNumberFormat="1" applyFont="1" applyFill="1"/>
    <xf numFmtId="165" fontId="0" fillId="0" borderId="0" xfId="0" applyNumberFormat="1"/>
    <xf numFmtId="9" fontId="0" fillId="3" borderId="1" xfId="1" applyFont="1" applyFill="1" applyBorder="1"/>
    <xf numFmtId="0" fontId="0" fillId="5" borderId="0" xfId="0" applyFill="1"/>
    <xf numFmtId="0" fontId="0" fillId="5" borderId="1" xfId="0" applyFill="1" applyBorder="1"/>
    <xf numFmtId="9" fontId="0" fillId="5" borderId="1" xfId="1" applyFont="1" applyFill="1" applyBorder="1"/>
    <xf numFmtId="9" fontId="0" fillId="5" borderId="0" xfId="1" applyFont="1" applyFill="1"/>
    <xf numFmtId="0" fontId="6" fillId="5" borderId="1" xfId="0" applyFont="1" applyFill="1" applyBorder="1"/>
    <xf numFmtId="0" fontId="0" fillId="6" borderId="1" xfId="0" applyFill="1" applyBorder="1"/>
    <xf numFmtId="9" fontId="0" fillId="5" borderId="0" xfId="1" applyNumberFormat="1" applyFont="1" applyFill="1"/>
    <xf numFmtId="1" fontId="0" fillId="0" borderId="0" xfId="0" applyNumberFormat="1"/>
    <xf numFmtId="0" fontId="0" fillId="6" borderId="0" xfId="0" applyFill="1"/>
    <xf numFmtId="0" fontId="8" fillId="0" borderId="0" xfId="0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6" fontId="0" fillId="0" borderId="0" xfId="2" applyNumberFormat="1" applyFont="1"/>
    <xf numFmtId="166" fontId="0" fillId="7" borderId="0" xfId="2" applyNumberFormat="1" applyFont="1" applyFill="1" applyProtection="1">
      <protection locked="0"/>
    </xf>
    <xf numFmtId="0" fontId="0" fillId="0" borderId="0" xfId="0" applyProtection="1">
      <protection locked="0"/>
    </xf>
    <xf numFmtId="166" fontId="0" fillId="2" borderId="0" xfId="2" applyNumberFormat="1" applyFont="1" applyFill="1" applyProtection="1">
      <protection locked="0"/>
    </xf>
    <xf numFmtId="0" fontId="0" fillId="0" borderId="0" xfId="0" applyFill="1" applyProtection="1">
      <protection locked="0"/>
    </xf>
    <xf numFmtId="166" fontId="0" fillId="0" borderId="0" xfId="2" applyNumberFormat="1" applyFont="1" applyFill="1" applyProtection="1">
      <protection locked="0"/>
    </xf>
    <xf numFmtId="166" fontId="0" fillId="7" borderId="0" xfId="2" applyNumberFormat="1" applyFont="1" applyFill="1" applyProtection="1"/>
    <xf numFmtId="0" fontId="0" fillId="0" borderId="0" xfId="0" applyProtection="1"/>
    <xf numFmtId="14" fontId="0" fillId="0" borderId="0" xfId="2" applyNumberFormat="1" applyFont="1" applyProtection="1"/>
    <xf numFmtId="166" fontId="0" fillId="0" borderId="0" xfId="2" applyNumberFormat="1" applyFont="1" applyProtection="1">
      <protection locked="0" hidden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0" xfId="0" applyFill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6" formatCode="_-* #,##0\ &quot;Kč&quot;_-;\-* #,##0\ &quot;Kč&quot;_-;_-* &quot;-&quot;??\ &quot;Kč&quot;_-;_-@_-"/>
      <fill>
        <patternFill patternType="none">
          <fgColor indexed="64"/>
          <bgColor auto="1"/>
        </patternFill>
      </fill>
      <protection locked="0" hidden="0"/>
    </dxf>
    <dxf>
      <numFmt numFmtId="166" formatCode="_-* #,##0\ &quot;Kč&quot;_-;\-* #,##0\ &quot;Kč&quot;_-;_-* &quot;-&quot;??\ &quot;Kč&quot;_-;_-@_-"/>
      <fill>
        <patternFill patternType="solid">
          <fgColor indexed="64"/>
          <bgColor theme="7" tint="0.79998168889431442"/>
        </patternFill>
      </fill>
      <protection locked="1" hidden="0"/>
    </dxf>
    <dxf>
      <numFmt numFmtId="166" formatCode="_-* #,##0\ &quot;Kč&quot;_-;\-* #,##0\ &quot;Kč&quot;_-;_-* &quot;-&quot;??\ &quot;Kč&quot;_-;_-@_-"/>
      <fill>
        <patternFill patternType="solid">
          <fgColor indexed="64"/>
          <bgColor theme="7" tint="0.79998168889431442"/>
        </patternFill>
      </fill>
      <protection locked="1" hidden="0"/>
    </dxf>
    <dxf>
      <numFmt numFmtId="166" formatCode="_-* #,##0\ &quot;Kč&quot;_-;\-* #,##0\ &quot;Kč&quot;_-;_-* &quot;-&quot;??\ &quot;Kč&quot;_-;_-@_-"/>
      <fill>
        <patternFill patternType="solid">
          <fgColor indexed="64"/>
          <bgColor theme="7" tint="0.79998168889431442"/>
        </patternFill>
      </fill>
      <protection locked="1" hidden="0"/>
    </dxf>
    <dxf>
      <numFmt numFmtId="166" formatCode="_-* #,##0\ &quot;Kč&quot;_-;\-* #,##0\ &quot;Kč&quot;_-;_-* &quot;-&quot;??\ &quot;Kč&quot;_-;_-@_-"/>
      <fill>
        <patternFill patternType="solid">
          <fgColor indexed="64"/>
          <bgColor theme="7" tint="0.79998168889431442"/>
        </patternFill>
      </fill>
      <protection locked="1" hidden="0"/>
    </dxf>
    <dxf>
      <numFmt numFmtId="166" formatCode="_-* #,##0\ &quot;Kč&quot;_-;\-* #,##0\ &quot;Kč&quot;_-;_-* &quot;-&quot;??\ &quot;Kč&quot;_-;_-@_-"/>
      <fill>
        <patternFill patternType="solid">
          <fgColor indexed="64"/>
          <bgColor theme="7" tint="0.79998168889431442"/>
        </patternFill>
      </fill>
      <protection locked="1" hidden="0"/>
    </dxf>
    <dxf>
      <numFmt numFmtId="166" formatCode="_-* #,##0\ &quot;Kč&quot;_-;\-* #,##0\ &quot;Kč&quot;_-;_-* &quot;-&quot;??\ &quot;Kč&quot;_-;_-@_-"/>
      <fill>
        <patternFill patternType="solid">
          <fgColor indexed="64"/>
          <bgColor theme="7" tint="0.79998168889431442"/>
        </patternFill>
      </fill>
      <protection locked="1" hidden="0"/>
    </dxf>
    <dxf>
      <numFmt numFmtId="166" formatCode="_-* #,##0\ &quot;Kč&quot;_-;\-* #,##0\ &quot;Kč&quot;_-;_-* &quot;-&quot;??\ &quot;Kč&quot;_-;_-@_-"/>
      <protection locked="0" hidden="1"/>
    </dxf>
    <dxf>
      <numFmt numFmtId="166" formatCode="_-* #,##0\ &quot;Kč&quot;_-;\-* #,##0\ &quot;Kč&quot;_-;_-* &quot;-&quot;??\ &quot;Kč&quot;_-;_-@_-"/>
      <fill>
        <patternFill patternType="solid">
          <fgColor indexed="64"/>
          <bgColor theme="9" tint="0.79998168889431442"/>
        </patternFill>
      </fill>
      <protection locked="0" hidden="0"/>
    </dxf>
    <dxf>
      <numFmt numFmtId="166" formatCode="_-* #,##0\ &quot;Kč&quot;_-;\-* #,##0\ &quot;Kč&quot;_-;_-* &quot;-&quot;??\ &quot;Kč&quot;_-;_-@_-"/>
      <fill>
        <patternFill patternType="solid">
          <fgColor indexed="64"/>
          <bgColor theme="9" tint="0.79998168889431442"/>
        </patternFill>
      </fill>
      <protection locked="0" hidden="0"/>
    </dxf>
    <dxf>
      <numFmt numFmtId="166" formatCode="_-* #,##0\ &quot;Kč&quot;_-;\-* #,##0\ &quot;Kč&quot;_-;_-* &quot;-&quot;??\ &quot;Kč&quot;_-;_-@_-"/>
      <fill>
        <patternFill patternType="solid">
          <fgColor indexed="64"/>
          <bgColor theme="9" tint="0.79998168889431442"/>
        </patternFill>
      </fill>
      <protection locked="0" hidden="0"/>
    </dxf>
    <dxf>
      <numFmt numFmtId="166" formatCode="_-* #,##0\ &quot;Kč&quot;_-;\-* #,##0\ &quot;Kč&quot;_-;_-* &quot;-&quot;??\ &quot;Kč&quot;_-;_-@_-"/>
      <fill>
        <patternFill patternType="solid">
          <fgColor indexed="64"/>
          <bgColor theme="9" tint="0.79998168889431442"/>
        </patternFill>
      </fill>
      <protection locked="0" hidden="0"/>
    </dxf>
    <dxf>
      <numFmt numFmtId="166" formatCode="_-* #,##0\ &quot;Kč&quot;_-;\-* #,##0\ &quot;Kč&quot;_-;_-* &quot;-&quot;??\ &quot;Kč&quot;_-;_-@_-"/>
      <fill>
        <patternFill patternType="solid">
          <fgColor indexed="64"/>
          <bgColor theme="9" tint="0.79998168889431442"/>
        </patternFill>
      </fill>
      <protection locked="0" hidden="0"/>
    </dxf>
    <dxf>
      <protection locked="1" hidden="0"/>
    </dxf>
    <dxf>
      <protection locked="1" hidden="0"/>
    </dxf>
    <dxf>
      <protection locked="1" hidden="0"/>
    </dxf>
    <dxf>
      <numFmt numFmtId="19" formatCode="dd/mm/yyyy"/>
      <protection locked="1" hidden="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9A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owerPivotData" Target="model/item.data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3"/>
      <sheetName val="Sheet4"/>
      <sheetName val="Sheet5"/>
      <sheetName val="Sheet6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r" refreshedDate="44144.389110069445" createdVersion="6" refreshedVersion="6" minRefreshableVersion="3" recordCount="57" xr:uid="{A3D75996-9A10-4FD7-BB31-ACA6A9D31F3B}">
  <cacheSource type="worksheet">
    <worksheetSource name="prodeje"/>
  </cacheSource>
  <cacheFields count="10">
    <cacheField name="Date" numFmtId="14">
      <sharedItems containsSemiMixedTypes="0" containsNonDate="0" containsDate="1" containsString="0" minDate="2020-07-29T00:00:00" maxDate="2020-10-01T00:00:00" count="11">
        <d v="2020-09-30T00:00:00"/>
        <d v="2020-08-30T00:00:00"/>
        <d v="2020-07-30T00:00:00"/>
        <d v="2020-09-28T00:00:00"/>
        <d v="2020-08-31T00:00:00"/>
        <d v="2020-07-29T00:00:00"/>
        <d v="2020-08-29T00:00:00"/>
        <d v="2020-07-31T00:00:00"/>
        <d v="2020-09-27T00:00:00"/>
        <d v="2020-08-20T00:00:00"/>
        <d v="2020-09-29T00:00:00"/>
      </sharedItems>
      <fieldGroup par="9" base="0">
        <rangePr groupBy="days" startDate="2020-07-29T00:00:00" endDate="2020-10-01T00:00:00"/>
        <groupItems count="368">
          <s v="&lt;29.07.2020"/>
          <s v="01.I"/>
          <s v="02.I"/>
          <s v="03.I"/>
          <s v="04.I"/>
          <s v="05.I"/>
          <s v="06.I"/>
          <s v="07.I"/>
          <s v="08.I"/>
          <s v="09.I"/>
          <s v="10.I"/>
          <s v="11.I"/>
          <s v="12.I"/>
          <s v="13.I"/>
          <s v="14.I"/>
          <s v="15.I"/>
          <s v="16.I"/>
          <s v="17.I"/>
          <s v="18.I"/>
          <s v="19.I"/>
          <s v="20.I"/>
          <s v="21.I"/>
          <s v="22.I"/>
          <s v="23.I"/>
          <s v="24.I"/>
          <s v="25.I"/>
          <s v="26.I"/>
          <s v="27.I"/>
          <s v="28.I"/>
          <s v="29.I"/>
          <s v="30.I"/>
          <s v="31.I"/>
          <s v="01.II"/>
          <s v="02.II"/>
          <s v="03.II"/>
          <s v="04.II"/>
          <s v="05.II"/>
          <s v="06.II"/>
          <s v="07.II"/>
          <s v="08.II"/>
          <s v="09.II"/>
          <s v="10.II"/>
          <s v="11.II"/>
          <s v="12.II"/>
          <s v="13.II"/>
          <s v="14.II"/>
          <s v="15.II"/>
          <s v="16.II"/>
          <s v="17.II"/>
          <s v="18.II"/>
          <s v="19.II"/>
          <s v="20.II"/>
          <s v="21.II"/>
          <s v="22.II"/>
          <s v="23.II"/>
          <s v="24.II"/>
          <s v="25.II"/>
          <s v="26.II"/>
          <s v="27.II"/>
          <s v="28.II"/>
          <s v="29.II"/>
          <s v="01.III"/>
          <s v="02.III"/>
          <s v="03.III"/>
          <s v="04.III"/>
          <s v="05.III"/>
          <s v="06.III"/>
          <s v="07.III"/>
          <s v="08.III"/>
          <s v="09.III"/>
          <s v="10.III"/>
          <s v="11.III"/>
          <s v="12.III"/>
          <s v="13.III"/>
          <s v="14.III"/>
          <s v="15.III"/>
          <s v="16.III"/>
          <s v="17.III"/>
          <s v="18.III"/>
          <s v="19.III"/>
          <s v="20.III"/>
          <s v="21.III"/>
          <s v="22.III"/>
          <s v="23.III"/>
          <s v="24.III"/>
          <s v="25.III"/>
          <s v="26.III"/>
          <s v="27.III"/>
          <s v="28.III"/>
          <s v="29.III"/>
          <s v="30.III"/>
          <s v="31.III"/>
          <s v="01.IV"/>
          <s v="02.IV"/>
          <s v="03.IV"/>
          <s v="04.IV"/>
          <s v="05.IV"/>
          <s v="06.IV"/>
          <s v="07.IV"/>
          <s v="08.IV"/>
          <s v="09.IV"/>
          <s v="10.IV"/>
          <s v="11.IV"/>
          <s v="12.IV"/>
          <s v="13.IV"/>
          <s v="14.IV"/>
          <s v="15.IV"/>
          <s v="16.IV"/>
          <s v="17.IV"/>
          <s v="18.IV"/>
          <s v="19.IV"/>
          <s v="20.IV"/>
          <s v="21.IV"/>
          <s v="22.IV"/>
          <s v="23.IV"/>
          <s v="24.IV"/>
          <s v="25.IV"/>
          <s v="26.IV"/>
          <s v="27.IV"/>
          <s v="28.IV"/>
          <s v="29.IV"/>
          <s v="30.IV"/>
          <s v="01.V"/>
          <s v="02.V"/>
          <s v="03.V"/>
          <s v="04.V"/>
          <s v="05.V"/>
          <s v="06.V"/>
          <s v="07.V"/>
          <s v="08.V"/>
          <s v="09.V"/>
          <s v="10.V"/>
          <s v="11.V"/>
          <s v="12.V"/>
          <s v="13.V"/>
          <s v="14.V"/>
          <s v="15.V"/>
          <s v="16.V"/>
          <s v="17.V"/>
          <s v="18.V"/>
          <s v="19.V"/>
          <s v="20.V"/>
          <s v="21.V"/>
          <s v="22.V"/>
          <s v="23.V"/>
          <s v="24.V"/>
          <s v="25.V"/>
          <s v="26.V"/>
          <s v="27.V"/>
          <s v="28.V"/>
          <s v="29.V"/>
          <s v="30.V"/>
          <s v="31.V"/>
          <s v="01.VI"/>
          <s v="02.VI"/>
          <s v="03.VI"/>
          <s v="04.VI"/>
          <s v="05.VI"/>
          <s v="06.VI"/>
          <s v="07.VI"/>
          <s v="08.VI"/>
          <s v="09.VI"/>
          <s v="10.VI"/>
          <s v="11.VI"/>
          <s v="12.VI"/>
          <s v="13.VI"/>
          <s v="14.VI"/>
          <s v="15.VI"/>
          <s v="16.VI"/>
          <s v="17.VI"/>
          <s v="18.VI"/>
          <s v="19.VI"/>
          <s v="20.VI"/>
          <s v="21.VI"/>
          <s v="22.VI"/>
          <s v="23.VI"/>
          <s v="24.VI"/>
          <s v="25.VI"/>
          <s v="26.VI"/>
          <s v="27.VI"/>
          <s v="28.VI"/>
          <s v="29.VI"/>
          <s v="30.VI"/>
          <s v="01.VII"/>
          <s v="02.VII"/>
          <s v="03.VII"/>
          <s v="04.VII"/>
          <s v="05.VII"/>
          <s v="06.VII"/>
          <s v="07.VII"/>
          <s v="08.VII"/>
          <s v="09.VII"/>
          <s v="10.VII"/>
          <s v="11.VII"/>
          <s v="12.VII"/>
          <s v="13.VII"/>
          <s v="14.VII"/>
          <s v="15.VII"/>
          <s v="16.VII"/>
          <s v="17.VII"/>
          <s v="18.VII"/>
          <s v="19.VII"/>
          <s v="20.VII"/>
          <s v="21.VII"/>
          <s v="22.VII"/>
          <s v="23.VII"/>
          <s v="24.VII"/>
          <s v="25.VII"/>
          <s v="26.VII"/>
          <s v="27.VII"/>
          <s v="28.VII"/>
          <s v="29.VII"/>
          <s v="30.VII"/>
          <s v="31.VII"/>
          <s v="01.VIII"/>
          <s v="02.VIII"/>
          <s v="03.VIII"/>
          <s v="04.VIII"/>
          <s v="05.VIII"/>
          <s v="06.VIII"/>
          <s v="07.VIII"/>
          <s v="08.VIII"/>
          <s v="09.VIII"/>
          <s v="10.VIII"/>
          <s v="11.VIII"/>
          <s v="12.VIII"/>
          <s v="13.VIII"/>
          <s v="14.VIII"/>
          <s v="15.VIII"/>
          <s v="16.VIII"/>
          <s v="17.VIII"/>
          <s v="18.VIII"/>
          <s v="19.VIII"/>
          <s v="20.VIII"/>
          <s v="21.VIII"/>
          <s v="22.VIII"/>
          <s v="23.VIII"/>
          <s v="24.VIII"/>
          <s v="25.VIII"/>
          <s v="26.VIII"/>
          <s v="27.VIII"/>
          <s v="28.VIII"/>
          <s v="29.VIII"/>
          <s v="30.VIII"/>
          <s v="31.VIII"/>
          <s v="01.IX"/>
          <s v="02.IX"/>
          <s v="03.IX"/>
          <s v="04.IX"/>
          <s v="05.IX"/>
          <s v="06.IX"/>
          <s v="07.IX"/>
          <s v="08.IX"/>
          <s v="09.IX"/>
          <s v="10.IX"/>
          <s v="11.IX"/>
          <s v="12.IX"/>
          <s v="13.IX"/>
          <s v="14.IX"/>
          <s v="15.IX"/>
          <s v="16.IX"/>
          <s v="17.IX"/>
          <s v="18.IX"/>
          <s v="19.IX"/>
          <s v="20.IX"/>
          <s v="21.IX"/>
          <s v="22.IX"/>
          <s v="23.IX"/>
          <s v="24.IX"/>
          <s v="25.IX"/>
          <s v="26.IX"/>
          <s v="27.IX"/>
          <s v="28.IX"/>
          <s v="29.IX"/>
          <s v="30.IX"/>
          <s v="01.X"/>
          <s v="02.X"/>
          <s v="03.X"/>
          <s v="04.X"/>
          <s v="05.X"/>
          <s v="06.X"/>
          <s v="07.X"/>
          <s v="08.X"/>
          <s v="09.X"/>
          <s v="10.X"/>
          <s v="11.X"/>
          <s v="12.X"/>
          <s v="13.X"/>
          <s v="14.X"/>
          <s v="15.X"/>
          <s v="16.X"/>
          <s v="17.X"/>
          <s v="18.X"/>
          <s v="19.X"/>
          <s v="20.X"/>
          <s v="21.X"/>
          <s v="22.X"/>
          <s v="23.X"/>
          <s v="24.X"/>
          <s v="25.X"/>
          <s v="26.X"/>
          <s v="27.X"/>
          <s v="28.X"/>
          <s v="29.X"/>
          <s v="30.X"/>
          <s v="31.X"/>
          <s v="01.XI"/>
          <s v="02.XI"/>
          <s v="03.XI"/>
          <s v="04.XI"/>
          <s v="05.XI"/>
          <s v="06.XI"/>
          <s v="07.XI"/>
          <s v="08.XI"/>
          <s v="09.XI"/>
          <s v="10.XI"/>
          <s v="11.XI"/>
          <s v="12.XI"/>
          <s v="13.XI"/>
          <s v="14.XI"/>
          <s v="15.XI"/>
          <s v="16.XI"/>
          <s v="17.XI"/>
          <s v="18.XI"/>
          <s v="19.XI"/>
          <s v="20.XI"/>
          <s v="21.XI"/>
          <s v="22.XI"/>
          <s v="23.XI"/>
          <s v="24.XI"/>
          <s v="25.XI"/>
          <s v="26.XI"/>
          <s v="27.XI"/>
          <s v="28.XI"/>
          <s v="29.XI"/>
          <s v="30.XI"/>
          <s v="01.XII"/>
          <s v="02.XII"/>
          <s v="03.XII"/>
          <s v="04.XII"/>
          <s v="05.XII"/>
          <s v="06.XII"/>
          <s v="07.XII"/>
          <s v="08.XII"/>
          <s v="09.XII"/>
          <s v="10.XII"/>
          <s v="11.XII"/>
          <s v="12.XII"/>
          <s v="13.XII"/>
          <s v="14.XII"/>
          <s v="15.XII"/>
          <s v="16.XII"/>
          <s v="17.XII"/>
          <s v="18.XII"/>
          <s v="19.XII"/>
          <s v="20.XII"/>
          <s v="21.XII"/>
          <s v="22.XII"/>
          <s v="23.XII"/>
          <s v="24.XII"/>
          <s v="25.XII"/>
          <s v="26.XII"/>
          <s v="27.XII"/>
          <s v="28.XII"/>
          <s v="29.XII"/>
          <s v="30.XII"/>
          <s v="31.XII"/>
          <s v="&gt;01.10.2020"/>
        </groupItems>
      </fieldGroup>
    </cacheField>
    <cacheField name="Territory nr." numFmtId="0">
      <sharedItems containsSemiMixedTypes="0" containsString="0" containsNumber="1" containsInteger="1" minValue="0" maxValue="2" count="3">
        <n v="1"/>
        <n v="2"/>
        <n v="0"/>
      </sharedItems>
    </cacheField>
    <cacheField name="Territory name" numFmtId="0">
      <sharedItems/>
    </cacheField>
    <cacheField name="Employee" numFmtId="0">
      <sharedItems count="18">
        <s v="Bartoš, Martin"/>
        <s v="Dušek, Martin"/>
        <s v="Dvořák, Robert"/>
        <s v="Ekrt, Lukáš"/>
        <s v="Fiala, Michal"/>
        <s v="Fremr, Oldřich"/>
        <s v="Hajda, Jiri"/>
        <s v="Hájková, Zuzana"/>
        <s v="Kašparová, Daniela"/>
        <s v="Korec, Jaroslav"/>
        <s v="Kůstka, Tomáš"/>
        <s v="Loffaj, Lukáš"/>
        <s v="Matějka, Ladislav"/>
        <s v="Schüllerová, Stanislava"/>
        <s v="Stančík, Roman"/>
        <s v="Stehlík, Daniel"/>
        <s v="Uriová, Michaela"/>
        <s v="Žid, František"/>
      </sharedItems>
    </cacheField>
    <cacheField name="BH family" numFmtId="0">
      <sharedItems containsSemiMixedTypes="0" containsString="0" containsNumber="1" containsInteger="1" minValue="901" maxValue="1050"/>
    </cacheField>
    <cacheField name="Camel family" numFmtId="0">
      <sharedItems containsSemiMixedTypes="0" containsString="0" containsNumber="1" containsInteger="1" minValue="781" maxValue="805"/>
    </cacheField>
    <cacheField name="LD family" numFmtId="0">
      <sharedItems containsSemiMixedTypes="0" containsString="0" containsNumber="1" containsInteger="1" minValue="499" maxValue="501"/>
    </cacheField>
    <cacheField name="Winston family" numFmtId="0">
      <sharedItems containsSemiMixedTypes="0" containsString="0" containsNumber="1" containsInteger="1" minValue="691" maxValue="702"/>
    </cacheField>
    <cacheField name="LD tabák" numFmtId="0">
      <sharedItems containsSemiMixedTypes="0" containsString="0" containsNumber="1" containsInteger="1" minValue="699" maxValue="702"/>
    </cacheField>
    <cacheField name="Months" numFmtId="0" databaseField="0">
      <fieldGroup base="0">
        <rangePr groupBy="months" startDate="2020-07-29T00:00:00" endDate="2020-10-01T00:00:00"/>
        <groupItems count="14">
          <s v="&lt;29.07.2020"/>
          <s v="I"/>
          <s v="II"/>
          <s v="III"/>
          <s v="IV"/>
          <s v="V"/>
          <s v="VI"/>
          <s v="VII"/>
          <s v="VIII"/>
          <s v="IX"/>
          <s v="X"/>
          <s v="XI"/>
          <s v="XII"/>
          <s v="&gt;01.10.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x v="0"/>
    <x v="0"/>
    <s v="Praha-Sever"/>
    <x v="0"/>
    <n v="974"/>
    <n v="789"/>
    <n v="501"/>
    <n v="702"/>
    <n v="700"/>
  </r>
  <r>
    <x v="1"/>
    <x v="0"/>
    <s v="Praha-Sever"/>
    <x v="0"/>
    <n v="945"/>
    <n v="805"/>
    <n v="501"/>
    <n v="692"/>
    <n v="701"/>
  </r>
  <r>
    <x v="2"/>
    <x v="0"/>
    <s v="Praha-Sever"/>
    <x v="0"/>
    <n v="1029"/>
    <n v="794"/>
    <n v="499"/>
    <n v="693"/>
    <n v="702"/>
  </r>
  <r>
    <x v="3"/>
    <x v="0"/>
    <s v="Benešovsko"/>
    <x v="1"/>
    <n v="980"/>
    <n v="802"/>
    <n v="501"/>
    <n v="695"/>
    <n v="699"/>
  </r>
  <r>
    <x v="4"/>
    <x v="0"/>
    <s v="Benešovsko"/>
    <x v="1"/>
    <n v="1018"/>
    <n v="795"/>
    <n v="499"/>
    <n v="700"/>
    <n v="702"/>
  </r>
  <r>
    <x v="5"/>
    <x v="0"/>
    <s v="Benešovsko"/>
    <x v="1"/>
    <n v="994"/>
    <n v="797"/>
    <n v="499"/>
    <n v="692"/>
    <n v="700"/>
  </r>
  <r>
    <x v="0"/>
    <x v="0"/>
    <s v="Praha 4"/>
    <x v="2"/>
    <n v="1050"/>
    <n v="783"/>
    <n v="501"/>
    <n v="697"/>
    <n v="700"/>
  </r>
  <r>
    <x v="6"/>
    <x v="0"/>
    <s v="Praha 4"/>
    <x v="2"/>
    <n v="1037"/>
    <n v="784"/>
    <n v="501"/>
    <n v="694"/>
    <n v="700"/>
  </r>
  <r>
    <x v="7"/>
    <x v="0"/>
    <s v="Praha 4"/>
    <x v="2"/>
    <n v="1045"/>
    <n v="802"/>
    <n v="501"/>
    <n v="696"/>
    <n v="701"/>
  </r>
  <r>
    <x v="0"/>
    <x v="1"/>
    <s v="ASM2"/>
    <x v="3"/>
    <n v="978"/>
    <n v="788"/>
    <n v="501"/>
    <n v="691"/>
    <n v="699"/>
  </r>
  <r>
    <x v="4"/>
    <x v="1"/>
    <s v="ASM2"/>
    <x v="3"/>
    <n v="923"/>
    <n v="788"/>
    <n v="499"/>
    <n v="702"/>
    <n v="699"/>
  </r>
  <r>
    <x v="7"/>
    <x v="1"/>
    <s v="ASM2"/>
    <x v="3"/>
    <n v="931"/>
    <n v="790"/>
    <n v="501"/>
    <n v="699"/>
    <n v="702"/>
  </r>
  <r>
    <x v="8"/>
    <x v="0"/>
    <s v="ASM1"/>
    <x v="4"/>
    <n v="998"/>
    <n v="805"/>
    <n v="500"/>
    <n v="691"/>
    <n v="701"/>
  </r>
  <r>
    <x v="9"/>
    <x v="0"/>
    <s v="ASM1"/>
    <x v="4"/>
    <n v="906"/>
    <n v="793"/>
    <n v="499"/>
    <n v="693"/>
    <n v="700"/>
  </r>
  <r>
    <x v="7"/>
    <x v="0"/>
    <s v="ASM1"/>
    <x v="4"/>
    <n v="960"/>
    <n v="801"/>
    <n v="501"/>
    <n v="700"/>
    <n v="702"/>
  </r>
  <r>
    <x v="0"/>
    <x v="0"/>
    <s v="Berounsko"/>
    <x v="5"/>
    <n v="1008"/>
    <n v="792"/>
    <n v="500"/>
    <n v="695"/>
    <n v="701"/>
  </r>
  <r>
    <x v="4"/>
    <x v="0"/>
    <s v="Berounsko"/>
    <x v="5"/>
    <n v="999"/>
    <n v="796"/>
    <n v="499"/>
    <n v="700"/>
    <n v="700"/>
  </r>
  <r>
    <x v="7"/>
    <x v="0"/>
    <s v="Berounsko"/>
    <x v="5"/>
    <n v="911"/>
    <n v="786"/>
    <n v="501"/>
    <n v="702"/>
    <n v="702"/>
  </r>
  <r>
    <x v="0"/>
    <x v="0"/>
    <s v="Praha 2-3"/>
    <x v="6"/>
    <n v="925"/>
    <n v="790"/>
    <n v="500"/>
    <n v="698"/>
    <n v="702"/>
  </r>
  <r>
    <x v="4"/>
    <x v="0"/>
    <s v="Praha 2-3"/>
    <x v="6"/>
    <n v="910"/>
    <n v="790"/>
    <n v="500"/>
    <n v="697"/>
    <n v="699"/>
  </r>
  <r>
    <x v="7"/>
    <x v="0"/>
    <s v="Praha 2-3"/>
    <x v="6"/>
    <n v="901"/>
    <n v="784"/>
    <n v="500"/>
    <n v="691"/>
    <n v="700"/>
  </r>
  <r>
    <x v="0"/>
    <x v="1"/>
    <s v="Lounsko"/>
    <x v="7"/>
    <n v="985"/>
    <n v="786"/>
    <n v="501"/>
    <n v="699"/>
    <n v="699"/>
  </r>
  <r>
    <x v="4"/>
    <x v="1"/>
    <s v="Lounsko"/>
    <x v="7"/>
    <n v="1014"/>
    <n v="784"/>
    <n v="501"/>
    <n v="700"/>
    <n v="699"/>
  </r>
  <r>
    <x v="7"/>
    <x v="1"/>
    <s v="Lounsko"/>
    <x v="7"/>
    <n v="932"/>
    <n v="790"/>
    <n v="499"/>
    <n v="699"/>
    <n v="700"/>
  </r>
  <r>
    <x v="3"/>
    <x v="0"/>
    <s v="Praha-Západ"/>
    <x v="8"/>
    <n v="913"/>
    <n v="799"/>
    <n v="501"/>
    <n v="702"/>
    <n v="700"/>
  </r>
  <r>
    <x v="4"/>
    <x v="0"/>
    <s v="Praha-Západ"/>
    <x v="8"/>
    <n v="901"/>
    <n v="784"/>
    <n v="501"/>
    <n v="695"/>
    <n v="699"/>
  </r>
  <r>
    <x v="7"/>
    <x v="0"/>
    <s v="Praha-Západ"/>
    <x v="8"/>
    <n v="989"/>
    <n v="794"/>
    <n v="500"/>
    <n v="698"/>
    <n v="699"/>
  </r>
  <r>
    <x v="0"/>
    <x v="1"/>
    <s v="Mostecko"/>
    <x v="9"/>
    <n v="1032"/>
    <n v="781"/>
    <n v="499"/>
    <n v="702"/>
    <n v="700"/>
  </r>
  <r>
    <x v="4"/>
    <x v="1"/>
    <s v="Mostecko"/>
    <x v="9"/>
    <n v="938"/>
    <n v="802"/>
    <n v="500"/>
    <n v="702"/>
    <n v="700"/>
  </r>
  <r>
    <x v="7"/>
    <x v="1"/>
    <s v="Mostecko"/>
    <x v="9"/>
    <n v="979"/>
    <n v="788"/>
    <n v="499"/>
    <n v="700"/>
    <n v="700"/>
  </r>
  <r>
    <x v="0"/>
    <x v="0"/>
    <s v="Praha 5-6"/>
    <x v="10"/>
    <n v="969"/>
    <n v="785"/>
    <n v="501"/>
    <n v="693"/>
    <n v="701"/>
  </r>
  <r>
    <x v="4"/>
    <x v="0"/>
    <s v="Praha 5-6"/>
    <x v="10"/>
    <n v="1047"/>
    <n v="787"/>
    <n v="500"/>
    <n v="696"/>
    <n v="701"/>
  </r>
  <r>
    <x v="7"/>
    <x v="0"/>
    <s v="Praha 5-6"/>
    <x v="10"/>
    <n v="910"/>
    <n v="802"/>
    <n v="499"/>
    <n v="699"/>
    <n v="701"/>
  </r>
  <r>
    <x v="0"/>
    <x v="1"/>
    <s v="Děčínsko"/>
    <x v="11"/>
    <n v="982"/>
    <n v="785"/>
    <n v="501"/>
    <n v="692"/>
    <n v="701"/>
  </r>
  <r>
    <x v="4"/>
    <x v="1"/>
    <s v="Děčínsko"/>
    <x v="11"/>
    <n v="938"/>
    <n v="803"/>
    <n v="499"/>
    <n v="702"/>
    <n v="701"/>
  </r>
  <r>
    <x v="7"/>
    <x v="1"/>
    <s v="Děčínsko"/>
    <x v="11"/>
    <n v="986"/>
    <n v="801"/>
    <n v="500"/>
    <n v="693"/>
    <n v="699"/>
  </r>
  <r>
    <x v="0"/>
    <x v="0"/>
    <s v="Praha 1-2"/>
    <x v="12"/>
    <n v="961"/>
    <n v="792"/>
    <n v="501"/>
    <n v="698"/>
    <n v="701"/>
  </r>
  <r>
    <x v="4"/>
    <x v="0"/>
    <s v="Praha 1-2"/>
    <x v="12"/>
    <n v="909"/>
    <n v="804"/>
    <n v="499"/>
    <n v="699"/>
    <n v="701"/>
  </r>
  <r>
    <x v="7"/>
    <x v="0"/>
    <s v="Praha 1-2"/>
    <x v="12"/>
    <n v="1010"/>
    <n v="804"/>
    <n v="499"/>
    <n v="699"/>
    <n v="701"/>
  </r>
  <r>
    <x v="0"/>
    <x v="1"/>
    <s v="Chomutovsko"/>
    <x v="13"/>
    <n v="952"/>
    <n v="796"/>
    <n v="501"/>
    <n v="702"/>
    <n v="700"/>
  </r>
  <r>
    <x v="4"/>
    <x v="1"/>
    <s v="Chomutovsko"/>
    <x v="13"/>
    <n v="980"/>
    <n v="790"/>
    <n v="499"/>
    <n v="699"/>
    <n v="701"/>
  </r>
  <r>
    <x v="7"/>
    <x v="1"/>
    <s v="Chomutovsko"/>
    <x v="13"/>
    <n v="1037"/>
    <n v="782"/>
    <n v="500"/>
    <n v="693"/>
    <n v="700"/>
  </r>
  <r>
    <x v="0"/>
    <x v="1"/>
    <s v="Karlovarsko"/>
    <x v="14"/>
    <n v="931"/>
    <n v="802"/>
    <n v="499"/>
    <n v="699"/>
    <n v="702"/>
  </r>
  <r>
    <x v="4"/>
    <x v="1"/>
    <s v="Karlovarsko"/>
    <x v="14"/>
    <n v="905"/>
    <n v="789"/>
    <n v="501"/>
    <n v="692"/>
    <n v="700"/>
  </r>
  <r>
    <x v="7"/>
    <x v="1"/>
    <s v="Karlovarsko"/>
    <x v="14"/>
    <n v="1002"/>
    <n v="788"/>
    <n v="501"/>
    <n v="696"/>
    <n v="699"/>
  </r>
  <r>
    <x v="0"/>
    <x v="1"/>
    <s v="Chebsko"/>
    <x v="15"/>
    <n v="919"/>
    <n v="804"/>
    <n v="500"/>
    <n v="697"/>
    <n v="702"/>
  </r>
  <r>
    <x v="4"/>
    <x v="1"/>
    <s v="Chebsko"/>
    <x v="15"/>
    <n v="982"/>
    <n v="804"/>
    <n v="501"/>
    <n v="693"/>
    <n v="699"/>
  </r>
  <r>
    <x v="7"/>
    <x v="1"/>
    <s v="Chebsko"/>
    <x v="15"/>
    <n v="936"/>
    <n v="803"/>
    <n v="501"/>
    <n v="700"/>
    <n v="699"/>
  </r>
  <r>
    <x v="0"/>
    <x v="1"/>
    <s v="Teplicko"/>
    <x v="16"/>
    <n v="1041"/>
    <n v="790"/>
    <n v="500"/>
    <n v="696"/>
    <n v="702"/>
  </r>
  <r>
    <x v="4"/>
    <x v="1"/>
    <s v="Teplicko"/>
    <x v="16"/>
    <n v="967"/>
    <n v="803"/>
    <n v="499"/>
    <n v="701"/>
    <n v="701"/>
  </r>
  <r>
    <x v="7"/>
    <x v="1"/>
    <s v="Teplicko"/>
    <x v="16"/>
    <n v="1015"/>
    <n v="800"/>
    <n v="500"/>
    <n v="696"/>
    <n v="701"/>
  </r>
  <r>
    <x v="10"/>
    <x v="2"/>
    <s v="Ústecko"/>
    <x v="17"/>
    <n v="1013"/>
    <n v="799"/>
    <n v="501"/>
    <n v="697"/>
    <n v="699"/>
  </r>
  <r>
    <x v="0"/>
    <x v="1"/>
    <s v="Ústecko"/>
    <x v="17"/>
    <n v="982"/>
    <n v="791"/>
    <n v="499"/>
    <n v="695"/>
    <n v="702"/>
  </r>
  <r>
    <x v="4"/>
    <x v="2"/>
    <s v="Ústecko"/>
    <x v="17"/>
    <n v="973"/>
    <n v="783"/>
    <n v="500"/>
    <n v="693"/>
    <n v="702"/>
  </r>
  <r>
    <x v="4"/>
    <x v="1"/>
    <s v="Ústecko"/>
    <x v="17"/>
    <n v="977"/>
    <n v="799"/>
    <n v="501"/>
    <n v="696"/>
    <n v="700"/>
  </r>
  <r>
    <x v="7"/>
    <x v="2"/>
    <s v="Ústecko"/>
    <x v="17"/>
    <n v="1031"/>
    <n v="786"/>
    <n v="501"/>
    <n v="694"/>
    <n v="699"/>
  </r>
  <r>
    <x v="7"/>
    <x v="1"/>
    <s v="Ústecko"/>
    <x v="17"/>
    <n v="1014"/>
    <n v="791"/>
    <n v="499"/>
    <n v="702"/>
    <n v="6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28FA17-E5E8-4B3B-8FCE-1D651368760E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9" firstHeaderRow="1" firstDataRow="3" firstDataCol="1"/>
  <pivotFields count="10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4">
        <item sd="0" x="2"/>
        <item sd="0" x="0"/>
        <item sd="0" x="1"/>
        <item t="default" sd="0"/>
      </items>
    </pivotField>
    <pivotField showAll="0"/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dataField="1" showAll="0"/>
    <pivotField showAll="0"/>
    <pivotField showAll="0"/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"/>
    <field x="3"/>
  </rowFields>
  <rowItems count="4">
    <i>
      <x/>
    </i>
    <i>
      <x v="1"/>
    </i>
    <i>
      <x v="2"/>
    </i>
    <i t="grand">
      <x/>
    </i>
  </rowItems>
  <colFields count="2">
    <field x="9"/>
    <field x="-2"/>
  </colFields>
  <colItems count="8"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 t="grand">
      <x/>
    </i>
    <i t="grand" i="1">
      <x/>
    </i>
  </colItems>
  <dataFields count="2">
    <dataField name="Sum of BH family" fld="4" baseField="9" baseItem="0"/>
    <dataField name="Sum of Camel famil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C0B2BAD-931E-4724-9A3A-C4C9CE813832}" name="obchodnici" displayName="obchodnici" ref="A1:J21" headerRowDxfId="69" dataDxfId="68" totalsRowDxfId="66" tableBorderDxfId="67">
  <autoFilter ref="A1:J21" xr:uid="{35CDBAED-52B1-416C-8E62-EB62523D30A2}"/>
  <tableColumns count="10">
    <tableColumn id="1" xr3:uid="{E7FA02EB-6825-4670-AC95-201BA2C533EE}" name="TSP" totalsRowLabel="Total" dataDxfId="65" totalsRowDxfId="64"/>
    <tableColumn id="2" xr3:uid="{C95E9205-1C78-4B16-8AF4-737AA98BB18D}" name="District" dataDxfId="63" totalsRowDxfId="62"/>
    <tableColumn id="3" xr3:uid="{787619E6-C315-4792-867E-4F257D5D91A6}" name="Territory nr." dataDxfId="61" totalsRowDxfId="60"/>
    <tableColumn id="4" xr3:uid="{4FE6F082-9DE4-431A-8EB2-9F1182380164}" name="Employee" dataDxfId="59" totalsRowDxfId="58"/>
    <tableColumn id="5" xr3:uid="{714C6728-1E12-491A-AE04-F77B205621BE}" name="Territory name" dataDxfId="57" totalsRowDxfId="56"/>
    <tableColumn id="6" xr3:uid="{7EB45964-BB86-450A-A386-FB465DACBE81}" name="BH family" totalsRowFunction="max" dataDxfId="55" totalsRowDxfId="54"/>
    <tableColumn id="7" xr3:uid="{1EBA0817-ABAA-4CB0-8A20-5100AC2CE5D7}" name="Camel family" totalsRowFunction="average" dataDxfId="53" totalsRowDxfId="52"/>
    <tableColumn id="8" xr3:uid="{E271487C-3736-483F-892A-53C5993AB766}" name="LD family" totalsRowFunction="count" dataDxfId="51" totalsRowDxfId="50"/>
    <tableColumn id="9" xr3:uid="{B8CE5F68-BC4E-4C80-868D-BB2B4D126C07}" name="Winston family" totalsRowFunction="average" dataDxfId="49" totalsRowDxfId="48"/>
    <tableColumn id="10" xr3:uid="{1CE20C7D-B9A7-4C1F-8904-B2EC501432F6}" name="LD tabák" totalsRowFunction="min" dataDxfId="47" totalsRowDxfId="46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AF5213-20D6-48CF-A8A7-10C3F1C35C79}" name="obchodnici2" displayName="obchodnici2" ref="A1:J21" totalsRowCount="1" headerRowDxfId="45" dataDxfId="44">
  <autoFilter ref="A1:J20" xr:uid="{2DDA5769-C6D5-4632-B397-4F8077809784}"/>
  <sortState xmlns:xlrd2="http://schemas.microsoft.com/office/spreadsheetml/2017/richdata2" ref="A2:J20">
    <sortCondition ref="C2:C20"/>
    <sortCondition ref="E2:E20"/>
  </sortState>
  <tableColumns count="10">
    <tableColumn id="1" xr3:uid="{95486C1E-AE17-44A9-9E4F-98BAD7203CD6}" name="TSP" totalsRowLabel="Total" dataDxfId="43" totalsRowDxfId="42"/>
    <tableColumn id="2" xr3:uid="{8F716338-415A-448E-B8DC-22052A2784D4}" name="District" dataDxfId="41" totalsRowDxfId="40"/>
    <tableColumn id="3" xr3:uid="{96078E29-37B3-44DC-85BE-E419D639E310}" name="Territory nr." totalsRowFunction="average" dataDxfId="39" totalsRowDxfId="38"/>
    <tableColumn id="4" xr3:uid="{DB4885F8-D50A-4BEE-A773-245C49FCEC27}" name="Territory name" dataDxfId="37" totalsRowDxfId="36"/>
    <tableColumn id="5" xr3:uid="{7128D885-C66B-4225-B377-064B6FD877D3}" name="Employee" dataDxfId="35" totalsRowDxfId="34"/>
    <tableColumn id="6" xr3:uid="{D62376C1-6EA3-4F9B-A573-337E74C067B1}" name="BH family" dataDxfId="33" totalsRowDxfId="32"/>
    <tableColumn id="7" xr3:uid="{1B84ED0E-96D9-4CA8-9E73-A211B9054B4A}" name="Camel family" dataDxfId="31" totalsRowDxfId="30"/>
    <tableColumn id="8" xr3:uid="{66C6ED39-39A6-4499-A387-06C20CC5AC42}" name="LD family" dataDxfId="29" totalsRowDxfId="28"/>
    <tableColumn id="9" xr3:uid="{2E47EEF9-F054-4E6D-8EA1-61878F92881B}" name="Winston family" dataDxfId="27" totalsRowDxfId="26"/>
    <tableColumn id="10" xr3:uid="{7F270223-01D7-4F8B-AA5A-265BAB0FEDFF}" name="LD tabák" totalsRowFunction="sum" dataDxfId="25" totalsRow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DCE3F-C348-4946-99A5-478310993B08}" name="prodeje" displayName="prodeje" ref="A1:Q77" totalsRowShown="0" headerRowDxfId="23" dataDxfId="22">
  <autoFilter ref="A1:Q77" xr:uid="{2733EF45-4E24-44D0-A9EB-074B718061C6}"/>
  <sortState xmlns:xlrd2="http://schemas.microsoft.com/office/spreadsheetml/2017/richdata2" ref="A2:O58">
    <sortCondition ref="A1:A58"/>
  </sortState>
  <tableColumns count="17">
    <tableColumn id="1" xr3:uid="{E5974F9E-A387-467D-8D50-807E00967285}" name="Date" dataDxfId="21" dataCellStyle="Currency"/>
    <tableColumn id="2" xr3:uid="{A0935F4D-58CE-4EA3-ACD0-9CBEA603F339}" name="Territory nr." dataDxfId="20"/>
    <tableColumn id="3" xr3:uid="{06BBA1BD-8118-4BA1-842B-AC68B06A1ED2}" name="Territory name" dataDxfId="19"/>
    <tableColumn id="4" xr3:uid="{7B24FC1F-D7F8-499A-A72D-DAC8CE912060}" name="Employee" dataDxfId="18"/>
    <tableColumn id="5" xr3:uid="{A25CB768-0EFB-4DDB-A646-A23BB22E572D}" name="BH family" dataDxfId="17" dataCellStyle="Currency"/>
    <tableColumn id="6" xr3:uid="{2373E3B6-80D1-4600-A435-6FAD6FB5A5C6}" name="Camel family" dataDxfId="16" dataCellStyle="Currency"/>
    <tableColumn id="7" xr3:uid="{FBB79F95-5488-4357-99CE-566E9E4EABAF}" name="LD family" dataDxfId="15" dataCellStyle="Currency"/>
    <tableColumn id="8" xr3:uid="{6EAAF29C-A332-4174-8974-D9D8F76ADB2F}" name="Winston family" dataDxfId="14" dataCellStyle="Currency"/>
    <tableColumn id="9" xr3:uid="{FAD4AECC-8123-4F9F-A053-B8B63F824EAC}" name="LD tabák" dataDxfId="13" dataCellStyle="Currency"/>
    <tableColumn id="10" xr3:uid="{5CB4A2BB-AE8C-4CF7-A589-966127D204F3}" name="Prodej celkem" dataDxfId="12" dataCellStyle="Currency">
      <calculatedColumnFormula>SUM(prodeje[[#This Row],[BH family]:[LD tabák]])</calculatedColumnFormula>
    </tableColumn>
    <tableColumn id="11" xr3:uid="{D5F0F27F-7AE8-4FAF-A03E-5858484C6B5B}" name="BH family plán" dataDxfId="11" dataCellStyle="Currency">
      <calculatedColumnFormula>SUMIF('sales plans'!$A:$A,$D2,'sales plans'!B:B)</calculatedColumnFormula>
    </tableColumn>
    <tableColumn id="12" xr3:uid="{7006EA49-B181-45D3-ABBA-A837623D6DA3}" name="Camel family plán" dataDxfId="10" dataCellStyle="Currency">
      <calculatedColumnFormula>SUMIF('sales plans'!$A:$A,$D2,'sales plans'!C:C)</calculatedColumnFormula>
    </tableColumn>
    <tableColumn id="13" xr3:uid="{657AD9EB-82C6-400E-86A0-BD6635001276}" name="LD family plán" dataDxfId="9" dataCellStyle="Currency">
      <calculatedColumnFormula>SUMIF('sales plans'!$A:$A,$D2,'sales plans'!D:D)</calculatedColumnFormula>
    </tableColumn>
    <tableColumn id="14" xr3:uid="{6C08339A-1DA9-49AB-BDEB-EDEE0A7E3DBC}" name="Winston family plán" dataDxfId="8" dataCellStyle="Currency">
      <calculatedColumnFormula>SUMIF('sales plans'!$A:$A,$D2,'sales plans'!E:E)</calculatedColumnFormula>
    </tableColumn>
    <tableColumn id="15" xr3:uid="{EA3C08A6-1B15-4658-A9B4-EFCCA8E51299}" name="LD tabák plán" dataDxfId="7" dataCellStyle="Currency">
      <calculatedColumnFormula>SUMIF('sales plans'!$A:$A,$D2,'sales plans'!F:F)</calculatedColumnFormula>
    </tableColumn>
    <tableColumn id="16" xr3:uid="{EC78F9E9-BA5F-4CC9-9E91-3CF1ECB70ECA}" name="Plán celkem" dataDxfId="6" dataCellStyle="Currency">
      <calculatedColumnFormula>SUM(prodeje[[#This Row],[BH family plán]:[LD tabák plán]])</calculatedColumnFormula>
    </tableColumn>
    <tableColumn id="17" xr3:uid="{4DBCFC80-F7E6-4AE2-B2FD-384D3093FA34}" name="Plán vs. prodej" dataDxfId="5" dataCellStyle="Currency">
      <calculatedColumnFormula>prodeje[[#This Row],[Prodej celkem]]-prodeje[[#This Row],[Plán celkem]]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F61066-3CFF-429B-9FF9-EA9B32015865}" name="plan" displayName="plan" ref="A1:F19" totalsRowShown="0">
  <autoFilter ref="A1:F19" xr:uid="{0A95092C-838E-49A5-AB11-716E9C166A2F}"/>
  <tableColumns count="6">
    <tableColumn id="1" xr3:uid="{F9009B0C-3954-44BF-9A30-1B17073ADE94}" name="Employee"/>
    <tableColumn id="2" xr3:uid="{6F1D6666-2B7C-4880-B172-08CBFC1FA407}" name="BH family"/>
    <tableColumn id="3" xr3:uid="{3B0868E6-96D8-4260-BDCE-A5E50E72B7EC}" name="Camel family"/>
    <tableColumn id="4" xr3:uid="{AE8BF9D2-0D31-430F-9ECA-95FFB8794826}" name="LD family"/>
    <tableColumn id="5" xr3:uid="{E4F158A5-DE52-4B69-88F8-462E468F3E8B}" name="Winston family"/>
    <tableColumn id="6" xr3:uid="{D25380C7-6A14-4294-B325-2D159669E64B}" name="LD tabák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A718F-67E4-4E45-AE2C-A51CB6A9F881}" name="analyza" displayName="analyza" ref="A1:D19" totalsRowShown="0">
  <autoFilter ref="A1:D19" xr:uid="{91F5B072-57CC-46C0-887C-B7698EE023E2}"/>
  <tableColumns count="4">
    <tableColumn id="1" xr3:uid="{66FEF59E-4FB6-4611-ACF6-1FDDA9167334}" name="Employee"/>
    <tableColumn id="2" xr3:uid="{E5DE2147-4750-4356-B0AA-7384233BA0D1}" name="prodeje celkem BH family" dataDxfId="4">
      <calculatedColumnFormula>SUMIF(sales!D:D,A2,sales!E:E)</calculatedColumnFormula>
    </tableColumn>
    <tableColumn id="6" xr3:uid="{FE9F1523-2D76-4109-9DCB-4D92C4BE1D1C}" name="plan BH family" dataDxfId="3">
      <calculatedColumnFormula>SUMIF(sales!D:D,analyza[[#This Row],[Employee]],sales!#REF!)</calculatedColumnFormula>
    </tableColumn>
    <tableColumn id="7" xr3:uid="{DD28A91F-89AC-4643-87EA-2CFFAF98066E}" name="Column1" dataDxfId="2">
      <calculatedColumnFormula>analyza[[#This Row],[prodeje celkem BH family]]-analyza[[#This Row],[plan BH family]]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D98B-9C2E-402F-9F7F-9033004AB1FC}">
  <dimension ref="A3:A11"/>
  <sheetViews>
    <sheetView workbookViewId="0">
      <selection activeCell="A4" sqref="A4"/>
    </sheetView>
  </sheetViews>
  <sheetFormatPr defaultRowHeight="15" x14ac:dyDescent="0.25"/>
  <sheetData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10" spans="1:1" x14ac:dyDescent="0.25">
      <c r="A10" t="s">
        <v>52</v>
      </c>
    </row>
    <row r="11" spans="1:1" x14ac:dyDescent="0.25">
      <c r="A1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7E5B-B313-4424-A96F-98641076BF43}">
  <sheetPr>
    <tabColor rgb="FFFF0000"/>
  </sheetPr>
  <dimension ref="A2:G17"/>
  <sheetViews>
    <sheetView topLeftCell="A8" zoomScale="190" zoomScaleNormal="190" workbookViewId="0">
      <selection activeCell="B15" sqref="B15"/>
    </sheetView>
  </sheetViews>
  <sheetFormatPr defaultRowHeight="15" x14ac:dyDescent="0.25"/>
  <cols>
    <col min="1" max="1" width="43.85546875" customWidth="1"/>
    <col min="2" max="2" width="36.140625" customWidth="1"/>
    <col min="3" max="3" width="31.42578125" bestFit="1" customWidth="1"/>
    <col min="4" max="4" width="24" customWidth="1"/>
  </cols>
  <sheetData>
    <row r="2" spans="1:7" x14ac:dyDescent="0.25">
      <c r="A2" t="s">
        <v>122</v>
      </c>
    </row>
    <row r="3" spans="1:7" x14ac:dyDescent="0.25">
      <c r="A3" t="s">
        <v>115</v>
      </c>
      <c r="B3" s="6">
        <v>43831</v>
      </c>
      <c r="D3" t="s">
        <v>119</v>
      </c>
      <c r="E3" s="23">
        <f ca="1">YEAR(B4)</f>
        <v>2020</v>
      </c>
    </row>
    <row r="4" spans="1:7" x14ac:dyDescent="0.25">
      <c r="A4" t="s">
        <v>114</v>
      </c>
      <c r="B4" s="22">
        <f ca="1">TODAY()</f>
        <v>44165</v>
      </c>
      <c r="C4" s="17">
        <f ca="1">EOMONTH(B4,-2)+1</f>
        <v>44105</v>
      </c>
      <c r="D4" t="s">
        <v>120</v>
      </c>
      <c r="E4">
        <f ca="1">MONTH(B4)</f>
        <v>11</v>
      </c>
    </row>
    <row r="5" spans="1:7" x14ac:dyDescent="0.25">
      <c r="A5" t="s">
        <v>116</v>
      </c>
      <c r="B5" s="6">
        <f ca="1">EOMONTH(B4,0)</f>
        <v>44165</v>
      </c>
      <c r="C5" s="17">
        <f ca="1">EOMONTH(B4,-1)</f>
        <v>44135</v>
      </c>
      <c r="D5" t="s">
        <v>121</v>
      </c>
      <c r="E5">
        <f ca="1">DAY(B4)</f>
        <v>30</v>
      </c>
    </row>
    <row r="6" spans="1:7" x14ac:dyDescent="0.25">
      <c r="A6" t="s">
        <v>117</v>
      </c>
      <c r="B6" s="6">
        <f ca="1">EOMONTH(B4,-1)</f>
        <v>44135</v>
      </c>
      <c r="C6" s="17"/>
    </row>
    <row r="7" spans="1:7" x14ac:dyDescent="0.25">
      <c r="A7" t="s">
        <v>118</v>
      </c>
      <c r="B7" s="6">
        <f ca="1">EOMONTH(B4,-1)+1</f>
        <v>44136</v>
      </c>
      <c r="C7" s="17"/>
    </row>
    <row r="9" spans="1:7" x14ac:dyDescent="0.25">
      <c r="A9" t="s">
        <v>123</v>
      </c>
    </row>
    <row r="10" spans="1:7" x14ac:dyDescent="0.25">
      <c r="A10" t="s">
        <v>124</v>
      </c>
      <c r="B10">
        <f ca="1">IF(E3&lt;2020,1,0)</f>
        <v>0</v>
      </c>
      <c r="D10" s="17">
        <f ca="1">TODAY()</f>
        <v>44165</v>
      </c>
      <c r="E10">
        <f ca="1">YEAR(D10)</f>
        <v>2020</v>
      </c>
      <c r="F10">
        <f ca="1">MONTH(D10)</f>
        <v>11</v>
      </c>
      <c r="G10">
        <f ca="1">DAY(D10)</f>
        <v>30</v>
      </c>
    </row>
    <row r="11" spans="1:7" x14ac:dyDescent="0.25">
      <c r="A11" t="s">
        <v>126</v>
      </c>
      <c r="B11" s="17">
        <f ca="1">IFERROR(TODAY()-1,"chyba")</f>
        <v>44164</v>
      </c>
      <c r="D11" s="17">
        <f ca="1">TODAY()-360</f>
        <v>43805</v>
      </c>
      <c r="E11">
        <f t="shared" ref="E11:E12" ca="1" si="0">YEAR(D11)</f>
        <v>2019</v>
      </c>
      <c r="F11">
        <f t="shared" ref="F11:F12" ca="1" si="1">MONTH(D11)</f>
        <v>12</v>
      </c>
      <c r="G11">
        <f t="shared" ref="G11:G12" ca="1" si="2">DAY(D11)</f>
        <v>6</v>
      </c>
    </row>
    <row r="12" spans="1:7" x14ac:dyDescent="0.25">
      <c r="A12" t="s">
        <v>125</v>
      </c>
      <c r="C12" s="24"/>
      <c r="D12" s="17">
        <f ca="1">TODAY()-800</f>
        <v>43365</v>
      </c>
      <c r="E12">
        <f t="shared" ca="1" si="0"/>
        <v>2018</v>
      </c>
      <c r="F12">
        <f t="shared" ca="1" si="1"/>
        <v>9</v>
      </c>
      <c r="G12">
        <f t="shared" ca="1" si="2"/>
        <v>22</v>
      </c>
    </row>
    <row r="15" spans="1:7" x14ac:dyDescent="0.25">
      <c r="A15" s="40">
        <v>12</v>
      </c>
      <c r="B15" s="17">
        <f ca="1">IF(A15&gt;A16,TODAY(),"")</f>
        <v>44165</v>
      </c>
    </row>
    <row r="16" spans="1:7" x14ac:dyDescent="0.25">
      <c r="A16" s="40">
        <v>10</v>
      </c>
    </row>
    <row r="17" spans="2:2" x14ac:dyDescent="0.25">
      <c r="B1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FCF4-B450-47F0-9D35-308AC55968CC}">
  <sheetPr>
    <tabColor rgb="FFFF0000"/>
  </sheetPr>
  <dimension ref="A3:E28"/>
  <sheetViews>
    <sheetView workbookViewId="0">
      <pane ySplit="10" topLeftCell="A11" activePane="bottomLeft" state="frozen"/>
      <selection activeCell="K22" sqref="K22"/>
      <selection pane="bottomLeft" activeCell="C11" sqref="C11"/>
    </sheetView>
  </sheetViews>
  <sheetFormatPr defaultRowHeight="15" x14ac:dyDescent="0.25"/>
  <cols>
    <col min="1" max="1" width="29" bestFit="1" customWidth="1"/>
    <col min="2" max="2" width="19.140625" bestFit="1" customWidth="1"/>
    <col min="3" max="3" width="31.42578125" bestFit="1" customWidth="1"/>
    <col min="4" max="4" width="14" bestFit="1" customWidth="1"/>
    <col min="5" max="5" width="20.5703125" bestFit="1" customWidth="1"/>
  </cols>
  <sheetData>
    <row r="3" spans="1:5" x14ac:dyDescent="0.25">
      <c r="A3" t="s">
        <v>105</v>
      </c>
      <c r="B3" s="5" t="str">
        <f>VLOOKUP(A11,A:B,2,FALSE)</f>
        <v>Martin</v>
      </c>
      <c r="C3" t="s">
        <v>108</v>
      </c>
    </row>
    <row r="4" spans="1:5" x14ac:dyDescent="0.25">
      <c r="A4" t="s">
        <v>104</v>
      </c>
      <c r="B4" s="5" t="str">
        <f>INDEX(A:A,11)</f>
        <v>Dušek</v>
      </c>
      <c r="C4" t="s">
        <v>110</v>
      </c>
    </row>
    <row r="5" spans="1:5" x14ac:dyDescent="0.25">
      <c r="A5" t="s">
        <v>106</v>
      </c>
      <c r="B5" s="5">
        <f>MATCH(A11,A:A,0)</f>
        <v>11</v>
      </c>
      <c r="C5" t="s">
        <v>111</v>
      </c>
    </row>
    <row r="6" spans="1:5" x14ac:dyDescent="0.25">
      <c r="A6" t="s">
        <v>107</v>
      </c>
      <c r="B6" s="5" t="str" cm="1">
        <f t="array" ref="B6">INDEX(B:B,MATCH("Dušek, Martin",C:C,0),0)</f>
        <v>Martin</v>
      </c>
      <c r="C6" t="s">
        <v>112</v>
      </c>
    </row>
    <row r="7" spans="1:5" x14ac:dyDescent="0.25">
      <c r="A7" t="s">
        <v>113</v>
      </c>
      <c r="B7" s="5" t="str">
        <f>_xlfn.XLOOKUP(C13,C:C,B:B,,0,1)</f>
        <v>Ladislav</v>
      </c>
      <c r="C7" t="s">
        <v>109</v>
      </c>
    </row>
    <row r="10" spans="1:5" x14ac:dyDescent="0.25">
      <c r="A10" s="2" t="s">
        <v>86</v>
      </c>
      <c r="B10" s="2" t="s">
        <v>87</v>
      </c>
      <c r="C10" s="4" t="s">
        <v>20</v>
      </c>
      <c r="D10" s="2" t="s">
        <v>85</v>
      </c>
      <c r="E10" s="9"/>
    </row>
    <row r="11" spans="1:5" x14ac:dyDescent="0.25">
      <c r="A11" s="21" t="s">
        <v>24</v>
      </c>
      <c r="B11" s="20" t="s">
        <v>88</v>
      </c>
      <c r="C11" s="4" t="str">
        <f t="shared" ref="C11:C28" si="0">_xlfn.CONCAT(A11,", ",B11)</f>
        <v>Dušek, Martin</v>
      </c>
      <c r="D11" s="2">
        <f>VLOOKUP(C11,'data-2020'!E:F,2,FALSE)</f>
        <v>0.25</v>
      </c>
    </row>
    <row r="12" spans="1:5" x14ac:dyDescent="0.25">
      <c r="A12" s="2" t="s">
        <v>25</v>
      </c>
      <c r="B12" s="2" t="s">
        <v>89</v>
      </c>
      <c r="C12" s="4" t="str">
        <f t="shared" si="0"/>
        <v>Fremr, Oldřich</v>
      </c>
      <c r="D12" s="2">
        <f>VLOOKUP(C12,'data-2020'!E:F,2,FALSE)</f>
        <v>0.25</v>
      </c>
    </row>
    <row r="13" spans="1:5" x14ac:dyDescent="0.25">
      <c r="A13" s="2" t="s">
        <v>26</v>
      </c>
      <c r="B13" s="2" t="s">
        <v>90</v>
      </c>
      <c r="C13" s="4" t="str">
        <f t="shared" si="0"/>
        <v>Matějka, Ladislav</v>
      </c>
      <c r="D13" s="2">
        <f>VLOOKUP(C13,'data-2020'!E:F,2,FALSE)</f>
        <v>0.25</v>
      </c>
    </row>
    <row r="14" spans="1:5" x14ac:dyDescent="0.25">
      <c r="A14" s="2" t="s">
        <v>27</v>
      </c>
      <c r="B14" s="2" t="s">
        <v>91</v>
      </c>
      <c r="C14" s="4" t="str">
        <f t="shared" si="0"/>
        <v>Hajda, Jiri</v>
      </c>
      <c r="D14" s="2">
        <f>VLOOKUP(C14,'data-2020'!E:F,2,FALSE)</f>
        <v>0.25</v>
      </c>
    </row>
    <row r="15" spans="1:5" x14ac:dyDescent="0.25">
      <c r="A15" s="2" t="s">
        <v>28</v>
      </c>
      <c r="B15" s="2" t="s">
        <v>92</v>
      </c>
      <c r="C15" s="4" t="str">
        <f t="shared" si="0"/>
        <v>Dvořák, Robert</v>
      </c>
      <c r="D15" s="2">
        <f>VLOOKUP(C15,'data-2020'!E:F,2,FALSE)</f>
        <v>0.25</v>
      </c>
    </row>
    <row r="16" spans="1:5" x14ac:dyDescent="0.25">
      <c r="A16" s="2" t="s">
        <v>29</v>
      </c>
      <c r="B16" s="2" t="s">
        <v>88</v>
      </c>
      <c r="C16" s="4" t="str">
        <f t="shared" si="0"/>
        <v>Bartoš, Martin</v>
      </c>
      <c r="D16" s="2">
        <f>VLOOKUP(C16,'data-2020'!E:F,2,FALSE)</f>
        <v>0.25</v>
      </c>
    </row>
    <row r="17" spans="1:4" x14ac:dyDescent="0.25">
      <c r="A17" s="2" t="s">
        <v>30</v>
      </c>
      <c r="B17" s="2" t="s">
        <v>93</v>
      </c>
      <c r="C17" s="4" t="str">
        <f t="shared" si="0"/>
        <v>Kůstka, Tomáš</v>
      </c>
      <c r="D17" s="2">
        <f>VLOOKUP(C17,'data-2020'!E:F,2,FALSE)</f>
        <v>0.25</v>
      </c>
    </row>
    <row r="18" spans="1:4" x14ac:dyDescent="0.25">
      <c r="A18" s="2" t="s">
        <v>31</v>
      </c>
      <c r="B18" s="2" t="s">
        <v>94</v>
      </c>
      <c r="C18" s="4" t="str">
        <f t="shared" si="0"/>
        <v>Kašparová, Daniela</v>
      </c>
      <c r="D18" s="2">
        <f>VLOOKUP(C18,'data-2020'!E:F,2,FALSE)</f>
        <v>0.25</v>
      </c>
    </row>
    <row r="19" spans="1:4" x14ac:dyDescent="0.25">
      <c r="A19" s="2" t="s">
        <v>32</v>
      </c>
      <c r="B19" s="2" t="s">
        <v>95</v>
      </c>
      <c r="C19" s="4" t="str">
        <f t="shared" si="0"/>
        <v>Fiala, Michal</v>
      </c>
      <c r="D19" s="2">
        <f>VLOOKUP(C19,'data-2020'!E:F,2,FALSE)</f>
        <v>0.25</v>
      </c>
    </row>
    <row r="20" spans="1:4" x14ac:dyDescent="0.25">
      <c r="A20" s="2" t="s">
        <v>33</v>
      </c>
      <c r="B20" s="2" t="s">
        <v>96</v>
      </c>
      <c r="C20" s="4" t="str">
        <f t="shared" si="0"/>
        <v>Stehlík, Daniel</v>
      </c>
      <c r="D20" s="2">
        <f>VLOOKUP(C20,'data-2020'!E:F,2,FALSE)</f>
        <v>0.25</v>
      </c>
    </row>
    <row r="21" spans="1:4" x14ac:dyDescent="0.25">
      <c r="A21" s="2" t="s">
        <v>34</v>
      </c>
      <c r="B21" s="2" t="s">
        <v>97</v>
      </c>
      <c r="C21" s="4" t="str">
        <f t="shared" si="0"/>
        <v>Schüllerová, Stanislava</v>
      </c>
      <c r="D21" s="2">
        <f>VLOOKUP(C21,'data-2020'!E:F,2,FALSE)</f>
        <v>0.25</v>
      </c>
    </row>
    <row r="22" spans="1:4" x14ac:dyDescent="0.25">
      <c r="A22" s="2" t="s">
        <v>35</v>
      </c>
      <c r="B22" s="2" t="s">
        <v>98</v>
      </c>
      <c r="C22" s="4" t="str">
        <f t="shared" si="0"/>
        <v>Loffaj, Lukáš</v>
      </c>
      <c r="D22" s="2">
        <f>VLOOKUP(C22,'data-2020'!E:F,2,FALSE)</f>
        <v>0.25</v>
      </c>
    </row>
    <row r="23" spans="1:4" x14ac:dyDescent="0.25">
      <c r="A23" s="2" t="s">
        <v>36</v>
      </c>
      <c r="B23" s="2" t="s">
        <v>99</v>
      </c>
      <c r="C23" s="4" t="str">
        <f t="shared" si="0"/>
        <v>Stančík, Roman</v>
      </c>
      <c r="D23" s="2">
        <f>VLOOKUP(C23,'data-2020'!E:F,2,FALSE)</f>
        <v>0.25</v>
      </c>
    </row>
    <row r="24" spans="1:4" x14ac:dyDescent="0.25">
      <c r="A24" s="2" t="s">
        <v>37</v>
      </c>
      <c r="B24" s="2" t="s">
        <v>100</v>
      </c>
      <c r="C24" s="4" t="str">
        <f t="shared" si="0"/>
        <v>Hájková, Zuzana</v>
      </c>
      <c r="D24" s="2">
        <f>VLOOKUP(C24,'data-2020'!E:F,2,FALSE)</f>
        <v>0.25</v>
      </c>
    </row>
    <row r="25" spans="1:4" x14ac:dyDescent="0.25">
      <c r="A25" s="2" t="s">
        <v>38</v>
      </c>
      <c r="B25" s="2" t="s">
        <v>101</v>
      </c>
      <c r="C25" s="4" t="str">
        <f t="shared" si="0"/>
        <v>Korec, Jaroslav</v>
      </c>
      <c r="D25" s="2">
        <f>VLOOKUP(C25,'data-2020'!E:F,2,FALSE)</f>
        <v>0.25</v>
      </c>
    </row>
    <row r="26" spans="1:4" x14ac:dyDescent="0.25">
      <c r="A26" s="2" t="s">
        <v>39</v>
      </c>
      <c r="B26" s="2" t="s">
        <v>102</v>
      </c>
      <c r="C26" s="4" t="str">
        <f t="shared" si="0"/>
        <v>Uriová, Michaela</v>
      </c>
      <c r="D26" s="2">
        <f>VLOOKUP(C26,'data-2020'!E:F,2,FALSE)</f>
        <v>0.25</v>
      </c>
    </row>
    <row r="27" spans="1:4" x14ac:dyDescent="0.25">
      <c r="A27" s="2" t="s">
        <v>40</v>
      </c>
      <c r="B27" s="2" t="s">
        <v>103</v>
      </c>
      <c r="C27" s="4" t="str">
        <f t="shared" si="0"/>
        <v>Žid, František</v>
      </c>
      <c r="D27" s="2">
        <f>VLOOKUP(C27,'data-2020'!E:F,2,FALSE)</f>
        <v>0.25</v>
      </c>
    </row>
    <row r="28" spans="1:4" x14ac:dyDescent="0.25">
      <c r="A28" s="2" t="s">
        <v>41</v>
      </c>
      <c r="B28" s="2" t="s">
        <v>98</v>
      </c>
      <c r="C28" s="4" t="str">
        <f t="shared" si="0"/>
        <v>Ekrt, Lukáš</v>
      </c>
      <c r="D28" s="2">
        <f>VLOOKUP(C28,'data-2020'!E:F,2,FALSE)</f>
        <v>0.25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28D0-AF09-40EE-841C-3998C49A7569}">
  <sheetPr>
    <tabColor rgb="FFFF0000"/>
  </sheetPr>
  <dimension ref="A2:K29"/>
  <sheetViews>
    <sheetView showGridLines="0" topLeftCell="B1" zoomScaleNormal="100" workbookViewId="0">
      <pane ySplit="10" topLeftCell="A11" activePane="bottomLeft" state="frozen"/>
      <selection activeCell="K22" sqref="K22"/>
      <selection pane="bottomLeft" activeCell="H1" sqref="H1:H1048576"/>
    </sheetView>
  </sheetViews>
  <sheetFormatPr defaultRowHeight="15" x14ac:dyDescent="0.25"/>
  <cols>
    <col min="1" max="1" width="9.85546875" customWidth="1"/>
    <col min="2" max="2" width="30.85546875" bestFit="1" customWidth="1"/>
    <col min="3" max="3" width="30.85546875" customWidth="1"/>
    <col min="4" max="5" width="14.7109375" customWidth="1"/>
    <col min="6" max="6" width="21.5703125" bestFit="1" customWidth="1"/>
    <col min="7" max="7" width="10.140625" bestFit="1" customWidth="1"/>
    <col min="8" max="8" width="12.85546875" bestFit="1" customWidth="1"/>
    <col min="9" max="9" width="10.140625" bestFit="1" customWidth="1"/>
    <col min="10" max="10" width="14.85546875" bestFit="1" customWidth="1"/>
    <col min="11" max="11" width="10.140625" bestFit="1" customWidth="1"/>
  </cols>
  <sheetData>
    <row r="2" spans="1:11" x14ac:dyDescent="0.25">
      <c r="B2" t="s">
        <v>70</v>
      </c>
      <c r="C2">
        <f>COUNT(C11:C28)</f>
        <v>16</v>
      </c>
      <c r="D2" s="16" t="s">
        <v>72</v>
      </c>
      <c r="G2" t="s">
        <v>134</v>
      </c>
      <c r="J2">
        <f>_xlfn.MAXIFS(G:G,C:C,1)</f>
        <v>0.2</v>
      </c>
    </row>
    <row r="3" spans="1:11" x14ac:dyDescent="0.25">
      <c r="B3" t="s">
        <v>71</v>
      </c>
      <c r="C3">
        <f>COUNTA($C$11:$C$28)</f>
        <v>18</v>
      </c>
      <c r="D3" s="16" t="s">
        <v>73</v>
      </c>
    </row>
    <row r="4" spans="1:11" x14ac:dyDescent="0.25">
      <c r="B4" t="s">
        <v>75</v>
      </c>
      <c r="C4">
        <f>COUNTIF(C11:C28,1)</f>
        <v>8</v>
      </c>
      <c r="D4" s="16" t="s">
        <v>76</v>
      </c>
    </row>
    <row r="5" spans="1:11" x14ac:dyDescent="0.25">
      <c r="B5" t="s">
        <v>69</v>
      </c>
      <c r="C5" s="1">
        <f>AVERAGE(bh_family)</f>
        <v>0.20000000000000007</v>
      </c>
      <c r="D5" s="16" t="s">
        <v>74</v>
      </c>
    </row>
    <row r="6" spans="1:11" x14ac:dyDescent="0.25">
      <c r="B6" t="s">
        <v>83</v>
      </c>
      <c r="C6" s="1">
        <f>AVERAGEIF(C10:C28,1,G10:K28)</f>
        <v>0.19999999999999998</v>
      </c>
      <c r="D6" s="16" t="s">
        <v>84</v>
      </c>
    </row>
    <row r="7" spans="1:11" x14ac:dyDescent="0.25">
      <c r="B7" t="s">
        <v>81</v>
      </c>
      <c r="C7">
        <f>CEILING(C4,10)</f>
        <v>10</v>
      </c>
    </row>
    <row r="8" spans="1:11" x14ac:dyDescent="0.25">
      <c r="B8" t="s">
        <v>82</v>
      </c>
      <c r="C8">
        <f>ROUND(C3,0)</f>
        <v>18</v>
      </c>
    </row>
    <row r="10" spans="1:11" x14ac:dyDescent="0.25">
      <c r="A10" s="2" t="s">
        <v>21</v>
      </c>
      <c r="B10" s="2" t="s">
        <v>23</v>
      </c>
      <c r="C10" s="2" t="s">
        <v>67</v>
      </c>
      <c r="D10" s="2" t="s">
        <v>77</v>
      </c>
      <c r="E10" s="4" t="s">
        <v>68</v>
      </c>
      <c r="F10" s="2" t="s">
        <v>20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46</v>
      </c>
    </row>
    <row r="11" spans="1:11" x14ac:dyDescent="0.25">
      <c r="A11" s="2" t="s">
        <v>21</v>
      </c>
      <c r="B11" s="2" t="s">
        <v>0</v>
      </c>
      <c r="C11" s="2">
        <v>1</v>
      </c>
      <c r="D11" s="2" t="s">
        <v>78</v>
      </c>
      <c r="E11" s="4" t="str">
        <f>TRIM(PROPER(D11))</f>
        <v>Benešovsko</v>
      </c>
      <c r="F11" s="2" t="s">
        <v>2</v>
      </c>
      <c r="G11" s="3">
        <v>0.2</v>
      </c>
      <c r="H11" s="3">
        <v>0.3</v>
      </c>
      <c r="I11" s="3">
        <v>0.1</v>
      </c>
      <c r="J11" s="3">
        <v>0.3</v>
      </c>
      <c r="K11" s="3">
        <v>0.1</v>
      </c>
    </row>
    <row r="12" spans="1:11" x14ac:dyDescent="0.25">
      <c r="A12" s="2" t="s">
        <v>21</v>
      </c>
      <c r="B12" s="2"/>
      <c r="C12" s="2">
        <v>1</v>
      </c>
      <c r="D12" s="2" t="s">
        <v>79</v>
      </c>
      <c r="E12" s="4" t="str">
        <f t="shared" ref="E12:E29" si="0">TRIM(PROPER(D12))</f>
        <v>Berounsko</v>
      </c>
      <c r="F12" s="2" t="s">
        <v>3</v>
      </c>
      <c r="G12" s="3">
        <v>0.2</v>
      </c>
      <c r="H12" s="3">
        <v>0.3</v>
      </c>
      <c r="I12" s="3">
        <v>0.1</v>
      </c>
      <c r="J12" s="3">
        <v>0.3</v>
      </c>
      <c r="K12" s="3">
        <v>0.1</v>
      </c>
    </row>
    <row r="13" spans="1:11" x14ac:dyDescent="0.25">
      <c r="A13" s="2" t="s">
        <v>21</v>
      </c>
      <c r="B13" s="2"/>
      <c r="C13" s="2">
        <v>1</v>
      </c>
      <c r="D13" s="2" t="s">
        <v>54</v>
      </c>
      <c r="E13" s="4" t="str">
        <f t="shared" si="0"/>
        <v>Praha 1-2</v>
      </c>
      <c r="F13" s="2" t="s">
        <v>4</v>
      </c>
      <c r="G13" s="3">
        <v>0.2</v>
      </c>
      <c r="H13" s="3">
        <v>0.3</v>
      </c>
      <c r="I13" s="3">
        <v>0.1</v>
      </c>
      <c r="J13" s="3">
        <v>0.3</v>
      </c>
      <c r="K13" s="3">
        <v>0.1</v>
      </c>
    </row>
    <row r="14" spans="1:11" x14ac:dyDescent="0.25">
      <c r="A14" s="2" t="s">
        <v>21</v>
      </c>
      <c r="B14" s="2"/>
      <c r="C14" s="2">
        <v>1</v>
      </c>
      <c r="D14" s="2" t="s">
        <v>55</v>
      </c>
      <c r="E14" s="4" t="str">
        <f t="shared" si="0"/>
        <v>Praha 2-3</v>
      </c>
      <c r="F14" s="2" t="s">
        <v>5</v>
      </c>
      <c r="G14" s="3">
        <v>0.2</v>
      </c>
      <c r="H14" s="3">
        <v>0.3</v>
      </c>
      <c r="I14" s="3">
        <v>0.1</v>
      </c>
      <c r="J14" s="3">
        <v>0.3</v>
      </c>
      <c r="K14" s="3">
        <v>0.1</v>
      </c>
    </row>
    <row r="15" spans="1:11" x14ac:dyDescent="0.25">
      <c r="A15" s="2" t="s">
        <v>21</v>
      </c>
      <c r="B15" s="2"/>
      <c r="C15" s="2">
        <v>1</v>
      </c>
      <c r="D15" s="2" t="s">
        <v>56</v>
      </c>
      <c r="E15" s="4" t="str">
        <f t="shared" si="0"/>
        <v>Praha 4</v>
      </c>
      <c r="F15" s="2" t="s">
        <v>6</v>
      </c>
      <c r="G15" s="3">
        <v>0.2</v>
      </c>
      <c r="H15" s="3">
        <v>0.3</v>
      </c>
      <c r="I15" s="3">
        <v>0.1</v>
      </c>
      <c r="J15" s="3">
        <v>0.3</v>
      </c>
      <c r="K15" s="3">
        <v>0.1</v>
      </c>
    </row>
    <row r="16" spans="1:11" x14ac:dyDescent="0.25">
      <c r="A16" s="2" t="s">
        <v>21</v>
      </c>
      <c r="B16" s="2"/>
      <c r="C16" s="2">
        <v>1</v>
      </c>
      <c r="D16" s="2" t="s">
        <v>57</v>
      </c>
      <c r="E16" s="4" t="str">
        <f t="shared" si="0"/>
        <v>Praha-Sever</v>
      </c>
      <c r="F16" s="2" t="s">
        <v>7</v>
      </c>
      <c r="G16" s="3">
        <v>0.2</v>
      </c>
      <c r="H16" s="3">
        <v>0.3</v>
      </c>
      <c r="I16" s="3">
        <v>0.1</v>
      </c>
      <c r="J16" s="3">
        <v>0.3</v>
      </c>
      <c r="K16" s="3">
        <v>0.1</v>
      </c>
    </row>
    <row r="17" spans="1:11" x14ac:dyDescent="0.25">
      <c r="A17" s="2" t="s">
        <v>21</v>
      </c>
      <c r="B17" s="2"/>
      <c r="C17" s="2">
        <v>1</v>
      </c>
      <c r="D17" s="2" t="s">
        <v>58</v>
      </c>
      <c r="E17" s="4" t="str">
        <f t="shared" si="0"/>
        <v>Praha 5-6</v>
      </c>
      <c r="F17" s="2" t="s">
        <v>8</v>
      </c>
      <c r="G17" s="3">
        <v>0.2</v>
      </c>
      <c r="H17" s="3">
        <v>0.3</v>
      </c>
      <c r="I17" s="3">
        <v>0.1</v>
      </c>
      <c r="J17" s="3">
        <v>0.3</v>
      </c>
      <c r="K17" s="3">
        <v>0.1</v>
      </c>
    </row>
    <row r="18" spans="1:11" x14ac:dyDescent="0.25">
      <c r="A18" s="2" t="s">
        <v>21</v>
      </c>
      <c r="B18" s="2"/>
      <c r="C18" s="2">
        <v>1</v>
      </c>
      <c r="D18" s="2" t="s">
        <v>59</v>
      </c>
      <c r="E18" s="4" t="str">
        <f t="shared" si="0"/>
        <v>Praha-Západ</v>
      </c>
      <c r="F18" s="2" t="s">
        <v>9</v>
      </c>
      <c r="G18" s="3">
        <v>0.2</v>
      </c>
      <c r="H18" s="3">
        <v>0.3</v>
      </c>
      <c r="I18" s="3">
        <v>0.1</v>
      </c>
      <c r="J18" s="3">
        <v>0.3</v>
      </c>
      <c r="K18" s="3">
        <v>0.1</v>
      </c>
    </row>
    <row r="19" spans="1:11" x14ac:dyDescent="0.25">
      <c r="A19" s="2" t="s">
        <v>21</v>
      </c>
      <c r="B19" s="2"/>
      <c r="C19" s="2" t="s">
        <v>0</v>
      </c>
      <c r="D19" s="2" t="s">
        <v>0</v>
      </c>
      <c r="E19" s="4" t="str">
        <f t="shared" si="0"/>
        <v>Asm1</v>
      </c>
      <c r="F19" s="2" t="s">
        <v>10</v>
      </c>
      <c r="G19" s="3">
        <v>0.2</v>
      </c>
      <c r="H19" s="3">
        <v>0.3</v>
      </c>
      <c r="I19" s="3">
        <v>0.1</v>
      </c>
      <c r="J19" s="3">
        <v>0.3</v>
      </c>
      <c r="K19" s="3">
        <v>0.1</v>
      </c>
    </row>
    <row r="20" spans="1:11" x14ac:dyDescent="0.25">
      <c r="A20" s="2" t="s">
        <v>21</v>
      </c>
      <c r="B20" s="2" t="s">
        <v>1</v>
      </c>
      <c r="C20" s="2">
        <v>2</v>
      </c>
      <c r="D20" s="2" t="s">
        <v>80</v>
      </c>
      <c r="E20" s="4" t="str">
        <f t="shared" si="0"/>
        <v>Chebsko</v>
      </c>
      <c r="F20" s="2" t="s">
        <v>11</v>
      </c>
      <c r="G20" s="3">
        <v>0.2</v>
      </c>
      <c r="H20" s="3">
        <v>0.3</v>
      </c>
      <c r="I20" s="3">
        <v>0.1</v>
      </c>
      <c r="J20" s="3">
        <v>0.3</v>
      </c>
      <c r="K20" s="3">
        <v>0.1</v>
      </c>
    </row>
    <row r="21" spans="1:11" x14ac:dyDescent="0.25">
      <c r="A21" s="2" t="s">
        <v>21</v>
      </c>
      <c r="B21" s="2"/>
      <c r="C21" s="2">
        <v>2</v>
      </c>
      <c r="D21" s="2" t="s">
        <v>60</v>
      </c>
      <c r="E21" s="4" t="str">
        <f t="shared" si="0"/>
        <v>Chomutovsko</v>
      </c>
      <c r="F21" s="2" t="s">
        <v>12</v>
      </c>
      <c r="G21" s="3">
        <v>0.2</v>
      </c>
      <c r="H21" s="3">
        <v>0.3</v>
      </c>
      <c r="I21" s="3">
        <v>0.1</v>
      </c>
      <c r="J21" s="3">
        <v>0.3</v>
      </c>
      <c r="K21" s="3">
        <v>0.1</v>
      </c>
    </row>
    <row r="22" spans="1:11" x14ac:dyDescent="0.25">
      <c r="A22" s="2" t="s">
        <v>21</v>
      </c>
      <c r="B22" s="2"/>
      <c r="C22" s="2">
        <v>2</v>
      </c>
      <c r="D22" s="2" t="s">
        <v>61</v>
      </c>
      <c r="E22" s="4" t="str">
        <f t="shared" si="0"/>
        <v>Děčínsko</v>
      </c>
      <c r="F22" s="2" t="s">
        <v>13</v>
      </c>
      <c r="G22" s="3">
        <v>0.2</v>
      </c>
      <c r="H22" s="3">
        <v>0.3</v>
      </c>
      <c r="I22" s="3">
        <v>0.1</v>
      </c>
      <c r="J22" s="3">
        <v>0.3</v>
      </c>
      <c r="K22" s="3">
        <v>0.1</v>
      </c>
    </row>
    <row r="23" spans="1:11" x14ac:dyDescent="0.25">
      <c r="A23" s="2" t="s">
        <v>21</v>
      </c>
      <c r="B23" s="2"/>
      <c r="C23" s="2">
        <v>2</v>
      </c>
      <c r="D23" s="2" t="s">
        <v>62</v>
      </c>
      <c r="E23" s="4" t="str">
        <f t="shared" si="0"/>
        <v>Karlovarsko</v>
      </c>
      <c r="F23" s="2" t="s">
        <v>14</v>
      </c>
      <c r="G23" s="3">
        <v>0.2</v>
      </c>
      <c r="H23" s="3">
        <v>0.3</v>
      </c>
      <c r="I23" s="3">
        <v>0.1</v>
      </c>
      <c r="J23" s="3">
        <v>0.3</v>
      </c>
      <c r="K23" s="3">
        <v>0.1</v>
      </c>
    </row>
    <row r="24" spans="1:11" x14ac:dyDescent="0.25">
      <c r="A24" s="2" t="s">
        <v>21</v>
      </c>
      <c r="B24" s="2"/>
      <c r="C24" s="2">
        <v>2</v>
      </c>
      <c r="D24" s="2" t="s">
        <v>63</v>
      </c>
      <c r="E24" s="4" t="str">
        <f t="shared" si="0"/>
        <v>Lounsko</v>
      </c>
      <c r="F24" s="2" t="s">
        <v>15</v>
      </c>
      <c r="G24" s="3">
        <v>0.2</v>
      </c>
      <c r="H24" s="3">
        <v>0.3</v>
      </c>
      <c r="I24" s="3">
        <v>0.1</v>
      </c>
      <c r="J24" s="3">
        <v>0.3</v>
      </c>
      <c r="K24" s="3">
        <v>0.1</v>
      </c>
    </row>
    <row r="25" spans="1:11" x14ac:dyDescent="0.25">
      <c r="A25" s="2" t="s">
        <v>21</v>
      </c>
      <c r="B25" s="2"/>
      <c r="C25" s="2">
        <v>2</v>
      </c>
      <c r="D25" s="2" t="s">
        <v>64</v>
      </c>
      <c r="E25" s="4" t="str">
        <f t="shared" si="0"/>
        <v>Mostecko</v>
      </c>
      <c r="F25" s="2" t="s">
        <v>16</v>
      </c>
      <c r="G25" s="3">
        <v>0.2</v>
      </c>
      <c r="H25" s="3">
        <v>0.3</v>
      </c>
      <c r="I25" s="3">
        <v>0.1</v>
      </c>
      <c r="J25" s="3">
        <v>0.3</v>
      </c>
      <c r="K25" s="3">
        <v>0.1</v>
      </c>
    </row>
    <row r="26" spans="1:11" x14ac:dyDescent="0.25">
      <c r="A26" s="2" t="s">
        <v>21</v>
      </c>
      <c r="B26" s="2"/>
      <c r="C26" s="2">
        <v>2</v>
      </c>
      <c r="D26" s="2" t="s">
        <v>65</v>
      </c>
      <c r="E26" s="4" t="str">
        <f t="shared" si="0"/>
        <v>Teplicko</v>
      </c>
      <c r="F26" s="2" t="s">
        <v>17</v>
      </c>
      <c r="G26" s="3">
        <v>0.2</v>
      </c>
      <c r="H26" s="3">
        <v>0.3</v>
      </c>
      <c r="I26" s="3">
        <v>0.1</v>
      </c>
      <c r="J26" s="3">
        <v>0.3</v>
      </c>
      <c r="K26" s="3">
        <v>0.1</v>
      </c>
    </row>
    <row r="27" spans="1:11" x14ac:dyDescent="0.25">
      <c r="A27" s="2" t="s">
        <v>21</v>
      </c>
      <c r="B27" s="2"/>
      <c r="C27" s="2">
        <v>2</v>
      </c>
      <c r="D27" s="2" t="s">
        <v>66</v>
      </c>
      <c r="E27" s="4" t="str">
        <f t="shared" si="0"/>
        <v>Ústecko</v>
      </c>
      <c r="F27" s="2" t="s">
        <v>18</v>
      </c>
      <c r="G27" s="3">
        <v>0.2</v>
      </c>
      <c r="H27" s="3">
        <v>0.3</v>
      </c>
      <c r="I27" s="3">
        <v>0.1</v>
      </c>
      <c r="J27" s="3">
        <v>0.3</v>
      </c>
      <c r="K27" s="3">
        <v>0.1</v>
      </c>
    </row>
    <row r="28" spans="1:11" x14ac:dyDescent="0.25">
      <c r="A28" s="2" t="s">
        <v>21</v>
      </c>
      <c r="B28" s="2"/>
      <c r="C28" s="2" t="s">
        <v>1</v>
      </c>
      <c r="D28" s="2" t="s">
        <v>1</v>
      </c>
      <c r="E28" s="4" t="str">
        <f t="shared" si="0"/>
        <v>Asm2</v>
      </c>
      <c r="F28" s="2" t="s">
        <v>19</v>
      </c>
      <c r="G28" s="3">
        <v>0.2</v>
      </c>
      <c r="H28" s="3">
        <v>0.3</v>
      </c>
      <c r="I28" s="3">
        <v>0.1</v>
      </c>
      <c r="J28" s="3">
        <v>0.3</v>
      </c>
      <c r="K28" s="3">
        <v>0.1</v>
      </c>
    </row>
    <row r="29" spans="1:11" x14ac:dyDescent="0.25">
      <c r="A29" s="2"/>
      <c r="B29" s="2" t="s">
        <v>22</v>
      </c>
      <c r="C29" s="2"/>
      <c r="D29" s="2"/>
      <c r="E29" s="4" t="str">
        <f t="shared" si="0"/>
        <v/>
      </c>
      <c r="F29" s="2"/>
      <c r="G29" s="2"/>
      <c r="H29" s="2"/>
      <c r="I29" s="2"/>
      <c r="J29" s="2"/>
      <c r="K29" s="2"/>
    </row>
  </sheetData>
  <phoneticPr fontId="2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DBE8-0B97-4725-A3CE-9FD01B3BB760}">
  <sheetPr>
    <tabColor rgb="FFFF0000"/>
  </sheetPr>
  <dimension ref="A2:K29"/>
  <sheetViews>
    <sheetView showGridLines="0" zoomScale="115" zoomScaleNormal="115" workbookViewId="0">
      <pane ySplit="10" topLeftCell="A11" activePane="bottomLeft" state="frozen"/>
      <selection activeCell="K22" sqref="K22"/>
      <selection pane="bottomLeft" activeCell="C11" sqref="C11:C20"/>
    </sheetView>
  </sheetViews>
  <sheetFormatPr defaultRowHeight="15" x14ac:dyDescent="0.25"/>
  <cols>
    <col min="1" max="1" width="9.85546875" customWidth="1"/>
    <col min="2" max="2" width="30.85546875" bestFit="1" customWidth="1"/>
    <col min="3" max="3" width="30.85546875" style="32" customWidth="1"/>
    <col min="4" max="4" width="14.7109375" customWidth="1"/>
    <col min="5" max="5" width="21.5703125" bestFit="1" customWidth="1"/>
    <col min="6" max="6" width="10.140625" style="32" bestFit="1" customWidth="1"/>
    <col min="7" max="7" width="16.85546875" bestFit="1" customWidth="1"/>
    <col min="8" max="8" width="13.42578125" bestFit="1" customWidth="1"/>
    <col min="9" max="9" width="14.85546875" bestFit="1" customWidth="1"/>
    <col min="10" max="10" width="10.140625" bestFit="1" customWidth="1"/>
    <col min="11" max="11" width="13.7109375" bestFit="1" customWidth="1"/>
    <col min="12" max="12" width="13.28515625" bestFit="1" customWidth="1"/>
  </cols>
  <sheetData>
    <row r="2" spans="1:11" x14ac:dyDescent="0.25">
      <c r="B2" s="18" t="s">
        <v>70</v>
      </c>
      <c r="C2" s="32">
        <f>COUNT(C11:C28)</f>
        <v>16</v>
      </c>
      <c r="D2" s="16" t="s">
        <v>72</v>
      </c>
    </row>
    <row r="3" spans="1:11" x14ac:dyDescent="0.25">
      <c r="B3" t="s">
        <v>71</v>
      </c>
      <c r="C3" s="32">
        <f>COUNTA($C$11:$C$28)</f>
        <v>18</v>
      </c>
      <c r="D3" s="16" t="s">
        <v>73</v>
      </c>
      <c r="G3" s="29"/>
    </row>
    <row r="4" spans="1:11" x14ac:dyDescent="0.25">
      <c r="B4" t="s">
        <v>75</v>
      </c>
      <c r="C4" s="32">
        <f>COUNTIF(C11:C28,1)</f>
        <v>8</v>
      </c>
      <c r="D4" s="16" t="s">
        <v>76</v>
      </c>
      <c r="G4" s="17"/>
      <c r="I4" s="24"/>
      <c r="K4" s="30"/>
    </row>
    <row r="5" spans="1:11" x14ac:dyDescent="0.25">
      <c r="B5" t="s">
        <v>69</v>
      </c>
      <c r="C5" s="38">
        <f>AVERAGE(bh_family)</f>
        <v>0.25</v>
      </c>
      <c r="D5" s="16" t="s">
        <v>74</v>
      </c>
      <c r="G5" s="18" t="s">
        <v>78</v>
      </c>
      <c r="H5" t="str">
        <f>_xlfn.XLOOKUP(G5,D:D,E:E,"nenalezeno",,-1)</f>
        <v>Dušek, Martin</v>
      </c>
    </row>
    <row r="6" spans="1:11" x14ac:dyDescent="0.25">
      <c r="B6" t="s">
        <v>83</v>
      </c>
      <c r="C6" s="35">
        <f>AVERAGEIF(C10:C28,1,F10:J28)</f>
        <v>0.25</v>
      </c>
      <c r="D6" s="16" t="s">
        <v>84</v>
      </c>
      <c r="G6" s="1"/>
      <c r="H6" s="8"/>
    </row>
    <row r="7" spans="1:11" x14ac:dyDescent="0.25">
      <c r="B7" t="s">
        <v>81</v>
      </c>
      <c r="C7" s="32">
        <f>CEILING(C4,10)</f>
        <v>10</v>
      </c>
    </row>
    <row r="8" spans="1:11" x14ac:dyDescent="0.25">
      <c r="B8" t="s">
        <v>82</v>
      </c>
      <c r="C8" s="32">
        <f>ROUND(C3,0)</f>
        <v>18</v>
      </c>
      <c r="D8">
        <v>14</v>
      </c>
      <c r="E8" s="39">
        <f>CEILING(D8,5)</f>
        <v>15</v>
      </c>
    </row>
    <row r="9" spans="1:11" x14ac:dyDescent="0.25">
      <c r="C9" s="32">
        <f ca="1">AVERAGEIF(C10:C29,1,F10:J28)</f>
        <v>0.25</v>
      </c>
    </row>
    <row r="10" spans="1:11" x14ac:dyDescent="0.25">
      <c r="A10" s="2" t="s">
        <v>21</v>
      </c>
      <c r="B10" s="2" t="s">
        <v>23</v>
      </c>
      <c r="C10" s="33" t="s">
        <v>67</v>
      </c>
      <c r="D10" s="2" t="s">
        <v>77</v>
      </c>
      <c r="E10" s="2" t="s">
        <v>20</v>
      </c>
      <c r="F10" s="33" t="s">
        <v>42</v>
      </c>
      <c r="G10" s="2" t="s">
        <v>43</v>
      </c>
      <c r="H10" s="2" t="s">
        <v>44</v>
      </c>
      <c r="I10" s="2" t="s">
        <v>45</v>
      </c>
      <c r="J10" s="2" t="s">
        <v>46</v>
      </c>
    </row>
    <row r="11" spans="1:11" x14ac:dyDescent="0.25">
      <c r="A11" s="2" t="s">
        <v>21</v>
      </c>
      <c r="B11" s="2" t="s">
        <v>0</v>
      </c>
      <c r="C11" s="37">
        <v>1</v>
      </c>
      <c r="D11" s="2" t="s">
        <v>78</v>
      </c>
      <c r="E11" s="20" t="s">
        <v>2</v>
      </c>
      <c r="F11" s="34">
        <v>0.25</v>
      </c>
      <c r="G11" s="31">
        <v>0.33</v>
      </c>
      <c r="H11" s="3">
        <v>0.15</v>
      </c>
      <c r="I11" s="3">
        <v>0.3</v>
      </c>
      <c r="J11" s="3">
        <v>0.1</v>
      </c>
      <c r="K11" t="e">
        <f>_xlfn.XLOOKUP(E:E,[1]Sheet1!$A:$A,[1]Sheet1!$B:$B)</f>
        <v>#N/A</v>
      </c>
    </row>
    <row r="12" spans="1:11" x14ac:dyDescent="0.25">
      <c r="A12" s="2" t="s">
        <v>21</v>
      </c>
      <c r="B12" s="2"/>
      <c r="C12" s="37">
        <v>1</v>
      </c>
      <c r="D12" s="19" t="s">
        <v>79</v>
      </c>
      <c r="E12" s="2" t="s">
        <v>3</v>
      </c>
      <c r="F12" s="34">
        <v>0.25</v>
      </c>
      <c r="G12" s="3">
        <v>0.33</v>
      </c>
      <c r="H12" s="3">
        <v>0.15</v>
      </c>
      <c r="I12" s="3">
        <v>0.3</v>
      </c>
      <c r="J12" s="3">
        <v>0.1</v>
      </c>
    </row>
    <row r="13" spans="1:11" x14ac:dyDescent="0.25">
      <c r="A13" s="2" t="s">
        <v>21</v>
      </c>
      <c r="B13" s="2"/>
      <c r="C13" s="37">
        <v>1</v>
      </c>
      <c r="D13" s="2" t="s">
        <v>54</v>
      </c>
      <c r="E13" s="2" t="s">
        <v>4</v>
      </c>
      <c r="F13" s="34">
        <v>0.25</v>
      </c>
      <c r="G13" s="3">
        <v>0.33</v>
      </c>
      <c r="H13" s="3">
        <v>0.15</v>
      </c>
      <c r="I13" s="3">
        <v>0.3</v>
      </c>
      <c r="J13" s="3">
        <v>0.1</v>
      </c>
    </row>
    <row r="14" spans="1:11" x14ac:dyDescent="0.25">
      <c r="A14" s="2" t="s">
        <v>21</v>
      </c>
      <c r="B14" s="2"/>
      <c r="C14" s="37">
        <v>1</v>
      </c>
      <c r="D14" s="2" t="s">
        <v>55</v>
      </c>
      <c r="E14" s="2" t="s">
        <v>5</v>
      </c>
      <c r="F14" s="34">
        <v>0.25</v>
      </c>
      <c r="G14" s="3">
        <v>0.33</v>
      </c>
      <c r="H14" s="3">
        <v>0.15</v>
      </c>
      <c r="I14" s="3">
        <v>0.3</v>
      </c>
      <c r="J14" s="3">
        <v>0.1</v>
      </c>
    </row>
    <row r="15" spans="1:11" x14ac:dyDescent="0.25">
      <c r="A15" s="2" t="s">
        <v>21</v>
      </c>
      <c r="B15" s="2"/>
      <c r="C15" s="37">
        <v>1</v>
      </c>
      <c r="D15" s="2" t="s">
        <v>56</v>
      </c>
      <c r="E15" s="2" t="s">
        <v>6</v>
      </c>
      <c r="F15" s="34">
        <v>0.25</v>
      </c>
      <c r="G15" s="3">
        <v>0.33</v>
      </c>
      <c r="H15" s="3">
        <v>0.15</v>
      </c>
      <c r="I15" s="3">
        <v>0.3</v>
      </c>
      <c r="J15" s="3">
        <v>0.1</v>
      </c>
    </row>
    <row r="16" spans="1:11" x14ac:dyDescent="0.25">
      <c r="A16" s="2" t="s">
        <v>21</v>
      </c>
      <c r="B16" s="2"/>
      <c r="C16" s="37">
        <v>1</v>
      </c>
      <c r="D16" s="2" t="s">
        <v>57</v>
      </c>
      <c r="E16" s="2" t="s">
        <v>7</v>
      </c>
      <c r="F16" s="34">
        <v>0.25</v>
      </c>
      <c r="G16" s="3">
        <v>0.33</v>
      </c>
      <c r="H16" s="3">
        <v>0.15</v>
      </c>
      <c r="I16" s="3">
        <v>0.3</v>
      </c>
      <c r="J16" s="3">
        <v>0.1</v>
      </c>
    </row>
    <row r="17" spans="1:10" x14ac:dyDescent="0.25">
      <c r="A17" s="2" t="s">
        <v>21</v>
      </c>
      <c r="B17" s="2"/>
      <c r="C17" s="37">
        <v>1</v>
      </c>
      <c r="D17" s="2" t="s">
        <v>58</v>
      </c>
      <c r="E17" s="2" t="s">
        <v>8</v>
      </c>
      <c r="F17" s="34">
        <v>0.25</v>
      </c>
      <c r="G17" s="3">
        <v>0.33</v>
      </c>
      <c r="H17" s="3">
        <v>0.15</v>
      </c>
      <c r="I17" s="3">
        <v>0.3</v>
      </c>
      <c r="J17" s="3">
        <v>0.1</v>
      </c>
    </row>
    <row r="18" spans="1:10" x14ac:dyDescent="0.25">
      <c r="A18" s="2" t="s">
        <v>21</v>
      </c>
      <c r="B18" s="2"/>
      <c r="C18" s="37">
        <v>1</v>
      </c>
      <c r="D18" s="2" t="s">
        <v>59</v>
      </c>
      <c r="E18" s="2" t="s">
        <v>9</v>
      </c>
      <c r="F18" s="34">
        <v>0.25</v>
      </c>
      <c r="G18" s="3">
        <v>0.33</v>
      </c>
      <c r="H18" s="3">
        <v>0.15</v>
      </c>
      <c r="I18" s="3">
        <v>0.3</v>
      </c>
      <c r="J18" s="3">
        <v>0.1</v>
      </c>
    </row>
    <row r="19" spans="1:10" x14ac:dyDescent="0.25">
      <c r="A19" s="2" t="s">
        <v>21</v>
      </c>
      <c r="B19" s="2"/>
      <c r="C19" s="36" t="s">
        <v>0</v>
      </c>
      <c r="D19" s="2" t="s">
        <v>0</v>
      </c>
      <c r="E19" s="2" t="s">
        <v>10</v>
      </c>
      <c r="F19" s="34">
        <v>0.25</v>
      </c>
      <c r="G19" s="3">
        <v>0.33</v>
      </c>
      <c r="H19" s="3">
        <v>0.15</v>
      </c>
      <c r="I19" s="3">
        <v>0.3</v>
      </c>
      <c r="J19" s="3">
        <v>0.1</v>
      </c>
    </row>
    <row r="20" spans="1:10" x14ac:dyDescent="0.25">
      <c r="A20" s="2" t="s">
        <v>21</v>
      </c>
      <c r="B20" s="2" t="s">
        <v>1</v>
      </c>
      <c r="C20" s="33">
        <v>2</v>
      </c>
      <c r="D20" s="2" t="s">
        <v>80</v>
      </c>
      <c r="E20" s="2" t="s">
        <v>11</v>
      </c>
      <c r="F20" s="34">
        <v>0.25</v>
      </c>
      <c r="G20" s="3">
        <v>0.33</v>
      </c>
      <c r="H20" s="3">
        <v>0.15</v>
      </c>
      <c r="I20" s="3">
        <v>0.3</v>
      </c>
      <c r="J20" s="3">
        <v>0.1</v>
      </c>
    </row>
    <row r="21" spans="1:10" x14ac:dyDescent="0.25">
      <c r="A21" s="2" t="s">
        <v>21</v>
      </c>
      <c r="B21" s="2"/>
      <c r="C21" s="33">
        <v>2</v>
      </c>
      <c r="D21" s="2" t="s">
        <v>60</v>
      </c>
      <c r="E21" s="2" t="s">
        <v>12</v>
      </c>
      <c r="F21" s="34">
        <v>0.25</v>
      </c>
      <c r="G21" s="3">
        <v>0.33</v>
      </c>
      <c r="H21" s="3">
        <v>0.15</v>
      </c>
      <c r="I21" s="3">
        <v>0.3</v>
      </c>
      <c r="J21" s="3">
        <v>0.1</v>
      </c>
    </row>
    <row r="22" spans="1:10" x14ac:dyDescent="0.25">
      <c r="A22" s="2" t="s">
        <v>21</v>
      </c>
      <c r="B22" s="2"/>
      <c r="C22" s="33">
        <v>2</v>
      </c>
      <c r="D22" s="2" t="s">
        <v>61</v>
      </c>
      <c r="E22" s="2" t="s">
        <v>13</v>
      </c>
      <c r="F22" s="34">
        <v>0.25</v>
      </c>
      <c r="G22" s="3">
        <v>0.33</v>
      </c>
      <c r="H22" s="3">
        <v>0.15</v>
      </c>
      <c r="I22" s="3">
        <v>0.3</v>
      </c>
      <c r="J22" s="3">
        <v>0.1</v>
      </c>
    </row>
    <row r="23" spans="1:10" x14ac:dyDescent="0.25">
      <c r="A23" s="2" t="s">
        <v>21</v>
      </c>
      <c r="B23" s="2"/>
      <c r="C23" s="33">
        <v>2</v>
      </c>
      <c r="D23" s="2" t="s">
        <v>62</v>
      </c>
      <c r="E23" s="2" t="s">
        <v>14</v>
      </c>
      <c r="F23" s="34">
        <v>0.25</v>
      </c>
      <c r="G23" s="3">
        <v>0.33</v>
      </c>
      <c r="H23" s="3">
        <v>0.15</v>
      </c>
      <c r="I23" s="3">
        <v>0.3</v>
      </c>
      <c r="J23" s="3">
        <v>0.1</v>
      </c>
    </row>
    <row r="24" spans="1:10" x14ac:dyDescent="0.25">
      <c r="A24" s="2" t="s">
        <v>21</v>
      </c>
      <c r="B24" s="2"/>
      <c r="C24" s="33">
        <v>2</v>
      </c>
      <c r="D24" s="2" t="s">
        <v>63</v>
      </c>
      <c r="E24" s="2" t="s">
        <v>15</v>
      </c>
      <c r="F24" s="34">
        <v>0.25</v>
      </c>
      <c r="G24" s="3">
        <v>0.33</v>
      </c>
      <c r="H24" s="3">
        <v>0.15</v>
      </c>
      <c r="I24" s="3">
        <v>0.3</v>
      </c>
      <c r="J24" s="3">
        <v>0.1</v>
      </c>
    </row>
    <row r="25" spans="1:10" x14ac:dyDescent="0.25">
      <c r="A25" s="2" t="s">
        <v>21</v>
      </c>
      <c r="B25" s="2"/>
      <c r="C25" s="33">
        <v>2</v>
      </c>
      <c r="D25" s="2" t="s">
        <v>64</v>
      </c>
      <c r="E25" s="2" t="s">
        <v>16</v>
      </c>
      <c r="F25" s="34">
        <v>0.25</v>
      </c>
      <c r="G25" s="3">
        <v>0.33</v>
      </c>
      <c r="H25" s="3">
        <v>0.15</v>
      </c>
      <c r="I25" s="3">
        <v>0.3</v>
      </c>
      <c r="J25" s="3">
        <v>0.1</v>
      </c>
    </row>
    <row r="26" spans="1:10" x14ac:dyDescent="0.25">
      <c r="A26" s="2" t="s">
        <v>21</v>
      </c>
      <c r="B26" s="2"/>
      <c r="C26" s="33">
        <v>2</v>
      </c>
      <c r="D26" s="2" t="s">
        <v>65</v>
      </c>
      <c r="E26" s="2" t="s">
        <v>17</v>
      </c>
      <c r="F26" s="34">
        <v>0.25</v>
      </c>
      <c r="G26" s="3">
        <v>0.33</v>
      </c>
      <c r="H26" s="3">
        <v>0.15</v>
      </c>
      <c r="I26" s="3">
        <v>0.3</v>
      </c>
      <c r="J26" s="3">
        <v>0.1</v>
      </c>
    </row>
    <row r="27" spans="1:10" x14ac:dyDescent="0.25">
      <c r="A27" s="2" t="s">
        <v>21</v>
      </c>
      <c r="B27" s="2"/>
      <c r="C27" s="33">
        <v>2</v>
      </c>
      <c r="D27" s="2" t="s">
        <v>66</v>
      </c>
      <c r="E27" s="2" t="s">
        <v>18</v>
      </c>
      <c r="F27" s="34">
        <v>0.25</v>
      </c>
      <c r="G27" s="3">
        <v>0.33</v>
      </c>
      <c r="H27" s="3">
        <v>0.15</v>
      </c>
      <c r="I27" s="3">
        <v>0.3</v>
      </c>
      <c r="J27" s="3">
        <v>0.1</v>
      </c>
    </row>
    <row r="28" spans="1:10" x14ac:dyDescent="0.25">
      <c r="A28" s="2" t="s">
        <v>21</v>
      </c>
      <c r="B28" s="2"/>
      <c r="C28" s="36" t="s">
        <v>1</v>
      </c>
      <c r="D28" s="2" t="s">
        <v>1</v>
      </c>
      <c r="E28" s="2" t="s">
        <v>19</v>
      </c>
      <c r="F28" s="34">
        <v>0.25</v>
      </c>
      <c r="G28" s="3">
        <v>0.33</v>
      </c>
      <c r="H28" s="3">
        <v>0.15</v>
      </c>
      <c r="I28" s="3">
        <v>0.3</v>
      </c>
      <c r="J28" s="3">
        <v>0.1</v>
      </c>
    </row>
    <row r="29" spans="1:10" x14ac:dyDescent="0.25">
      <c r="A29" s="2"/>
      <c r="B29" s="2" t="s">
        <v>22</v>
      </c>
      <c r="C29" s="33"/>
      <c r="D29" s="2"/>
      <c r="E29" s="2"/>
      <c r="F29" s="33"/>
      <c r="G29" s="2"/>
      <c r="H29" s="2"/>
      <c r="I29" s="2"/>
      <c r="J29" s="2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BB29-CA89-4FE6-BAA8-AC869E414C62}">
  <dimension ref="A11:H67"/>
  <sheetViews>
    <sheetView showGridLines="0" workbookViewId="0">
      <pane ySplit="9" topLeftCell="A29" activePane="bottomLeft" state="frozen"/>
      <selection activeCell="K22" sqref="K22"/>
      <selection pane="bottomLeft" activeCell="D52" sqref="D52"/>
    </sheetView>
  </sheetViews>
  <sheetFormatPr defaultRowHeight="15" x14ac:dyDescent="0.25"/>
  <cols>
    <col min="1" max="1" width="31" bestFit="1" customWidth="1"/>
    <col min="2" max="2" width="19.140625" bestFit="1" customWidth="1"/>
    <col min="3" max="3" width="24.85546875" bestFit="1" customWidth="1"/>
    <col min="4" max="4" width="32.5703125" bestFit="1" customWidth="1"/>
    <col min="5" max="5" width="47.28515625" bestFit="1" customWidth="1"/>
    <col min="6" max="6" width="20.28515625" bestFit="1" customWidth="1"/>
    <col min="7" max="7" width="13.42578125" bestFit="1" customWidth="1"/>
    <col min="8" max="8" width="11" bestFit="1" customWidth="1"/>
  </cols>
  <sheetData>
    <row r="11" spans="1:5" x14ac:dyDescent="0.25">
      <c r="A11" t="s">
        <v>142</v>
      </c>
      <c r="B11">
        <v>0.185</v>
      </c>
    </row>
    <row r="13" spans="1:5" x14ac:dyDescent="0.25">
      <c r="A13" s="2" t="s">
        <v>145</v>
      </c>
      <c r="B13" s="2" t="s">
        <v>146</v>
      </c>
      <c r="C13" s="2" t="s">
        <v>143</v>
      </c>
      <c r="D13" s="2" t="s">
        <v>144</v>
      </c>
      <c r="E13" s="2" t="s">
        <v>147</v>
      </c>
    </row>
    <row r="14" spans="1:5" x14ac:dyDescent="0.25">
      <c r="A14" s="2" t="s">
        <v>42</v>
      </c>
      <c r="B14" s="10">
        <v>0.2</v>
      </c>
      <c r="C14" s="11">
        <f>B14-B$11</f>
        <v>1.5000000000000013E-2</v>
      </c>
      <c r="D14" s="2" t="str">
        <f>IF(B14&gt;B$11,"ano","ne")</f>
        <v>ano</v>
      </c>
      <c r="E14" s="25">
        <f>ROUND(C14,1)</f>
        <v>0</v>
      </c>
    </row>
    <row r="15" spans="1:5" x14ac:dyDescent="0.25">
      <c r="A15" s="2" t="s">
        <v>43</v>
      </c>
      <c r="B15" s="10">
        <v>0.3</v>
      </c>
      <c r="C15" s="11">
        <f t="shared" ref="C15:C18" si="0">B15-B$11</f>
        <v>0.11499999999999999</v>
      </c>
      <c r="D15" s="2" t="str">
        <f t="shared" ref="D15:D18" si="1">IF(B15&gt;B$11,"ano","ne")</f>
        <v>ano</v>
      </c>
      <c r="E15" s="25">
        <f t="shared" ref="E15:E18" si="2">ROUND(C15,1)</f>
        <v>0.1</v>
      </c>
    </row>
    <row r="16" spans="1:5" x14ac:dyDescent="0.25">
      <c r="A16" s="2" t="s">
        <v>44</v>
      </c>
      <c r="B16" s="10">
        <v>0.1</v>
      </c>
      <c r="C16" s="11">
        <f t="shared" si="0"/>
        <v>-8.4999999999999992E-2</v>
      </c>
      <c r="D16" s="2" t="str">
        <f t="shared" si="1"/>
        <v>ne</v>
      </c>
      <c r="E16" s="25">
        <f t="shared" si="2"/>
        <v>-0.1</v>
      </c>
    </row>
    <row r="17" spans="1:8" x14ac:dyDescent="0.25">
      <c r="A17" s="2" t="s">
        <v>45</v>
      </c>
      <c r="B17" s="10">
        <v>0.3</v>
      </c>
      <c r="C17" s="11">
        <f t="shared" si="0"/>
        <v>0.11499999999999999</v>
      </c>
      <c r="D17" s="2" t="str">
        <f t="shared" si="1"/>
        <v>ano</v>
      </c>
      <c r="E17" s="25">
        <f t="shared" si="2"/>
        <v>0.1</v>
      </c>
    </row>
    <row r="18" spans="1:8" x14ac:dyDescent="0.25">
      <c r="A18" s="2" t="s">
        <v>46</v>
      </c>
      <c r="B18" s="10">
        <v>0.1</v>
      </c>
      <c r="C18" s="11">
        <f t="shared" si="0"/>
        <v>-8.4999999999999992E-2</v>
      </c>
      <c r="D18" s="2" t="str">
        <f t="shared" si="1"/>
        <v>ne</v>
      </c>
      <c r="E18" s="25">
        <f t="shared" si="2"/>
        <v>-0.1</v>
      </c>
    </row>
    <row r="20" spans="1:8" x14ac:dyDescent="0.25">
      <c r="A20" s="2" t="s">
        <v>86</v>
      </c>
      <c r="B20" s="2" t="s">
        <v>87</v>
      </c>
      <c r="C20" s="2" t="s">
        <v>127</v>
      </c>
      <c r="D20" s="2" t="s">
        <v>128</v>
      </c>
      <c r="E20" s="2" t="s">
        <v>129</v>
      </c>
      <c r="F20" s="7"/>
      <c r="G20" s="7"/>
      <c r="H20" s="7"/>
    </row>
    <row r="21" spans="1:8" x14ac:dyDescent="0.25">
      <c r="A21" s="2" t="s">
        <v>24</v>
      </c>
      <c r="B21" s="2" t="str">
        <f>VLOOKUP(A21,employee!A:B,2,FALSE)</f>
        <v>Martin</v>
      </c>
      <c r="C21" s="2" t="str">
        <f>_xlfn.CONCAT(A21,", ",B21)</f>
        <v>Dušek, Martin</v>
      </c>
      <c r="D21" s="2" t="str">
        <f>INDEX('data-2020'!D:D,MATCH('data-2020'!E11,'data-2020'!E:E,0))</f>
        <v>benešovsko</v>
      </c>
      <c r="E21" s="2" t="str">
        <f>LOWER(D21)</f>
        <v>benešovsko</v>
      </c>
    </row>
    <row r="22" spans="1:8" x14ac:dyDescent="0.25">
      <c r="A22" s="2" t="s">
        <v>25</v>
      </c>
      <c r="B22" s="2" t="str">
        <f>VLOOKUP(A22,employee!A:B,2,FALSE)</f>
        <v>Oldřich</v>
      </c>
      <c r="C22" s="2" t="str">
        <f t="shared" ref="C22:C38" si="3">_xlfn.CONCAT(A22,", ",B22)</f>
        <v>Fremr, Oldřich</v>
      </c>
      <c r="D22" s="2" t="str">
        <f>INDEX('data-2020'!D:D,MATCH('data-2020'!E12,'data-2020'!E:E,0))</f>
        <v xml:space="preserve"> Berounsko</v>
      </c>
      <c r="E22" s="2" t="str">
        <f t="shared" ref="E22:E38" si="4">LOWER(D22)</f>
        <v xml:space="preserve"> berounsko</v>
      </c>
    </row>
    <row r="23" spans="1:8" x14ac:dyDescent="0.25">
      <c r="A23" s="2" t="s">
        <v>26</v>
      </c>
      <c r="B23" s="2" t="str">
        <f>VLOOKUP(A23,employee!A:B,2,FALSE)</f>
        <v>Ladislav</v>
      </c>
      <c r="C23" s="2" t="str">
        <f t="shared" si="3"/>
        <v>Matějka, Ladislav</v>
      </c>
      <c r="D23" s="2" t="str">
        <f>INDEX('data-2020'!D:D,MATCH('data-2020'!E13,'data-2020'!E:E,0))</f>
        <v>Praha 1-2</v>
      </c>
      <c r="E23" s="2" t="str">
        <f t="shared" si="4"/>
        <v>praha 1-2</v>
      </c>
    </row>
    <row r="24" spans="1:8" x14ac:dyDescent="0.25">
      <c r="A24" s="2" t="s">
        <v>27</v>
      </c>
      <c r="B24" s="2" t="str">
        <f>VLOOKUP(A24,employee!A:B,2,FALSE)</f>
        <v>Jiri</v>
      </c>
      <c r="C24" s="2" t="str">
        <f t="shared" si="3"/>
        <v>Hajda, Jiri</v>
      </c>
      <c r="D24" s="2" t="str">
        <f>INDEX('data-2020'!D:D,MATCH('data-2020'!E14,'data-2020'!E:E,0))</f>
        <v>Praha 2-3</v>
      </c>
      <c r="E24" s="2" t="str">
        <f t="shared" si="4"/>
        <v>praha 2-3</v>
      </c>
    </row>
    <row r="25" spans="1:8" x14ac:dyDescent="0.25">
      <c r="A25" s="2" t="s">
        <v>28</v>
      </c>
      <c r="B25" s="2" t="str">
        <f>VLOOKUP(A25,employee!A:B,2,FALSE)</f>
        <v>Robert</v>
      </c>
      <c r="C25" s="2" t="str">
        <f t="shared" si="3"/>
        <v>Dvořák, Robert</v>
      </c>
      <c r="D25" s="2" t="str">
        <f>INDEX('data-2020'!D:D,MATCH('data-2020'!E15,'data-2020'!E:E,0))</f>
        <v>Praha 4</v>
      </c>
      <c r="E25" s="2" t="str">
        <f t="shared" si="4"/>
        <v>praha 4</v>
      </c>
    </row>
    <row r="26" spans="1:8" x14ac:dyDescent="0.25">
      <c r="A26" s="2" t="s">
        <v>29</v>
      </c>
      <c r="B26" s="2" t="str">
        <f>VLOOKUP(A26,employee!A:B,2,FALSE)</f>
        <v>Martin</v>
      </c>
      <c r="C26" s="2" t="str">
        <f t="shared" si="3"/>
        <v>Bartoš, Martin</v>
      </c>
      <c r="D26" s="2" t="str">
        <f>INDEX('data-2020'!D:D,MATCH('data-2020'!E16,'data-2020'!E:E,0))</f>
        <v>Praha-sever</v>
      </c>
      <c r="E26" s="2" t="str">
        <f t="shared" si="4"/>
        <v>praha-sever</v>
      </c>
    </row>
    <row r="27" spans="1:8" x14ac:dyDescent="0.25">
      <c r="A27" s="2" t="s">
        <v>30</v>
      </c>
      <c r="B27" s="2" t="str">
        <f>VLOOKUP(A27,employee!A:B,2,FALSE)</f>
        <v>Tomáš</v>
      </c>
      <c r="C27" s="2" t="str">
        <f t="shared" si="3"/>
        <v>Kůstka, Tomáš</v>
      </c>
      <c r="D27" s="2" t="str">
        <f>INDEX('data-2020'!D:D,MATCH('data-2020'!E17,'data-2020'!E:E,0))</f>
        <v>Praha 5-6</v>
      </c>
      <c r="E27" s="2" t="str">
        <f t="shared" si="4"/>
        <v>praha 5-6</v>
      </c>
    </row>
    <row r="28" spans="1:8" x14ac:dyDescent="0.25">
      <c r="A28" s="2" t="s">
        <v>31</v>
      </c>
      <c r="B28" s="2" t="str">
        <f>VLOOKUP(A28,employee!A:B,2,FALSE)</f>
        <v>Daniela</v>
      </c>
      <c r="C28" s="2" t="str">
        <f t="shared" si="3"/>
        <v>Kašparová, Daniela</v>
      </c>
      <c r="D28" s="2" t="str">
        <f>INDEX('data-2020'!D:D,MATCH('data-2020'!E18,'data-2020'!E:E,0))</f>
        <v>Praha-západ</v>
      </c>
      <c r="E28" s="2" t="str">
        <f t="shared" si="4"/>
        <v>praha-západ</v>
      </c>
    </row>
    <row r="29" spans="1:8" x14ac:dyDescent="0.25">
      <c r="A29" s="2" t="s">
        <v>32</v>
      </c>
      <c r="B29" s="2" t="str">
        <f>VLOOKUP(A29,employee!A:B,2,FALSE)</f>
        <v>Michal</v>
      </c>
      <c r="C29" s="2" t="str">
        <f t="shared" si="3"/>
        <v>Fiala, Michal</v>
      </c>
      <c r="D29" s="2" t="str">
        <f>INDEX('data-2020'!D:D,MATCH('data-2020'!E19,'data-2020'!E:E,0))</f>
        <v>ASM1</v>
      </c>
      <c r="E29" s="2" t="str">
        <f t="shared" si="4"/>
        <v>asm1</v>
      </c>
    </row>
    <row r="30" spans="1:8" x14ac:dyDescent="0.25">
      <c r="A30" s="2" t="s">
        <v>33</v>
      </c>
      <c r="B30" s="2" t="str">
        <f>VLOOKUP(A30,employee!A:B,2,FALSE)</f>
        <v>Daniel</v>
      </c>
      <c r="C30" s="2" t="str">
        <f t="shared" si="3"/>
        <v>Stehlík, Daniel</v>
      </c>
      <c r="D30" s="2" t="str">
        <f>INDEX('data-2020'!D:D,MATCH('data-2020'!E20,'data-2020'!E:E,0))</f>
        <v>CHEBSKO</v>
      </c>
      <c r="E30" s="2" t="str">
        <f t="shared" si="4"/>
        <v>chebsko</v>
      </c>
    </row>
    <row r="31" spans="1:8" x14ac:dyDescent="0.25">
      <c r="A31" s="2" t="s">
        <v>34</v>
      </c>
      <c r="B31" s="2" t="str">
        <f>VLOOKUP(A31,employee!A:B,2,FALSE)</f>
        <v>Stanislava</v>
      </c>
      <c r="C31" s="2" t="str">
        <f t="shared" si="3"/>
        <v>Schüllerová, Stanislava</v>
      </c>
      <c r="D31" s="2" t="str">
        <f>INDEX('data-2020'!D:D,MATCH('data-2020'!E21,'data-2020'!E:E,0))</f>
        <v>Chomutovsko</v>
      </c>
      <c r="E31" s="2" t="str">
        <f t="shared" si="4"/>
        <v>chomutovsko</v>
      </c>
    </row>
    <row r="32" spans="1:8" x14ac:dyDescent="0.25">
      <c r="A32" s="2" t="s">
        <v>35</v>
      </c>
      <c r="B32" s="2" t="str">
        <f>VLOOKUP(A32,employee!A:B,2,FALSE)</f>
        <v>Lukáš</v>
      </c>
      <c r="C32" s="2" t="str">
        <f t="shared" si="3"/>
        <v>Loffaj, Lukáš</v>
      </c>
      <c r="D32" s="2" t="str">
        <f>INDEX('data-2020'!D:D,MATCH('data-2020'!E22,'data-2020'!E:E,0))</f>
        <v>Děčínsko</v>
      </c>
      <c r="E32" s="2" t="str">
        <f t="shared" si="4"/>
        <v>děčínsko</v>
      </c>
    </row>
    <row r="33" spans="1:5" x14ac:dyDescent="0.25">
      <c r="A33" s="2" t="s">
        <v>36</v>
      </c>
      <c r="B33" s="2" t="str">
        <f>VLOOKUP(A33,employee!A:B,2,FALSE)</f>
        <v>Roman</v>
      </c>
      <c r="C33" s="2" t="str">
        <f t="shared" si="3"/>
        <v>Stančík, Roman</v>
      </c>
      <c r="D33" s="2" t="str">
        <f>INDEX('data-2020'!D:D,MATCH('data-2020'!E23,'data-2020'!E:E,0))</f>
        <v>Karlovarsko</v>
      </c>
      <c r="E33" s="2" t="str">
        <f t="shared" si="4"/>
        <v>karlovarsko</v>
      </c>
    </row>
    <row r="34" spans="1:5" x14ac:dyDescent="0.25">
      <c r="A34" s="2" t="s">
        <v>37</v>
      </c>
      <c r="B34" s="2" t="str">
        <f>VLOOKUP(A34,employee!A:B,2,FALSE)</f>
        <v>Zuzana</v>
      </c>
      <c r="C34" s="2" t="str">
        <f t="shared" si="3"/>
        <v>Hájková, Zuzana</v>
      </c>
      <c r="D34" s="2" t="str">
        <f>INDEX('data-2020'!D:D,MATCH('data-2020'!E24,'data-2020'!E:E,0))</f>
        <v>Lounsko</v>
      </c>
      <c r="E34" s="2" t="str">
        <f t="shared" si="4"/>
        <v>lounsko</v>
      </c>
    </row>
    <row r="35" spans="1:5" x14ac:dyDescent="0.25">
      <c r="A35" s="2" t="s">
        <v>38</v>
      </c>
      <c r="B35" s="2" t="str">
        <f>VLOOKUP(A35,employee!A:B,2,FALSE)</f>
        <v>Jaroslav</v>
      </c>
      <c r="C35" s="2" t="str">
        <f t="shared" si="3"/>
        <v>Korec, Jaroslav</v>
      </c>
      <c r="D35" s="2" t="str">
        <f>INDEX('data-2020'!D:D,MATCH('data-2020'!E25,'data-2020'!E:E,0))</f>
        <v>Mostecko</v>
      </c>
      <c r="E35" s="2" t="str">
        <f t="shared" si="4"/>
        <v>mostecko</v>
      </c>
    </row>
    <row r="36" spans="1:5" x14ac:dyDescent="0.25">
      <c r="A36" s="2" t="s">
        <v>39</v>
      </c>
      <c r="B36" s="2" t="str">
        <f>VLOOKUP(A36,employee!A:B,2,FALSE)</f>
        <v>Michaela</v>
      </c>
      <c r="C36" s="2" t="str">
        <f t="shared" si="3"/>
        <v>Uriová, Michaela</v>
      </c>
      <c r="D36" s="2" t="str">
        <f>INDEX('data-2020'!D:D,MATCH('data-2020'!E26,'data-2020'!E:E,0))</f>
        <v>Teplicko</v>
      </c>
      <c r="E36" s="2" t="str">
        <f t="shared" si="4"/>
        <v>teplicko</v>
      </c>
    </row>
    <row r="37" spans="1:5" x14ac:dyDescent="0.25">
      <c r="A37" s="2" t="s">
        <v>40</v>
      </c>
      <c r="B37" s="2" t="str">
        <f>VLOOKUP(A37,employee!A:B,2,FALSE)</f>
        <v>František</v>
      </c>
      <c r="C37" s="2" t="str">
        <f t="shared" si="3"/>
        <v>Žid, František</v>
      </c>
      <c r="D37" s="2" t="str">
        <f>INDEX('data-2020'!D:D,MATCH('data-2020'!E27,'data-2020'!E:E,0))</f>
        <v>Ústecko</v>
      </c>
      <c r="E37" s="2" t="str">
        <f t="shared" si="4"/>
        <v>ústecko</v>
      </c>
    </row>
    <row r="38" spans="1:5" x14ac:dyDescent="0.25">
      <c r="A38" s="2" t="s">
        <v>41</v>
      </c>
      <c r="B38" s="2" t="str">
        <f>VLOOKUP(A38,employee!A:B,2,FALSE)</f>
        <v>Lukáš</v>
      </c>
      <c r="C38" s="2" t="str">
        <f t="shared" si="3"/>
        <v>Ekrt, Lukáš</v>
      </c>
      <c r="D38" s="2" t="str">
        <f>INDEX('data-2020'!D:D,MATCH('data-2020'!E28,'data-2020'!E:E,0))</f>
        <v>ASM2</v>
      </c>
      <c r="E38" s="2" t="str">
        <f t="shared" si="4"/>
        <v>asm2</v>
      </c>
    </row>
    <row r="41" spans="1:5" x14ac:dyDescent="0.25">
      <c r="A41" s="2" t="s">
        <v>20</v>
      </c>
      <c r="B41" s="2" t="s">
        <v>130</v>
      </c>
      <c r="C41" s="2" t="s">
        <v>131</v>
      </c>
      <c r="D41" s="2" t="s">
        <v>132</v>
      </c>
      <c r="E41" s="2" t="s">
        <v>133</v>
      </c>
    </row>
    <row r="42" spans="1:5" x14ac:dyDescent="0.25">
      <c r="A42" s="2" t="s">
        <v>2</v>
      </c>
      <c r="B42" s="2">
        <f>VLOOKUP(A42,'data-2019'!F:G,2,FALSE)</f>
        <v>0.2</v>
      </c>
      <c r="C42" s="2">
        <f>VLOOKUP(A42,'data-2020'!E:F,2,FALSE)</f>
        <v>0.25</v>
      </c>
      <c r="D42" s="2" t="str">
        <f>IF(C42&gt;B42,"ano","ne")</f>
        <v>ano</v>
      </c>
      <c r="E42" s="2">
        <f>MAX(C$42:C$59)</f>
        <v>0.25</v>
      </c>
    </row>
    <row r="43" spans="1:5" x14ac:dyDescent="0.25">
      <c r="A43" s="2" t="s">
        <v>3</v>
      </c>
      <c r="B43" s="2">
        <f>VLOOKUP(A43,'data-2019'!F:G,2,FALSE)</f>
        <v>0.2</v>
      </c>
      <c r="C43" s="2">
        <f>VLOOKUP(A43,'data-2020'!E:F,2,FALSE)</f>
        <v>0.25</v>
      </c>
      <c r="D43" s="2" t="str">
        <f t="shared" ref="D43:D59" si="5">IF(C43&gt;B43,"ano","ne")</f>
        <v>ano</v>
      </c>
      <c r="E43" s="2">
        <f t="shared" ref="E43:E59" si="6">MAX(C$42:C$59)</f>
        <v>0.25</v>
      </c>
    </row>
    <row r="44" spans="1:5" x14ac:dyDescent="0.25">
      <c r="A44" s="2" t="s">
        <v>4</v>
      </c>
      <c r="B44" s="2">
        <f>VLOOKUP(A44,'data-2019'!F:G,2,FALSE)</f>
        <v>0.2</v>
      </c>
      <c r="C44" s="2">
        <f>VLOOKUP(A44,'data-2020'!E:F,2,FALSE)</f>
        <v>0.25</v>
      </c>
      <c r="D44" s="2" t="str">
        <f t="shared" si="5"/>
        <v>ano</v>
      </c>
      <c r="E44" s="2">
        <f t="shared" si="6"/>
        <v>0.25</v>
      </c>
    </row>
    <row r="45" spans="1:5" x14ac:dyDescent="0.25">
      <c r="A45" s="2" t="s">
        <v>5</v>
      </c>
      <c r="B45" s="2">
        <f>VLOOKUP(A45,'data-2019'!F:G,2,FALSE)</f>
        <v>0.2</v>
      </c>
      <c r="C45" s="2">
        <f>VLOOKUP(A45,'data-2020'!E:F,2,FALSE)</f>
        <v>0.25</v>
      </c>
      <c r="D45" s="2" t="str">
        <f t="shared" si="5"/>
        <v>ano</v>
      </c>
      <c r="E45" s="2">
        <f t="shared" si="6"/>
        <v>0.25</v>
      </c>
    </row>
    <row r="46" spans="1:5" x14ac:dyDescent="0.25">
      <c r="A46" s="2" t="s">
        <v>6</v>
      </c>
      <c r="B46" s="2">
        <f>VLOOKUP(A46,'data-2019'!F:G,2,FALSE)</f>
        <v>0.2</v>
      </c>
      <c r="C46" s="2">
        <f>VLOOKUP(A46,'data-2020'!E:F,2,FALSE)</f>
        <v>0.25</v>
      </c>
      <c r="D46" s="2" t="str">
        <f t="shared" si="5"/>
        <v>ano</v>
      </c>
      <c r="E46" s="2">
        <f t="shared" si="6"/>
        <v>0.25</v>
      </c>
    </row>
    <row r="47" spans="1:5" x14ac:dyDescent="0.25">
      <c r="A47" s="2" t="s">
        <v>7</v>
      </c>
      <c r="B47" s="2">
        <f>VLOOKUP(A47,'data-2019'!F:G,2,FALSE)</f>
        <v>0.2</v>
      </c>
      <c r="C47" s="2">
        <f>VLOOKUP(A47,'data-2020'!E:F,2,FALSE)</f>
        <v>0.25</v>
      </c>
      <c r="D47" s="2" t="str">
        <f t="shared" si="5"/>
        <v>ano</v>
      </c>
      <c r="E47" s="2">
        <f t="shared" si="6"/>
        <v>0.25</v>
      </c>
    </row>
    <row r="48" spans="1:5" x14ac:dyDescent="0.25">
      <c r="A48" s="2" t="s">
        <v>8</v>
      </c>
      <c r="B48" s="2">
        <f>VLOOKUP(A48,'data-2019'!F:G,2,FALSE)</f>
        <v>0.2</v>
      </c>
      <c r="C48" s="2">
        <f>VLOOKUP(A48,'data-2020'!E:F,2,FALSE)</f>
        <v>0.25</v>
      </c>
      <c r="D48" s="2" t="str">
        <f t="shared" si="5"/>
        <v>ano</v>
      </c>
      <c r="E48" s="2">
        <f t="shared" si="6"/>
        <v>0.25</v>
      </c>
    </row>
    <row r="49" spans="1:5" x14ac:dyDescent="0.25">
      <c r="A49" s="2" t="s">
        <v>9</v>
      </c>
      <c r="B49" s="2">
        <f>VLOOKUP(A49,'data-2019'!F:G,2,FALSE)</f>
        <v>0.2</v>
      </c>
      <c r="C49" s="2">
        <f>VLOOKUP(A49,'data-2020'!E:F,2,FALSE)</f>
        <v>0.25</v>
      </c>
      <c r="D49" s="2" t="str">
        <f t="shared" si="5"/>
        <v>ano</v>
      </c>
      <c r="E49" s="2">
        <f t="shared" si="6"/>
        <v>0.25</v>
      </c>
    </row>
    <row r="50" spans="1:5" x14ac:dyDescent="0.25">
      <c r="A50" s="2" t="s">
        <v>10</v>
      </c>
      <c r="B50" s="2">
        <f>VLOOKUP(A50,'data-2019'!F:G,2,FALSE)</f>
        <v>0.2</v>
      </c>
      <c r="C50" s="2">
        <f>VLOOKUP(A50,'data-2020'!E:F,2,FALSE)</f>
        <v>0.25</v>
      </c>
      <c r="D50" s="2" t="str">
        <f t="shared" si="5"/>
        <v>ano</v>
      </c>
      <c r="E50" s="2">
        <f t="shared" si="6"/>
        <v>0.25</v>
      </c>
    </row>
    <row r="51" spans="1:5" x14ac:dyDescent="0.25">
      <c r="A51" s="2" t="s">
        <v>11</v>
      </c>
      <c r="B51" s="2">
        <f>VLOOKUP(A51,'data-2019'!F:G,2,FALSE)</f>
        <v>0.2</v>
      </c>
      <c r="C51" s="2">
        <f>VLOOKUP(A51,'data-2020'!E:F,2,FALSE)</f>
        <v>0.25</v>
      </c>
      <c r="D51" s="2" t="str">
        <f t="shared" si="5"/>
        <v>ano</v>
      </c>
      <c r="E51" s="2">
        <f t="shared" si="6"/>
        <v>0.25</v>
      </c>
    </row>
    <row r="52" spans="1:5" x14ac:dyDescent="0.25">
      <c r="A52" s="2" t="s">
        <v>12</v>
      </c>
      <c r="B52" s="2">
        <f>VLOOKUP(A52,'data-2019'!F:G,2,FALSE)</f>
        <v>0.2</v>
      </c>
      <c r="C52" s="2">
        <f>VLOOKUP(A52,'data-2020'!E:F,2,FALSE)</f>
        <v>0.25</v>
      </c>
      <c r="D52" s="2" t="str">
        <f t="shared" si="5"/>
        <v>ano</v>
      </c>
      <c r="E52" s="2">
        <f t="shared" si="6"/>
        <v>0.25</v>
      </c>
    </row>
    <row r="53" spans="1:5" x14ac:dyDescent="0.25">
      <c r="A53" s="2" t="s">
        <v>13</v>
      </c>
      <c r="B53" s="2">
        <f>VLOOKUP(A53,'data-2019'!F:G,2,FALSE)</f>
        <v>0.2</v>
      </c>
      <c r="C53" s="2">
        <f>VLOOKUP(A53,'data-2020'!E:F,2,FALSE)</f>
        <v>0.25</v>
      </c>
      <c r="D53" s="2" t="str">
        <f t="shared" si="5"/>
        <v>ano</v>
      </c>
      <c r="E53" s="2">
        <f t="shared" si="6"/>
        <v>0.25</v>
      </c>
    </row>
    <row r="54" spans="1:5" x14ac:dyDescent="0.25">
      <c r="A54" s="2" t="s">
        <v>14</v>
      </c>
      <c r="B54" s="2">
        <f>VLOOKUP(A54,'data-2019'!F:G,2,FALSE)</f>
        <v>0.2</v>
      </c>
      <c r="C54" s="2">
        <f>VLOOKUP(A54,'data-2020'!E:F,2,FALSE)</f>
        <v>0.25</v>
      </c>
      <c r="D54" s="2" t="str">
        <f t="shared" si="5"/>
        <v>ano</v>
      </c>
      <c r="E54" s="2">
        <f t="shared" si="6"/>
        <v>0.25</v>
      </c>
    </row>
    <row r="55" spans="1:5" x14ac:dyDescent="0.25">
      <c r="A55" s="2" t="s">
        <v>15</v>
      </c>
      <c r="B55" s="2">
        <f>VLOOKUP(A55,'data-2019'!F:G,2,FALSE)</f>
        <v>0.2</v>
      </c>
      <c r="C55" s="2">
        <f>VLOOKUP(A55,'data-2020'!E:F,2,FALSE)</f>
        <v>0.25</v>
      </c>
      <c r="D55" s="2" t="str">
        <f t="shared" si="5"/>
        <v>ano</v>
      </c>
      <c r="E55" s="2">
        <f t="shared" si="6"/>
        <v>0.25</v>
      </c>
    </row>
    <row r="56" spans="1:5" x14ac:dyDescent="0.25">
      <c r="A56" s="2" t="s">
        <v>16</v>
      </c>
      <c r="B56" s="2">
        <f>VLOOKUP(A56,'data-2019'!F:G,2,FALSE)</f>
        <v>0.2</v>
      </c>
      <c r="C56" s="2">
        <f>VLOOKUP(A56,'data-2020'!E:F,2,FALSE)</f>
        <v>0.25</v>
      </c>
      <c r="D56" s="2" t="str">
        <f t="shared" si="5"/>
        <v>ano</v>
      </c>
      <c r="E56" s="2">
        <f t="shared" si="6"/>
        <v>0.25</v>
      </c>
    </row>
    <row r="57" spans="1:5" x14ac:dyDescent="0.25">
      <c r="A57" s="2" t="s">
        <v>17</v>
      </c>
      <c r="B57" s="2">
        <f>VLOOKUP(A57,'data-2019'!F:G,2,FALSE)</f>
        <v>0.2</v>
      </c>
      <c r="C57" s="2">
        <f>VLOOKUP(A57,'data-2020'!E:F,2,FALSE)</f>
        <v>0.25</v>
      </c>
      <c r="D57" s="2" t="str">
        <f t="shared" si="5"/>
        <v>ano</v>
      </c>
      <c r="E57" s="2">
        <f t="shared" si="6"/>
        <v>0.25</v>
      </c>
    </row>
    <row r="58" spans="1:5" x14ac:dyDescent="0.25">
      <c r="A58" s="2" t="s">
        <v>18</v>
      </c>
      <c r="B58" s="2">
        <f>VLOOKUP(A58,'data-2019'!F:G,2,FALSE)</f>
        <v>0.2</v>
      </c>
      <c r="C58" s="2">
        <f>VLOOKUP(A58,'data-2020'!E:F,2,FALSE)</f>
        <v>0.25</v>
      </c>
      <c r="D58" s="2" t="str">
        <f t="shared" si="5"/>
        <v>ano</v>
      </c>
      <c r="E58" s="2">
        <f t="shared" si="6"/>
        <v>0.25</v>
      </c>
    </row>
    <row r="59" spans="1:5" x14ac:dyDescent="0.25">
      <c r="A59" s="2" t="s">
        <v>19</v>
      </c>
      <c r="B59" s="2">
        <f>VLOOKUP(A59,'data-2019'!F:G,2,FALSE)</f>
        <v>0.2</v>
      </c>
      <c r="C59" s="2">
        <f>VLOOKUP(A59,'data-2020'!E:F,2,FALSE)</f>
        <v>0.25</v>
      </c>
      <c r="D59" s="2" t="str">
        <f t="shared" si="5"/>
        <v>ano</v>
      </c>
      <c r="E59" s="2">
        <f t="shared" si="6"/>
        <v>0.25</v>
      </c>
    </row>
    <row r="63" spans="1:5" x14ac:dyDescent="0.25">
      <c r="A63" s="2" t="s">
        <v>135</v>
      </c>
      <c r="B63" s="26">
        <f ca="1">TODAY()</f>
        <v>44165</v>
      </c>
      <c r="D63" s="2" t="s">
        <v>140</v>
      </c>
      <c r="E63" s="2">
        <f>AVERAGE(C42:C59)</f>
        <v>0.25</v>
      </c>
    </row>
    <row r="64" spans="1:5" x14ac:dyDescent="0.25">
      <c r="A64" s="2" t="s">
        <v>136</v>
      </c>
      <c r="B64" s="26">
        <f ca="1">B63+1</f>
        <v>44166</v>
      </c>
      <c r="D64" s="2" t="s">
        <v>141</v>
      </c>
      <c r="E64" s="2">
        <f>MAX(C42:C59)</f>
        <v>0.25</v>
      </c>
    </row>
    <row r="65" spans="1:5" x14ac:dyDescent="0.25">
      <c r="A65" s="2" t="s">
        <v>137</v>
      </c>
      <c r="B65" s="26">
        <f ca="1">EOMONTH(B63,0)</f>
        <v>44165</v>
      </c>
      <c r="D65" s="2" t="s">
        <v>162</v>
      </c>
      <c r="E65" s="2">
        <f>AVERAGEIF('data-2020'!C11:C28,1,'data-2020'!F11:J28)</f>
        <v>0.25</v>
      </c>
    </row>
    <row r="66" spans="1:5" x14ac:dyDescent="0.25">
      <c r="A66" s="2" t="s">
        <v>138</v>
      </c>
      <c r="B66" s="26">
        <f ca="1">EOMONTH(B63,-1)</f>
        <v>44135</v>
      </c>
      <c r="D66" s="12"/>
      <c r="E66" s="12"/>
    </row>
    <row r="67" spans="1:5" x14ac:dyDescent="0.25">
      <c r="A67" s="2" t="s">
        <v>139</v>
      </c>
      <c r="B67" s="26">
        <f ca="1">EOMONTH(B63,-2)+1</f>
        <v>44105</v>
      </c>
      <c r="D67" s="12"/>
      <c r="E67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5330-EA67-459B-8A04-1022D20EBBEC}">
  <dimension ref="A11:H66"/>
  <sheetViews>
    <sheetView showGridLines="0" zoomScale="145" zoomScaleNormal="145" workbookViewId="0">
      <pane ySplit="9" topLeftCell="A57" activePane="bottomLeft" state="frozen"/>
      <selection activeCell="K22" sqref="K22"/>
      <selection pane="bottomLeft" activeCell="E64" sqref="E64"/>
    </sheetView>
  </sheetViews>
  <sheetFormatPr defaultRowHeight="15" x14ac:dyDescent="0.25"/>
  <cols>
    <col min="1" max="1" width="31" bestFit="1" customWidth="1"/>
    <col min="2" max="2" width="19.140625" bestFit="1" customWidth="1"/>
    <col min="3" max="3" width="24.85546875" bestFit="1" customWidth="1"/>
    <col min="4" max="4" width="40.85546875" bestFit="1" customWidth="1"/>
    <col min="5" max="5" width="47.28515625" bestFit="1" customWidth="1"/>
    <col min="6" max="6" width="20.28515625" bestFit="1" customWidth="1"/>
    <col min="7" max="7" width="13.42578125" bestFit="1" customWidth="1"/>
    <col min="8" max="8" width="11" bestFit="1" customWidth="1"/>
  </cols>
  <sheetData>
    <row r="11" spans="1:6" x14ac:dyDescent="0.25">
      <c r="A11" s="40" t="s">
        <v>142</v>
      </c>
      <c r="B11" s="40">
        <v>0.185</v>
      </c>
    </row>
    <row r="13" spans="1:6" x14ac:dyDescent="0.25">
      <c r="A13" s="2" t="s">
        <v>149</v>
      </c>
      <c r="B13" s="2" t="s">
        <v>42</v>
      </c>
      <c r="C13" s="2" t="s">
        <v>43</v>
      </c>
      <c r="D13" s="2" t="s">
        <v>44</v>
      </c>
      <c r="E13" s="2" t="s">
        <v>45</v>
      </c>
      <c r="F13" s="2" t="s">
        <v>46</v>
      </c>
    </row>
    <row r="14" spans="1:6" x14ac:dyDescent="0.25">
      <c r="A14" s="13">
        <v>2020</v>
      </c>
      <c r="B14" s="10">
        <v>0.2</v>
      </c>
      <c r="C14" s="10">
        <v>0.3</v>
      </c>
      <c r="D14" s="10">
        <v>0.1</v>
      </c>
      <c r="E14" s="10">
        <v>0.3</v>
      </c>
      <c r="F14" s="10">
        <v>0.1</v>
      </c>
    </row>
    <row r="15" spans="1:6" x14ac:dyDescent="0.25">
      <c r="A15" s="14"/>
      <c r="B15" s="15"/>
      <c r="C15" s="15"/>
      <c r="D15" s="15"/>
      <c r="E15" s="15"/>
      <c r="F15" s="15"/>
    </row>
    <row r="16" spans="1:6" x14ac:dyDescent="0.25">
      <c r="A16" s="13" t="s">
        <v>150</v>
      </c>
      <c r="B16" s="10" t="str">
        <f>IF(B14&gt;$B$11,"ano","ne")</f>
        <v>ano</v>
      </c>
      <c r="C16" s="10" t="str">
        <f t="shared" ref="C16:F16" si="0">IF(C14&gt;$B11,"ano","ne")</f>
        <v>ano</v>
      </c>
      <c r="D16" s="10" t="str">
        <f t="shared" si="0"/>
        <v>ne</v>
      </c>
      <c r="E16" s="10" t="str">
        <f t="shared" si="0"/>
        <v>ano</v>
      </c>
      <c r="F16" s="10" t="str">
        <f t="shared" si="0"/>
        <v>ne</v>
      </c>
    </row>
    <row r="17" spans="1:8" x14ac:dyDescent="0.25">
      <c r="A17" s="14"/>
      <c r="B17" s="10"/>
      <c r="C17" s="15"/>
      <c r="D17" s="15"/>
      <c r="E17" s="15"/>
      <c r="F17" s="15"/>
    </row>
    <row r="18" spans="1:8" x14ac:dyDescent="0.25">
      <c r="E18" s="12"/>
    </row>
    <row r="19" spans="1:8" x14ac:dyDescent="0.25">
      <c r="A19" s="2" t="s">
        <v>86</v>
      </c>
      <c r="B19" s="2" t="s">
        <v>87</v>
      </c>
      <c r="C19" s="2" t="s">
        <v>127</v>
      </c>
      <c r="D19" s="2" t="s">
        <v>148</v>
      </c>
      <c r="E19" s="12"/>
      <c r="F19" s="7"/>
      <c r="G19" s="7"/>
      <c r="H19" s="7"/>
    </row>
    <row r="20" spans="1:8" x14ac:dyDescent="0.25">
      <c r="A20" s="2" t="s">
        <v>24</v>
      </c>
      <c r="B20" s="2" t="str">
        <f>_xlfn.XLOOKUP(A20,employee!A:A,employee!B:B)</f>
        <v>Martin</v>
      </c>
      <c r="C20" s="2" t="str">
        <f>_xlfn.CONCAT(A20,", ",B20)</f>
        <v>Dušek, Martin</v>
      </c>
      <c r="D20" s="2" t="str">
        <f>LOWER(C20)</f>
        <v>dušek, martin</v>
      </c>
      <c r="E20" s="12"/>
    </row>
    <row r="21" spans="1:8" x14ac:dyDescent="0.25">
      <c r="A21" s="2" t="s">
        <v>25</v>
      </c>
      <c r="B21" s="2" t="str">
        <f>_xlfn.XLOOKUP(A21,employee!A:A,employee!B:B)</f>
        <v>Oldřich</v>
      </c>
      <c r="C21" s="2" t="str">
        <f t="shared" ref="C21:C37" si="1">_xlfn.CONCAT(A21,", ",B21)</f>
        <v>Fremr, Oldřich</v>
      </c>
      <c r="D21" s="2" t="str">
        <f t="shared" ref="D21:D37" si="2">LOWER(C21)</f>
        <v>fremr, oldřich</v>
      </c>
      <c r="E21" s="12"/>
    </row>
    <row r="22" spans="1:8" x14ac:dyDescent="0.25">
      <c r="A22" s="2" t="s">
        <v>26</v>
      </c>
      <c r="B22" s="2" t="str">
        <f>_xlfn.XLOOKUP(A22,employee!A:A,employee!B:B)</f>
        <v>Ladislav</v>
      </c>
      <c r="C22" s="2" t="str">
        <f t="shared" si="1"/>
        <v>Matějka, Ladislav</v>
      </c>
      <c r="D22" s="2" t="str">
        <f t="shared" si="2"/>
        <v>matějka, ladislav</v>
      </c>
      <c r="E22" s="12"/>
    </row>
    <row r="23" spans="1:8" x14ac:dyDescent="0.25">
      <c r="A23" s="2" t="s">
        <v>27</v>
      </c>
      <c r="B23" s="2" t="str">
        <f>_xlfn.XLOOKUP(A23,employee!A:A,employee!B:B)</f>
        <v>Jiri</v>
      </c>
      <c r="C23" s="2" t="str">
        <f t="shared" si="1"/>
        <v>Hajda, Jiri</v>
      </c>
      <c r="D23" s="2" t="str">
        <f t="shared" si="2"/>
        <v>hajda, jiri</v>
      </c>
      <c r="E23" s="12"/>
    </row>
    <row r="24" spans="1:8" x14ac:dyDescent="0.25">
      <c r="A24" s="2" t="s">
        <v>28</v>
      </c>
      <c r="B24" s="2" t="str">
        <f>_xlfn.XLOOKUP(A24,employee!A:A,employee!B:B)</f>
        <v>Robert</v>
      </c>
      <c r="C24" s="2" t="str">
        <f t="shared" si="1"/>
        <v>Dvořák, Robert</v>
      </c>
      <c r="D24" s="2" t="str">
        <f t="shared" si="2"/>
        <v>dvořák, robert</v>
      </c>
      <c r="E24" s="12"/>
    </row>
    <row r="25" spans="1:8" x14ac:dyDescent="0.25">
      <c r="A25" s="2" t="s">
        <v>29</v>
      </c>
      <c r="B25" s="2" t="str">
        <f>_xlfn.XLOOKUP(A25,employee!A:A,employee!B:B)</f>
        <v>Martin</v>
      </c>
      <c r="C25" s="2" t="str">
        <f t="shared" si="1"/>
        <v>Bartoš, Martin</v>
      </c>
      <c r="D25" s="2" t="str">
        <f t="shared" si="2"/>
        <v>bartoš, martin</v>
      </c>
      <c r="E25" s="12"/>
    </row>
    <row r="26" spans="1:8" x14ac:dyDescent="0.25">
      <c r="A26" s="2" t="s">
        <v>30</v>
      </c>
      <c r="B26" s="2" t="str">
        <f>_xlfn.XLOOKUP(A26,employee!A:A,employee!B:B)</f>
        <v>Tomáš</v>
      </c>
      <c r="C26" s="2" t="str">
        <f t="shared" si="1"/>
        <v>Kůstka, Tomáš</v>
      </c>
      <c r="D26" s="2" t="str">
        <f t="shared" si="2"/>
        <v>kůstka, tomáš</v>
      </c>
      <c r="E26" s="12"/>
    </row>
    <row r="27" spans="1:8" x14ac:dyDescent="0.25">
      <c r="A27" s="2" t="s">
        <v>31</v>
      </c>
      <c r="B27" s="2" t="str">
        <f>_xlfn.XLOOKUP(A27,employee!A:A,employee!B:B)</f>
        <v>Daniela</v>
      </c>
      <c r="C27" s="2" t="str">
        <f t="shared" si="1"/>
        <v>Kašparová, Daniela</v>
      </c>
      <c r="D27" s="2" t="str">
        <f t="shared" si="2"/>
        <v>kašparová, daniela</v>
      </c>
      <c r="E27" s="12"/>
    </row>
    <row r="28" spans="1:8" x14ac:dyDescent="0.25">
      <c r="A28" s="2" t="s">
        <v>32</v>
      </c>
      <c r="B28" s="2" t="str">
        <f>_xlfn.XLOOKUP(A28,employee!A:A,employee!B:B)</f>
        <v>Michal</v>
      </c>
      <c r="C28" s="2" t="str">
        <f t="shared" si="1"/>
        <v>Fiala, Michal</v>
      </c>
      <c r="D28" s="2" t="str">
        <f t="shared" si="2"/>
        <v>fiala, michal</v>
      </c>
      <c r="E28" s="12"/>
    </row>
    <row r="29" spans="1:8" x14ac:dyDescent="0.25">
      <c r="A29" s="2" t="s">
        <v>33</v>
      </c>
      <c r="B29" s="2" t="str">
        <f>_xlfn.XLOOKUP(A29,employee!A:A,employee!B:B)</f>
        <v>Daniel</v>
      </c>
      <c r="C29" s="2" t="str">
        <f t="shared" si="1"/>
        <v>Stehlík, Daniel</v>
      </c>
      <c r="D29" s="2" t="str">
        <f t="shared" si="2"/>
        <v>stehlík, daniel</v>
      </c>
      <c r="E29" s="12"/>
    </row>
    <row r="30" spans="1:8" x14ac:dyDescent="0.25">
      <c r="A30" s="2" t="s">
        <v>34</v>
      </c>
      <c r="B30" s="2" t="str">
        <f>_xlfn.XLOOKUP(A30,employee!A:A,employee!B:B)</f>
        <v>Stanislava</v>
      </c>
      <c r="C30" s="2" t="str">
        <f t="shared" si="1"/>
        <v>Schüllerová, Stanislava</v>
      </c>
      <c r="D30" s="2" t="str">
        <f t="shared" si="2"/>
        <v>schüllerová, stanislava</v>
      </c>
      <c r="E30" s="12"/>
    </row>
    <row r="31" spans="1:8" x14ac:dyDescent="0.25">
      <c r="A31" s="2" t="s">
        <v>35</v>
      </c>
      <c r="B31" s="2" t="str">
        <f>_xlfn.XLOOKUP(A31,employee!A:A,employee!B:B)</f>
        <v>Lukáš</v>
      </c>
      <c r="C31" s="2" t="str">
        <f t="shared" si="1"/>
        <v>Loffaj, Lukáš</v>
      </c>
      <c r="D31" s="2" t="str">
        <f t="shared" si="2"/>
        <v>loffaj, lukáš</v>
      </c>
      <c r="E31" s="12"/>
    </row>
    <row r="32" spans="1:8" x14ac:dyDescent="0.25">
      <c r="A32" s="2" t="s">
        <v>36</v>
      </c>
      <c r="B32" s="2" t="str">
        <f>_xlfn.XLOOKUP(A32,employee!A:A,employee!B:B)</f>
        <v>Roman</v>
      </c>
      <c r="C32" s="2" t="str">
        <f t="shared" si="1"/>
        <v>Stančík, Roman</v>
      </c>
      <c r="D32" s="2" t="str">
        <f t="shared" si="2"/>
        <v>stančík, roman</v>
      </c>
      <c r="E32" s="12"/>
    </row>
    <row r="33" spans="1:5" x14ac:dyDescent="0.25">
      <c r="A33" s="2" t="s">
        <v>37</v>
      </c>
      <c r="B33" s="2" t="str">
        <f>_xlfn.XLOOKUP(A33,employee!A:A,employee!B:B)</f>
        <v>Zuzana</v>
      </c>
      <c r="C33" s="2" t="str">
        <f t="shared" si="1"/>
        <v>Hájková, Zuzana</v>
      </c>
      <c r="D33" s="2" t="str">
        <f t="shared" si="2"/>
        <v>hájková, zuzana</v>
      </c>
      <c r="E33" s="12"/>
    </row>
    <row r="34" spans="1:5" x14ac:dyDescent="0.25">
      <c r="A34" s="2" t="s">
        <v>38</v>
      </c>
      <c r="B34" s="2" t="str">
        <f>_xlfn.XLOOKUP(A34,employee!A:A,employee!B:B)</f>
        <v>Jaroslav</v>
      </c>
      <c r="C34" s="2" t="str">
        <f t="shared" si="1"/>
        <v>Korec, Jaroslav</v>
      </c>
      <c r="D34" s="2" t="str">
        <f t="shared" si="2"/>
        <v>korec, jaroslav</v>
      </c>
      <c r="E34" s="12"/>
    </row>
    <row r="35" spans="1:5" x14ac:dyDescent="0.25">
      <c r="A35" s="2" t="s">
        <v>39</v>
      </c>
      <c r="B35" s="2" t="str">
        <f>_xlfn.XLOOKUP(A35,employee!A:A,employee!B:B)</f>
        <v>Michaela</v>
      </c>
      <c r="C35" s="2" t="str">
        <f t="shared" si="1"/>
        <v>Uriová, Michaela</v>
      </c>
      <c r="D35" s="2" t="str">
        <f t="shared" si="2"/>
        <v>uriová, michaela</v>
      </c>
      <c r="E35" s="12"/>
    </row>
    <row r="36" spans="1:5" x14ac:dyDescent="0.25">
      <c r="A36" s="2" t="s">
        <v>40</v>
      </c>
      <c r="B36" s="2" t="str">
        <f>_xlfn.XLOOKUP(A36,employee!A:A,employee!B:B)</f>
        <v>František</v>
      </c>
      <c r="C36" s="2" t="str">
        <f t="shared" si="1"/>
        <v>Žid, František</v>
      </c>
      <c r="D36" s="2" t="str">
        <f t="shared" si="2"/>
        <v>žid, františek</v>
      </c>
      <c r="E36" s="12"/>
    </row>
    <row r="37" spans="1:5" x14ac:dyDescent="0.25">
      <c r="A37" s="2" t="s">
        <v>41</v>
      </c>
      <c r="B37" s="2" t="str">
        <f>_xlfn.XLOOKUP(A37,employee!A:A,employee!B:B)</f>
        <v>Lukáš</v>
      </c>
      <c r="C37" s="2" t="str">
        <f t="shared" si="1"/>
        <v>Ekrt, Lukáš</v>
      </c>
      <c r="D37" s="2" t="str">
        <f t="shared" si="2"/>
        <v>ekrt, lukáš</v>
      </c>
      <c r="E37" s="12"/>
    </row>
    <row r="38" spans="1:5" x14ac:dyDescent="0.25">
      <c r="E38" s="12"/>
    </row>
    <row r="39" spans="1:5" x14ac:dyDescent="0.25">
      <c r="E39" s="12"/>
    </row>
    <row r="40" spans="1:5" x14ac:dyDescent="0.25">
      <c r="A40" s="2" t="s">
        <v>20</v>
      </c>
      <c r="B40" s="2" t="s">
        <v>151</v>
      </c>
      <c r="C40" s="2" t="s">
        <v>152</v>
      </c>
      <c r="D40" s="2" t="s">
        <v>153</v>
      </c>
      <c r="E40" s="12"/>
    </row>
    <row r="41" spans="1:5" x14ac:dyDescent="0.25">
      <c r="A41" s="2" t="s">
        <v>2</v>
      </c>
      <c r="B41" s="2">
        <f>_xlfn.XLOOKUP(A41,'data-2019'!F:F,'data-2019'!H:H)</f>
        <v>0.3</v>
      </c>
      <c r="C41" s="2">
        <f>_xlfn.XLOOKUP(A41,'data-2020'!E:E,'data-2020'!G:G)</f>
        <v>0.33</v>
      </c>
      <c r="D41" s="2" t="str">
        <f>IF(C41&gt;'data-2020'!F11,"ano","ne")</f>
        <v>ano</v>
      </c>
      <c r="E41" s="12"/>
    </row>
    <row r="42" spans="1:5" x14ac:dyDescent="0.25">
      <c r="A42" s="2" t="s">
        <v>3</v>
      </c>
      <c r="B42" s="2">
        <f>_xlfn.XLOOKUP(A42,'data-2019'!F:F,'data-2019'!H:H)</f>
        <v>0.3</v>
      </c>
      <c r="C42" s="2">
        <f>_xlfn.XLOOKUP(A42,'data-2020'!E:E,'data-2020'!G:G)</f>
        <v>0.33</v>
      </c>
      <c r="D42" s="2" t="str">
        <f t="shared" ref="D42:D58" si="3">IF(C42&gt;B42,"ano","ne")</f>
        <v>ano</v>
      </c>
      <c r="E42" s="12"/>
    </row>
    <row r="43" spans="1:5" x14ac:dyDescent="0.25">
      <c r="A43" s="2" t="s">
        <v>4</v>
      </c>
      <c r="B43" s="2">
        <f>_xlfn.XLOOKUP(A43,'data-2019'!F:F,'data-2019'!H:H)</f>
        <v>0.3</v>
      </c>
      <c r="C43" s="2">
        <f>_xlfn.XLOOKUP(A43,'data-2020'!E:E,'data-2020'!G:G)</f>
        <v>0.33</v>
      </c>
      <c r="D43" s="2" t="str">
        <f t="shared" si="3"/>
        <v>ano</v>
      </c>
      <c r="E43" s="12"/>
    </row>
    <row r="44" spans="1:5" x14ac:dyDescent="0.25">
      <c r="A44" s="2" t="s">
        <v>5</v>
      </c>
      <c r="B44" s="2">
        <f>_xlfn.XLOOKUP(A44,'data-2019'!F:F,'data-2019'!H:H)</f>
        <v>0.3</v>
      </c>
      <c r="C44" s="2">
        <f>_xlfn.XLOOKUP(A44,'data-2020'!E:E,'data-2020'!G:G)</f>
        <v>0.33</v>
      </c>
      <c r="D44" s="2" t="str">
        <f t="shared" si="3"/>
        <v>ano</v>
      </c>
      <c r="E44" s="12"/>
    </row>
    <row r="45" spans="1:5" x14ac:dyDescent="0.25">
      <c r="A45" s="2" t="s">
        <v>6</v>
      </c>
      <c r="B45" s="2">
        <f>_xlfn.XLOOKUP(A45,'data-2019'!F:F,'data-2019'!H:H)</f>
        <v>0.3</v>
      </c>
      <c r="C45" s="2">
        <f>_xlfn.XLOOKUP(A45,'data-2020'!E:E,'data-2020'!G:G)</f>
        <v>0.33</v>
      </c>
      <c r="D45" s="2" t="str">
        <f t="shared" si="3"/>
        <v>ano</v>
      </c>
      <c r="E45" s="12"/>
    </row>
    <row r="46" spans="1:5" x14ac:dyDescent="0.25">
      <c r="A46" s="2" t="s">
        <v>7</v>
      </c>
      <c r="B46" s="2">
        <f>_xlfn.XLOOKUP(A46,'data-2019'!F:F,'data-2019'!H:H)</f>
        <v>0.3</v>
      </c>
      <c r="C46" s="2">
        <f>_xlfn.XLOOKUP(A46,'data-2020'!E:E,'data-2020'!G:G)</f>
        <v>0.33</v>
      </c>
      <c r="D46" s="2" t="str">
        <f t="shared" si="3"/>
        <v>ano</v>
      </c>
      <c r="E46" s="12"/>
    </row>
    <row r="47" spans="1:5" x14ac:dyDescent="0.25">
      <c r="A47" s="2" t="s">
        <v>8</v>
      </c>
      <c r="B47" s="2">
        <f>_xlfn.XLOOKUP(A47,'data-2019'!F:F,'data-2019'!H:H)</f>
        <v>0.3</v>
      </c>
      <c r="C47" s="2">
        <f>_xlfn.XLOOKUP(A47,'data-2020'!E:E,'data-2020'!G:G)</f>
        <v>0.33</v>
      </c>
      <c r="D47" s="2" t="str">
        <f t="shared" si="3"/>
        <v>ano</v>
      </c>
      <c r="E47" s="12"/>
    </row>
    <row r="48" spans="1:5" x14ac:dyDescent="0.25">
      <c r="A48" s="2" t="s">
        <v>9</v>
      </c>
      <c r="B48" s="2">
        <f>_xlfn.XLOOKUP(A48,'data-2019'!F:F,'data-2019'!H:H)</f>
        <v>0.3</v>
      </c>
      <c r="C48" s="2">
        <f>_xlfn.XLOOKUP(A48,'data-2020'!E:E,'data-2020'!G:G)</f>
        <v>0.33</v>
      </c>
      <c r="D48" s="2" t="str">
        <f t="shared" si="3"/>
        <v>ano</v>
      </c>
      <c r="E48" s="12"/>
    </row>
    <row r="49" spans="1:5" x14ac:dyDescent="0.25">
      <c r="A49" s="2" t="s">
        <v>10</v>
      </c>
      <c r="B49" s="2">
        <f>_xlfn.XLOOKUP(A49,'data-2019'!F:F,'data-2019'!H:H)</f>
        <v>0.3</v>
      </c>
      <c r="C49" s="2">
        <f>_xlfn.XLOOKUP(A49,'data-2020'!E:E,'data-2020'!G:G)</f>
        <v>0.33</v>
      </c>
      <c r="D49" s="2" t="str">
        <f t="shared" si="3"/>
        <v>ano</v>
      </c>
      <c r="E49" s="12"/>
    </row>
    <row r="50" spans="1:5" x14ac:dyDescent="0.25">
      <c r="A50" s="2" t="s">
        <v>11</v>
      </c>
      <c r="B50" s="2">
        <f>_xlfn.XLOOKUP(A50,'data-2019'!F:F,'data-2019'!H:H)</f>
        <v>0.3</v>
      </c>
      <c r="C50" s="2">
        <f>_xlfn.XLOOKUP(A50,'data-2020'!E:E,'data-2020'!G:G)</f>
        <v>0.33</v>
      </c>
      <c r="D50" s="2" t="str">
        <f t="shared" si="3"/>
        <v>ano</v>
      </c>
      <c r="E50" s="12"/>
    </row>
    <row r="51" spans="1:5" x14ac:dyDescent="0.25">
      <c r="A51" s="2" t="s">
        <v>12</v>
      </c>
      <c r="B51" s="2">
        <f>_xlfn.XLOOKUP(A51,'data-2019'!F:F,'data-2019'!H:H)</f>
        <v>0.3</v>
      </c>
      <c r="C51" s="2">
        <f>_xlfn.XLOOKUP(A51,'data-2020'!E:E,'data-2020'!G:G)</f>
        <v>0.33</v>
      </c>
      <c r="D51" s="2" t="str">
        <f t="shared" si="3"/>
        <v>ano</v>
      </c>
      <c r="E51" s="12"/>
    </row>
    <row r="52" spans="1:5" x14ac:dyDescent="0.25">
      <c r="A52" s="2" t="s">
        <v>13</v>
      </c>
      <c r="B52" s="2">
        <f>_xlfn.XLOOKUP(A52,'data-2019'!F:F,'data-2019'!H:H)</f>
        <v>0.3</v>
      </c>
      <c r="C52" s="2">
        <f>_xlfn.XLOOKUP(A52,'data-2020'!E:E,'data-2020'!G:G)</f>
        <v>0.33</v>
      </c>
      <c r="D52" s="2" t="str">
        <f t="shared" si="3"/>
        <v>ano</v>
      </c>
      <c r="E52" s="12"/>
    </row>
    <row r="53" spans="1:5" x14ac:dyDescent="0.25">
      <c r="A53" s="2" t="s">
        <v>14</v>
      </c>
      <c r="B53" s="2">
        <f>_xlfn.XLOOKUP(A53,'data-2019'!F:F,'data-2019'!H:H)</f>
        <v>0.3</v>
      </c>
      <c r="C53" s="2">
        <f>_xlfn.XLOOKUP(A53,'data-2020'!E:E,'data-2020'!G:G)</f>
        <v>0.33</v>
      </c>
      <c r="D53" s="2" t="str">
        <f t="shared" si="3"/>
        <v>ano</v>
      </c>
      <c r="E53" s="12"/>
    </row>
    <row r="54" spans="1:5" x14ac:dyDescent="0.25">
      <c r="A54" s="2" t="s">
        <v>15</v>
      </c>
      <c r="B54" s="2">
        <f>_xlfn.XLOOKUP(A54,'data-2019'!F:F,'data-2019'!H:H)</f>
        <v>0.3</v>
      </c>
      <c r="C54" s="2">
        <f>_xlfn.XLOOKUP(A54,'data-2020'!E:E,'data-2020'!G:G)</f>
        <v>0.33</v>
      </c>
      <c r="D54" s="2" t="str">
        <f t="shared" si="3"/>
        <v>ano</v>
      </c>
      <c r="E54" s="12"/>
    </row>
    <row r="55" spans="1:5" x14ac:dyDescent="0.25">
      <c r="A55" s="2" t="s">
        <v>16</v>
      </c>
      <c r="B55" s="2">
        <f>_xlfn.XLOOKUP(A55,'data-2019'!F:F,'data-2019'!H:H)</f>
        <v>0.3</v>
      </c>
      <c r="C55" s="2">
        <f>_xlfn.XLOOKUP(A55,'data-2020'!E:E,'data-2020'!G:G)</f>
        <v>0.33</v>
      </c>
      <c r="D55" s="2" t="str">
        <f t="shared" si="3"/>
        <v>ano</v>
      </c>
      <c r="E55" s="12"/>
    </row>
    <row r="56" spans="1:5" x14ac:dyDescent="0.25">
      <c r="A56" s="2" t="s">
        <v>17</v>
      </c>
      <c r="B56" s="2">
        <f>_xlfn.XLOOKUP(A56,'data-2019'!F:F,'data-2019'!H:H)</f>
        <v>0.3</v>
      </c>
      <c r="C56" s="2">
        <f>_xlfn.XLOOKUP(A56,'data-2020'!E:E,'data-2020'!G:G)</f>
        <v>0.33</v>
      </c>
      <c r="D56" s="2" t="str">
        <f t="shared" si="3"/>
        <v>ano</v>
      </c>
      <c r="E56" s="12"/>
    </row>
    <row r="57" spans="1:5" x14ac:dyDescent="0.25">
      <c r="A57" s="2" t="s">
        <v>18</v>
      </c>
      <c r="B57" s="2">
        <f>_xlfn.XLOOKUP(A57,'data-2019'!F:F,'data-2019'!H:H)</f>
        <v>0.3</v>
      </c>
      <c r="C57" s="2">
        <f>_xlfn.XLOOKUP(A57,'data-2020'!E:E,'data-2020'!G:G)</f>
        <v>0.33</v>
      </c>
      <c r="D57" s="2" t="str">
        <f t="shared" si="3"/>
        <v>ano</v>
      </c>
      <c r="E57" s="12"/>
    </row>
    <row r="58" spans="1:5" x14ac:dyDescent="0.25">
      <c r="A58" s="2" t="s">
        <v>19</v>
      </c>
      <c r="B58" s="2">
        <f>_xlfn.XLOOKUP(A58,'data-2019'!F:F,'data-2019'!H:H)</f>
        <v>0.3</v>
      </c>
      <c r="C58" s="2">
        <f>_xlfn.XLOOKUP(A58,'data-2020'!E:E,'data-2020'!G:G)</f>
        <v>0.33</v>
      </c>
      <c r="D58" s="2" t="str">
        <f t="shared" si="3"/>
        <v>ano</v>
      </c>
      <c r="E58" s="12"/>
    </row>
    <row r="62" spans="1:5" x14ac:dyDescent="0.25">
      <c r="A62" s="2" t="s">
        <v>135</v>
      </c>
      <c r="B62" s="26">
        <f ca="1">TODAY()</f>
        <v>44165</v>
      </c>
      <c r="D62" s="2" t="s">
        <v>155</v>
      </c>
      <c r="E62" s="2">
        <f>AVERAGE(C41:C58)</f>
        <v>0.33</v>
      </c>
    </row>
    <row r="63" spans="1:5" x14ac:dyDescent="0.25">
      <c r="A63" s="2" t="s">
        <v>136</v>
      </c>
      <c r="B63" s="26">
        <f ca="1">TODAY()+1</f>
        <v>44166</v>
      </c>
      <c r="D63" s="2" t="s">
        <v>156</v>
      </c>
      <c r="E63" s="2">
        <f>MAX(C41:C58)</f>
        <v>0.33</v>
      </c>
    </row>
    <row r="64" spans="1:5" x14ac:dyDescent="0.25">
      <c r="A64" s="2" t="s">
        <v>154</v>
      </c>
      <c r="B64" s="26">
        <f ca="1">EOMONTH(B62,1)</f>
        <v>44196</v>
      </c>
      <c r="D64" s="2" t="s">
        <v>163</v>
      </c>
      <c r="E64" s="2">
        <f ca="1">AVERAGEIF('data-2020'!C:C,1,'data-2020'!G:G)</f>
        <v>0.33</v>
      </c>
    </row>
    <row r="65" spans="1:5" x14ac:dyDescent="0.25">
      <c r="A65" s="12"/>
      <c r="B65" s="12"/>
      <c r="D65" s="12"/>
      <c r="E65" s="12"/>
    </row>
    <row r="66" spans="1:5" x14ac:dyDescent="0.25">
      <c r="A66" s="12"/>
      <c r="B66" s="12"/>
      <c r="D66" s="12"/>
      <c r="E66" s="12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3D5B-123A-4B70-95A7-16DEF44CA3F2}">
  <dimension ref="A1:J21"/>
  <sheetViews>
    <sheetView showGridLines="0" zoomScale="115" zoomScaleNormal="115" workbookViewId="0">
      <selection activeCell="J12" sqref="J12"/>
    </sheetView>
  </sheetViews>
  <sheetFormatPr defaultRowHeight="15" x14ac:dyDescent="0.25"/>
  <cols>
    <col min="1" max="1" width="6.42578125" style="7" customWidth="1"/>
    <col min="2" max="2" width="9.5703125" style="7" bestFit="1" customWidth="1"/>
    <col min="3" max="3" width="13.85546875" style="7" bestFit="1" customWidth="1"/>
    <col min="4" max="4" width="21.5703125" style="7" bestFit="1" customWidth="1"/>
    <col min="5" max="5" width="16.5703125" style="7" bestFit="1" customWidth="1"/>
    <col min="6" max="6" width="11.7109375" bestFit="1" customWidth="1"/>
    <col min="7" max="7" width="14.85546875" style="7" bestFit="1" customWidth="1"/>
    <col min="8" max="8" width="11.42578125" style="7" bestFit="1" customWidth="1"/>
    <col min="9" max="9" width="17" style="7" bestFit="1" customWidth="1"/>
    <col min="10" max="10" width="18.85546875" style="7" customWidth="1"/>
    <col min="11" max="16384" width="9.140625" style="7"/>
  </cols>
  <sheetData>
    <row r="1" spans="1:10" x14ac:dyDescent="0.25">
      <c r="A1" s="41" t="s">
        <v>21</v>
      </c>
      <c r="B1" s="41" t="s">
        <v>23</v>
      </c>
      <c r="C1" s="41" t="s">
        <v>67</v>
      </c>
      <c r="D1" s="41" t="s">
        <v>20</v>
      </c>
      <c r="E1" s="41" t="s">
        <v>68</v>
      </c>
      <c r="F1" s="41" t="s">
        <v>42</v>
      </c>
      <c r="G1" s="41" t="s">
        <v>43</v>
      </c>
      <c r="H1" s="41" t="s">
        <v>44</v>
      </c>
      <c r="I1" s="41" t="s">
        <v>45</v>
      </c>
      <c r="J1" s="41" t="s">
        <v>46</v>
      </c>
    </row>
    <row r="2" spans="1:10" x14ac:dyDescent="0.25">
      <c r="A2" s="42"/>
      <c r="B2" s="42"/>
      <c r="C2" s="42">
        <v>0</v>
      </c>
      <c r="D2" s="42" t="s">
        <v>18</v>
      </c>
      <c r="E2" s="42" t="s">
        <v>66</v>
      </c>
      <c r="F2" s="42">
        <v>0.25</v>
      </c>
      <c r="G2" s="42">
        <v>0.33</v>
      </c>
      <c r="H2" s="42">
        <v>0.15</v>
      </c>
      <c r="I2" s="42">
        <v>0.3</v>
      </c>
      <c r="J2" s="42">
        <v>0.1</v>
      </c>
    </row>
    <row r="3" spans="1:10" x14ac:dyDescent="0.25">
      <c r="A3" s="42" t="s">
        <v>21</v>
      </c>
      <c r="B3" s="42"/>
      <c r="C3" s="42">
        <v>1</v>
      </c>
      <c r="D3" s="42" t="s">
        <v>7</v>
      </c>
      <c r="E3" s="42" t="s">
        <v>159</v>
      </c>
      <c r="F3" s="42">
        <v>0.25</v>
      </c>
      <c r="G3" s="42">
        <v>0.33</v>
      </c>
      <c r="H3" s="42">
        <v>0.15</v>
      </c>
      <c r="I3" s="42">
        <v>0.3</v>
      </c>
      <c r="J3" s="42">
        <v>0.1</v>
      </c>
    </row>
    <row r="4" spans="1:10" x14ac:dyDescent="0.25">
      <c r="A4" s="42" t="s">
        <v>21</v>
      </c>
      <c r="B4" s="42"/>
      <c r="C4" s="42">
        <v>1</v>
      </c>
      <c r="D4" s="42" t="s">
        <v>7</v>
      </c>
      <c r="E4" s="42" t="s">
        <v>159</v>
      </c>
      <c r="F4" s="42">
        <v>0.25</v>
      </c>
      <c r="G4" s="42">
        <v>0.33</v>
      </c>
      <c r="H4" s="42">
        <v>0.15</v>
      </c>
      <c r="I4" s="42">
        <v>0.3</v>
      </c>
      <c r="J4" s="42">
        <v>0.1</v>
      </c>
    </row>
    <row r="5" spans="1:10" x14ac:dyDescent="0.25">
      <c r="A5" s="42" t="s">
        <v>21</v>
      </c>
      <c r="B5" s="42" t="s">
        <v>0</v>
      </c>
      <c r="C5" s="42">
        <v>1</v>
      </c>
      <c r="D5" s="42" t="s">
        <v>2</v>
      </c>
      <c r="E5" s="42" t="s">
        <v>157</v>
      </c>
      <c r="F5" s="42">
        <v>0.25</v>
      </c>
      <c r="G5" s="42">
        <v>0.33</v>
      </c>
      <c r="H5" s="42">
        <v>0.15</v>
      </c>
      <c r="I5" s="42">
        <v>0.3</v>
      </c>
      <c r="J5" s="42">
        <v>0.1</v>
      </c>
    </row>
    <row r="6" spans="1:10" x14ac:dyDescent="0.25">
      <c r="A6" s="42" t="s">
        <v>21</v>
      </c>
      <c r="B6" s="42"/>
      <c r="C6" s="42">
        <v>1</v>
      </c>
      <c r="D6" s="42" t="s">
        <v>6</v>
      </c>
      <c r="E6" s="42" t="s">
        <v>56</v>
      </c>
      <c r="F6" s="42">
        <v>0.25</v>
      </c>
      <c r="G6" s="42">
        <v>0.33</v>
      </c>
      <c r="H6" s="42">
        <v>0.15</v>
      </c>
      <c r="I6" s="42">
        <v>0.3</v>
      </c>
      <c r="J6" s="42">
        <v>0.1</v>
      </c>
    </row>
    <row r="7" spans="1:10" x14ac:dyDescent="0.25">
      <c r="A7" s="42" t="s">
        <v>21</v>
      </c>
      <c r="B7" s="42"/>
      <c r="C7" s="42">
        <v>1</v>
      </c>
      <c r="D7" s="42" t="s">
        <v>10</v>
      </c>
      <c r="E7" s="42" t="s">
        <v>0</v>
      </c>
      <c r="F7" s="42">
        <v>0.25</v>
      </c>
      <c r="G7" s="42">
        <v>0.33</v>
      </c>
      <c r="H7" s="42">
        <v>0.15</v>
      </c>
      <c r="I7" s="42">
        <v>0.3</v>
      </c>
      <c r="J7" s="42">
        <v>0.1</v>
      </c>
    </row>
    <row r="8" spans="1:10" x14ac:dyDescent="0.25">
      <c r="A8" s="42" t="s">
        <v>21</v>
      </c>
      <c r="B8" s="42"/>
      <c r="C8" s="42">
        <v>1</v>
      </c>
      <c r="D8" s="42" t="s">
        <v>3</v>
      </c>
      <c r="E8" s="42" t="s">
        <v>158</v>
      </c>
      <c r="F8" s="42">
        <v>0.25</v>
      </c>
      <c r="G8" s="42">
        <v>0.33</v>
      </c>
      <c r="H8" s="42">
        <v>0.15</v>
      </c>
      <c r="I8" s="42">
        <v>0.3</v>
      </c>
      <c r="J8" s="42">
        <v>0.1</v>
      </c>
    </row>
    <row r="9" spans="1:10" x14ac:dyDescent="0.25">
      <c r="A9" s="42" t="s">
        <v>21</v>
      </c>
      <c r="B9" s="42"/>
      <c r="C9" s="42">
        <v>1</v>
      </c>
      <c r="D9" s="42" t="s">
        <v>5</v>
      </c>
      <c r="E9" s="42" t="s">
        <v>55</v>
      </c>
      <c r="F9" s="42">
        <v>0.25</v>
      </c>
      <c r="G9" s="42">
        <v>0.33</v>
      </c>
      <c r="H9" s="42">
        <v>0.15</v>
      </c>
      <c r="I9" s="42">
        <v>0.3</v>
      </c>
      <c r="J9" s="42">
        <v>0.1</v>
      </c>
    </row>
    <row r="10" spans="1:10" x14ac:dyDescent="0.25">
      <c r="A10" s="42" t="s">
        <v>21</v>
      </c>
      <c r="B10" s="42"/>
      <c r="C10" s="42">
        <v>1</v>
      </c>
      <c r="D10" s="42" t="s">
        <v>9</v>
      </c>
      <c r="E10" s="42" t="s">
        <v>160</v>
      </c>
      <c r="F10" s="42">
        <v>0.25</v>
      </c>
      <c r="G10" s="42">
        <v>0.33</v>
      </c>
      <c r="H10" s="42">
        <v>0.15</v>
      </c>
      <c r="I10" s="42">
        <v>0.3</v>
      </c>
      <c r="J10" s="42">
        <v>0.1</v>
      </c>
    </row>
    <row r="11" spans="1:10" x14ac:dyDescent="0.25">
      <c r="A11" s="42" t="s">
        <v>21</v>
      </c>
      <c r="B11" s="42"/>
      <c r="C11" s="42">
        <v>1</v>
      </c>
      <c r="D11" s="42" t="s">
        <v>8</v>
      </c>
      <c r="E11" s="42" t="s">
        <v>58</v>
      </c>
      <c r="F11" s="42">
        <v>0.25</v>
      </c>
      <c r="G11" s="42">
        <v>0.33</v>
      </c>
      <c r="H11" s="42">
        <v>0.15</v>
      </c>
      <c r="I11" s="42">
        <v>0.3</v>
      </c>
      <c r="J11" s="42">
        <v>0.1</v>
      </c>
    </row>
    <row r="12" spans="1:10" x14ac:dyDescent="0.25">
      <c r="A12" s="42" t="s">
        <v>21</v>
      </c>
      <c r="B12" s="42"/>
      <c r="C12" s="42">
        <v>1</v>
      </c>
      <c r="D12" s="42" t="s">
        <v>4</v>
      </c>
      <c r="E12" s="42" t="s">
        <v>54</v>
      </c>
      <c r="F12" s="42">
        <v>0.25</v>
      </c>
      <c r="G12" s="42">
        <v>0.33</v>
      </c>
      <c r="H12" s="42">
        <v>0.15</v>
      </c>
      <c r="I12" s="42">
        <v>0.3</v>
      </c>
      <c r="J12" s="42">
        <v>0.1</v>
      </c>
    </row>
    <row r="13" spans="1:10" x14ac:dyDescent="0.25">
      <c r="A13" s="42" t="s">
        <v>21</v>
      </c>
      <c r="B13" s="42"/>
      <c r="C13" s="42">
        <v>2</v>
      </c>
      <c r="D13" s="42" t="s">
        <v>19</v>
      </c>
      <c r="E13" s="42" t="s">
        <v>1</v>
      </c>
      <c r="F13" s="42">
        <v>0.25</v>
      </c>
      <c r="G13" s="42">
        <v>0.33</v>
      </c>
      <c r="H13" s="42">
        <v>0.15</v>
      </c>
      <c r="I13" s="42">
        <v>0.3</v>
      </c>
      <c r="J13" s="42">
        <v>0.1</v>
      </c>
    </row>
    <row r="14" spans="1:10" x14ac:dyDescent="0.25">
      <c r="A14" s="42" t="s">
        <v>21</v>
      </c>
      <c r="B14" s="42"/>
      <c r="C14" s="42">
        <v>2</v>
      </c>
      <c r="D14" s="42" t="s">
        <v>15</v>
      </c>
      <c r="E14" s="42" t="s">
        <v>63</v>
      </c>
      <c r="F14" s="42">
        <v>0.25</v>
      </c>
      <c r="G14" s="42">
        <v>0.33</v>
      </c>
      <c r="H14" s="42">
        <v>0.15</v>
      </c>
      <c r="I14" s="42">
        <v>0.3</v>
      </c>
      <c r="J14" s="42">
        <v>0.1</v>
      </c>
    </row>
    <row r="15" spans="1:10" x14ac:dyDescent="0.25">
      <c r="A15" s="42" t="s">
        <v>21</v>
      </c>
      <c r="B15" s="42"/>
      <c r="C15" s="42">
        <v>2</v>
      </c>
      <c r="D15" s="42" t="s">
        <v>16</v>
      </c>
      <c r="E15" s="42" t="s">
        <v>64</v>
      </c>
      <c r="F15" s="42">
        <v>0.25</v>
      </c>
      <c r="G15" s="42">
        <v>0.33</v>
      </c>
      <c r="H15" s="42">
        <v>0.15</v>
      </c>
      <c r="I15" s="42">
        <v>0.3</v>
      </c>
      <c r="J15" s="42">
        <v>0.1</v>
      </c>
    </row>
    <row r="16" spans="1:10" x14ac:dyDescent="0.25">
      <c r="A16" s="42" t="s">
        <v>21</v>
      </c>
      <c r="B16" s="42"/>
      <c r="C16" s="42">
        <v>2</v>
      </c>
      <c r="D16" s="42" t="s">
        <v>13</v>
      </c>
      <c r="E16" s="42" t="s">
        <v>61</v>
      </c>
      <c r="F16" s="42">
        <v>0.25</v>
      </c>
      <c r="G16" s="42">
        <v>0.33</v>
      </c>
      <c r="H16" s="42">
        <v>0.15</v>
      </c>
      <c r="I16" s="42">
        <v>0.3</v>
      </c>
      <c r="J16" s="42">
        <v>0.1</v>
      </c>
    </row>
    <row r="17" spans="1:10" x14ac:dyDescent="0.25">
      <c r="A17" s="42" t="s">
        <v>21</v>
      </c>
      <c r="B17" s="42"/>
      <c r="C17" s="42">
        <v>2</v>
      </c>
      <c r="D17" s="42" t="s">
        <v>12</v>
      </c>
      <c r="E17" s="42" t="s">
        <v>60</v>
      </c>
      <c r="F17" s="42">
        <v>0.25</v>
      </c>
      <c r="G17" s="42">
        <v>0.33</v>
      </c>
      <c r="H17" s="42">
        <v>0.15</v>
      </c>
      <c r="I17" s="42">
        <v>0.3</v>
      </c>
      <c r="J17" s="42">
        <v>0.1</v>
      </c>
    </row>
    <row r="18" spans="1:10" x14ac:dyDescent="0.25">
      <c r="A18" s="42" t="s">
        <v>21</v>
      </c>
      <c r="B18" s="42"/>
      <c r="C18" s="42">
        <v>2</v>
      </c>
      <c r="D18" s="42" t="s">
        <v>14</v>
      </c>
      <c r="E18" s="42" t="s">
        <v>62</v>
      </c>
      <c r="F18" s="42">
        <v>0.25</v>
      </c>
      <c r="G18" s="42">
        <v>0.33</v>
      </c>
      <c r="H18" s="42">
        <v>0.15</v>
      </c>
      <c r="I18" s="42">
        <v>0.3</v>
      </c>
      <c r="J18" s="42">
        <v>0.1</v>
      </c>
    </row>
    <row r="19" spans="1:10" x14ac:dyDescent="0.25">
      <c r="A19" s="42" t="s">
        <v>21</v>
      </c>
      <c r="B19" s="42" t="s">
        <v>1</v>
      </c>
      <c r="C19" s="42">
        <v>2</v>
      </c>
      <c r="D19" s="42" t="s">
        <v>11</v>
      </c>
      <c r="E19" s="42" t="s">
        <v>161</v>
      </c>
      <c r="F19" s="42">
        <v>0.25</v>
      </c>
      <c r="G19" s="42">
        <v>0.33</v>
      </c>
      <c r="H19" s="42">
        <v>0.15</v>
      </c>
      <c r="I19" s="42">
        <v>0.3</v>
      </c>
      <c r="J19" s="42">
        <v>0.1</v>
      </c>
    </row>
    <row r="20" spans="1:10" x14ac:dyDescent="0.25">
      <c r="A20" s="42" t="s">
        <v>21</v>
      </c>
      <c r="B20" s="42"/>
      <c r="C20" s="42">
        <v>2</v>
      </c>
      <c r="D20" s="42" t="s">
        <v>17</v>
      </c>
      <c r="E20" s="42" t="s">
        <v>65</v>
      </c>
      <c r="F20" s="42">
        <v>0.25</v>
      </c>
      <c r="G20" s="42">
        <v>0.33</v>
      </c>
      <c r="H20" s="42">
        <v>0.15</v>
      </c>
      <c r="I20" s="42">
        <v>0.3</v>
      </c>
      <c r="J20" s="42">
        <v>0.1</v>
      </c>
    </row>
    <row r="21" spans="1:10" x14ac:dyDescent="0.25">
      <c r="A21" s="42" t="s">
        <v>21</v>
      </c>
      <c r="B21" s="42"/>
      <c r="C21" s="42">
        <v>2</v>
      </c>
      <c r="D21" s="42" t="s">
        <v>18</v>
      </c>
      <c r="E21" s="42" t="s">
        <v>66</v>
      </c>
      <c r="F21" s="42">
        <v>0.25</v>
      </c>
      <c r="G21" s="42">
        <v>0.33</v>
      </c>
      <c r="H21" s="42">
        <v>0.15</v>
      </c>
      <c r="I21" s="42">
        <v>0.3</v>
      </c>
      <c r="J21" s="42">
        <v>0.1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E35F-FA74-449A-91E2-EA257F8922D1}">
  <dimension ref="A1:M30"/>
  <sheetViews>
    <sheetView zoomScale="130" zoomScaleNormal="130" workbookViewId="0">
      <selection activeCell="C1" sqref="C1:J1"/>
    </sheetView>
  </sheetViews>
  <sheetFormatPr defaultRowHeight="15" x14ac:dyDescent="0.25"/>
  <cols>
    <col min="1" max="1" width="5.85546875" customWidth="1"/>
    <col min="2" max="2" width="9" customWidth="1"/>
    <col min="3" max="3" width="13.42578125" customWidth="1"/>
    <col min="4" max="4" width="15.85546875" customWidth="1"/>
    <col min="5" max="5" width="21.5703125" bestFit="1" customWidth="1"/>
    <col min="6" max="6" width="11.140625" customWidth="1"/>
    <col min="7" max="7" width="14" customWidth="1"/>
    <col min="8" max="8" width="10.85546875" customWidth="1"/>
    <col min="9" max="9" width="15.85546875" customWidth="1"/>
    <col min="10" max="10" width="10.28515625" customWidth="1"/>
  </cols>
  <sheetData>
    <row r="1" spans="1:13" x14ac:dyDescent="0.25">
      <c r="A1" s="27" t="s">
        <v>21</v>
      </c>
      <c r="B1" s="27" t="s">
        <v>23</v>
      </c>
      <c r="C1" s="27" t="s">
        <v>67</v>
      </c>
      <c r="D1" s="27" t="s">
        <v>68</v>
      </c>
      <c r="E1" s="27" t="s">
        <v>20</v>
      </c>
      <c r="F1" s="27" t="s">
        <v>42</v>
      </c>
      <c r="G1" s="27" t="s">
        <v>43</v>
      </c>
      <c r="H1" s="27" t="s">
        <v>44</v>
      </c>
      <c r="I1" s="27" t="s">
        <v>45</v>
      </c>
      <c r="J1" s="27" t="s">
        <v>46</v>
      </c>
      <c r="K1" s="7"/>
    </row>
    <row r="2" spans="1:13" x14ac:dyDescent="0.25">
      <c r="A2" s="28"/>
      <c r="B2" s="28"/>
      <c r="C2" s="28">
        <v>0</v>
      </c>
      <c r="D2" s="28" t="s">
        <v>66</v>
      </c>
      <c r="E2" s="28" t="s">
        <v>18</v>
      </c>
      <c r="F2" s="28">
        <v>0.25</v>
      </c>
      <c r="G2" s="28">
        <v>0.33</v>
      </c>
      <c r="H2" s="28">
        <v>0.15</v>
      </c>
      <c r="I2" s="28">
        <v>0.3</v>
      </c>
      <c r="J2" s="28">
        <v>0.1</v>
      </c>
      <c r="K2" s="7"/>
    </row>
    <row r="3" spans="1:13" x14ac:dyDescent="0.25">
      <c r="A3" s="28" t="s">
        <v>21</v>
      </c>
      <c r="B3" s="28"/>
      <c r="C3" s="28">
        <v>1</v>
      </c>
      <c r="D3" s="28" t="s">
        <v>159</v>
      </c>
      <c r="E3" s="28" t="s">
        <v>7</v>
      </c>
      <c r="F3" s="28">
        <v>0.25</v>
      </c>
      <c r="G3" s="28">
        <v>0.33</v>
      </c>
      <c r="H3" s="28">
        <v>0.15</v>
      </c>
      <c r="I3" s="28">
        <v>0.3</v>
      </c>
      <c r="J3" s="28">
        <v>0.1</v>
      </c>
      <c r="K3" s="7"/>
    </row>
    <row r="4" spans="1:13" x14ac:dyDescent="0.25">
      <c r="A4" s="28" t="s">
        <v>21</v>
      </c>
      <c r="B4" s="28" t="s">
        <v>0</v>
      </c>
      <c r="C4" s="28">
        <v>1</v>
      </c>
      <c r="D4" s="28" t="s">
        <v>157</v>
      </c>
      <c r="E4" s="28" t="s">
        <v>2</v>
      </c>
      <c r="F4" s="28">
        <v>0.25</v>
      </c>
      <c r="G4" s="28">
        <v>0.33</v>
      </c>
      <c r="H4" s="28">
        <v>0.15</v>
      </c>
      <c r="I4" s="28">
        <v>0.3</v>
      </c>
      <c r="J4" s="28">
        <v>0.1</v>
      </c>
      <c r="K4" s="7"/>
    </row>
    <row r="5" spans="1:13" x14ac:dyDescent="0.25">
      <c r="A5" s="28" t="s">
        <v>21</v>
      </c>
      <c r="B5" s="28"/>
      <c r="C5" s="28">
        <v>1</v>
      </c>
      <c r="D5" s="28" t="s">
        <v>56</v>
      </c>
      <c r="E5" s="28" t="s">
        <v>6</v>
      </c>
      <c r="F5" s="28">
        <v>0.25</v>
      </c>
      <c r="G5" s="28">
        <v>0.33</v>
      </c>
      <c r="H5" s="28">
        <v>0.15</v>
      </c>
      <c r="I5" s="28">
        <v>0.3</v>
      </c>
      <c r="J5" s="28">
        <v>0.1</v>
      </c>
      <c r="K5" s="7"/>
    </row>
    <row r="6" spans="1:13" x14ac:dyDescent="0.25">
      <c r="A6" s="28" t="s">
        <v>21</v>
      </c>
      <c r="B6" s="28"/>
      <c r="C6" s="28">
        <v>1</v>
      </c>
      <c r="D6" s="28" t="s">
        <v>0</v>
      </c>
      <c r="E6" s="28" t="s">
        <v>10</v>
      </c>
      <c r="F6" s="28">
        <v>0.25</v>
      </c>
      <c r="G6" s="28">
        <v>0.33</v>
      </c>
      <c r="H6" s="28">
        <v>0.15</v>
      </c>
      <c r="I6" s="28">
        <v>0.3</v>
      </c>
      <c r="J6" s="28">
        <v>0.1</v>
      </c>
      <c r="K6" s="7"/>
    </row>
    <row r="7" spans="1:13" x14ac:dyDescent="0.25">
      <c r="A7" s="28" t="s">
        <v>21</v>
      </c>
      <c r="B7" s="28"/>
      <c r="C7" s="28">
        <v>1</v>
      </c>
      <c r="D7" s="28" t="s">
        <v>158</v>
      </c>
      <c r="E7" s="28" t="s">
        <v>3</v>
      </c>
      <c r="F7" s="28">
        <v>0.25</v>
      </c>
      <c r="G7" s="28">
        <v>0.33</v>
      </c>
      <c r="H7" s="28">
        <v>0.15</v>
      </c>
      <c r="I7" s="28">
        <v>0.3</v>
      </c>
      <c r="J7" s="28">
        <v>0.1</v>
      </c>
      <c r="K7" s="7"/>
      <c r="M7" t="s">
        <v>165</v>
      </c>
    </row>
    <row r="8" spans="1:13" x14ac:dyDescent="0.25">
      <c r="A8" s="28" t="s">
        <v>21</v>
      </c>
      <c r="B8" s="28"/>
      <c r="C8" s="28">
        <v>1</v>
      </c>
      <c r="D8" s="28" t="s">
        <v>55</v>
      </c>
      <c r="E8" s="28" t="s">
        <v>5</v>
      </c>
      <c r="F8" s="28">
        <v>0.25</v>
      </c>
      <c r="G8" s="28">
        <v>0.33</v>
      </c>
      <c r="H8" s="28">
        <v>0.15</v>
      </c>
      <c r="I8" s="28">
        <v>0.3</v>
      </c>
      <c r="J8" s="28">
        <v>0.1</v>
      </c>
      <c r="K8" s="7"/>
      <c r="M8" t="s">
        <v>168</v>
      </c>
    </row>
    <row r="9" spans="1:13" x14ac:dyDescent="0.25">
      <c r="A9" s="28" t="s">
        <v>21</v>
      </c>
      <c r="B9" s="28"/>
      <c r="C9" s="28">
        <v>1</v>
      </c>
      <c r="D9" s="28" t="s">
        <v>160</v>
      </c>
      <c r="E9" s="28" t="s">
        <v>9</v>
      </c>
      <c r="F9" s="28">
        <v>0.25</v>
      </c>
      <c r="G9" s="28">
        <v>0.33</v>
      </c>
      <c r="H9" s="28">
        <v>0.15</v>
      </c>
      <c r="I9" s="28">
        <v>0.3</v>
      </c>
      <c r="J9" s="28">
        <v>0.1</v>
      </c>
      <c r="K9" s="7"/>
      <c r="M9" t="s">
        <v>166</v>
      </c>
    </row>
    <row r="10" spans="1:13" x14ac:dyDescent="0.25">
      <c r="A10" s="28" t="s">
        <v>21</v>
      </c>
      <c r="B10" s="28"/>
      <c r="C10" s="28">
        <v>1</v>
      </c>
      <c r="D10" s="28" t="s">
        <v>58</v>
      </c>
      <c r="E10" s="28" t="s">
        <v>8</v>
      </c>
      <c r="F10" s="28">
        <v>0.25</v>
      </c>
      <c r="G10" s="28">
        <v>0.33</v>
      </c>
      <c r="H10" s="28">
        <v>0.15</v>
      </c>
      <c r="I10" s="28">
        <v>0.3</v>
      </c>
      <c r="J10" s="28">
        <v>0.1</v>
      </c>
      <c r="K10" s="7"/>
      <c r="M10" t="s">
        <v>167</v>
      </c>
    </row>
    <row r="11" spans="1:13" x14ac:dyDescent="0.25">
      <c r="A11" s="28" t="s">
        <v>21</v>
      </c>
      <c r="B11" s="28"/>
      <c r="C11" s="28">
        <v>1</v>
      </c>
      <c r="D11" s="28" t="s">
        <v>54</v>
      </c>
      <c r="E11" s="28" t="s">
        <v>4</v>
      </c>
      <c r="F11" s="28">
        <v>0.25</v>
      </c>
      <c r="G11" s="28">
        <v>0.33</v>
      </c>
      <c r="H11" s="28">
        <v>0.15</v>
      </c>
      <c r="I11" s="28">
        <v>0.3</v>
      </c>
      <c r="J11" s="28">
        <v>0.1</v>
      </c>
      <c r="K11" s="7"/>
    </row>
    <row r="12" spans="1:13" x14ac:dyDescent="0.25">
      <c r="A12" s="28" t="s">
        <v>21</v>
      </c>
      <c r="B12" s="28"/>
      <c r="C12" s="28">
        <v>2</v>
      </c>
      <c r="D12" s="28" t="s">
        <v>1</v>
      </c>
      <c r="E12" s="28" t="s">
        <v>19</v>
      </c>
      <c r="F12" s="28">
        <v>0.25</v>
      </c>
      <c r="G12" s="28">
        <v>0.33</v>
      </c>
      <c r="H12" s="28">
        <v>0.15</v>
      </c>
      <c r="I12" s="28">
        <v>0.3</v>
      </c>
      <c r="J12" s="28">
        <v>0.1</v>
      </c>
      <c r="K12" s="7"/>
    </row>
    <row r="13" spans="1:13" x14ac:dyDescent="0.25">
      <c r="A13" s="28" t="s">
        <v>21</v>
      </c>
      <c r="B13" s="28"/>
      <c r="C13" s="28">
        <v>2</v>
      </c>
      <c r="D13" s="28" t="s">
        <v>63</v>
      </c>
      <c r="E13" s="28" t="s">
        <v>15</v>
      </c>
      <c r="F13" s="28">
        <v>0.25</v>
      </c>
      <c r="G13" s="28">
        <v>0.33</v>
      </c>
      <c r="H13" s="28">
        <v>0.15</v>
      </c>
      <c r="I13" s="28">
        <v>0.3</v>
      </c>
      <c r="J13" s="28">
        <v>0.1</v>
      </c>
      <c r="K13" s="7"/>
    </row>
    <row r="14" spans="1:13" x14ac:dyDescent="0.25">
      <c r="A14" s="28" t="s">
        <v>21</v>
      </c>
      <c r="B14" s="28"/>
      <c r="C14" s="28">
        <v>2</v>
      </c>
      <c r="D14" s="28" t="s">
        <v>64</v>
      </c>
      <c r="E14" s="28" t="s">
        <v>16</v>
      </c>
      <c r="F14" s="28">
        <v>0.25</v>
      </c>
      <c r="G14" s="28">
        <v>0.33</v>
      </c>
      <c r="H14" s="28">
        <v>0.15</v>
      </c>
      <c r="I14" s="28">
        <v>0.3</v>
      </c>
      <c r="J14" s="28">
        <v>0.1</v>
      </c>
      <c r="K14" s="7"/>
    </row>
    <row r="15" spans="1:13" x14ac:dyDescent="0.25">
      <c r="A15" s="28" t="s">
        <v>21</v>
      </c>
      <c r="B15" s="28"/>
      <c r="C15" s="28">
        <v>2</v>
      </c>
      <c r="D15" s="28" t="s">
        <v>61</v>
      </c>
      <c r="E15" s="28" t="s">
        <v>13</v>
      </c>
      <c r="F15" s="28">
        <v>0.25</v>
      </c>
      <c r="G15" s="28">
        <v>0.33</v>
      </c>
      <c r="H15" s="28">
        <v>0.15</v>
      </c>
      <c r="I15" s="28">
        <v>0.3</v>
      </c>
      <c r="J15" s="28">
        <v>0.1</v>
      </c>
      <c r="K15" s="7"/>
    </row>
    <row r="16" spans="1:13" x14ac:dyDescent="0.25">
      <c r="A16" s="28" t="s">
        <v>21</v>
      </c>
      <c r="B16" s="28"/>
      <c r="C16" s="28">
        <v>2</v>
      </c>
      <c r="D16" s="28" t="s">
        <v>60</v>
      </c>
      <c r="E16" s="28" t="s">
        <v>12</v>
      </c>
      <c r="F16" s="28">
        <v>0.25</v>
      </c>
      <c r="G16" s="28">
        <v>0.33</v>
      </c>
      <c r="H16" s="28">
        <v>0.15</v>
      </c>
      <c r="I16" s="28">
        <v>0.3</v>
      </c>
      <c r="J16" s="28">
        <v>0.1</v>
      </c>
      <c r="K16" s="7"/>
    </row>
    <row r="17" spans="1:13" x14ac:dyDescent="0.25">
      <c r="A17" s="28" t="s">
        <v>21</v>
      </c>
      <c r="B17" s="28"/>
      <c r="C17" s="28">
        <v>2</v>
      </c>
      <c r="D17" s="28" t="s">
        <v>62</v>
      </c>
      <c r="E17" s="28" t="s">
        <v>14</v>
      </c>
      <c r="F17" s="28">
        <v>0.25</v>
      </c>
      <c r="G17" s="28">
        <v>0.33</v>
      </c>
      <c r="H17" s="28">
        <v>0.15</v>
      </c>
      <c r="I17" s="28">
        <v>0.3</v>
      </c>
      <c r="J17" s="28">
        <v>0.1</v>
      </c>
      <c r="K17" s="7"/>
    </row>
    <row r="18" spans="1:13" x14ac:dyDescent="0.25">
      <c r="A18" s="28" t="s">
        <v>21</v>
      </c>
      <c r="B18" s="28" t="s">
        <v>1</v>
      </c>
      <c r="C18" s="28">
        <v>2</v>
      </c>
      <c r="D18" s="28" t="s">
        <v>161</v>
      </c>
      <c r="E18" s="28" t="s">
        <v>11</v>
      </c>
      <c r="F18" s="28">
        <v>0.25</v>
      </c>
      <c r="G18" s="28">
        <v>0.33</v>
      </c>
      <c r="H18" s="28">
        <v>0.15</v>
      </c>
      <c r="I18" s="28">
        <v>0.3</v>
      </c>
      <c r="J18" s="28">
        <v>0.1</v>
      </c>
      <c r="K18" s="7"/>
    </row>
    <row r="19" spans="1:13" x14ac:dyDescent="0.25">
      <c r="A19" s="28" t="s">
        <v>21</v>
      </c>
      <c r="B19" s="28"/>
      <c r="C19" s="28">
        <v>2</v>
      </c>
      <c r="D19" s="28" t="s">
        <v>65</v>
      </c>
      <c r="E19" s="28" t="s">
        <v>17</v>
      </c>
      <c r="F19" s="28">
        <v>0.25</v>
      </c>
      <c r="G19" s="28">
        <v>0.33</v>
      </c>
      <c r="H19" s="28">
        <v>0.15</v>
      </c>
      <c r="I19" s="28">
        <v>0.3</v>
      </c>
      <c r="J19" s="28">
        <v>0.1</v>
      </c>
      <c r="K19" s="7"/>
    </row>
    <row r="20" spans="1:13" x14ac:dyDescent="0.25">
      <c r="A20" s="28" t="s">
        <v>21</v>
      </c>
      <c r="B20" s="28"/>
      <c r="C20" s="28">
        <v>2</v>
      </c>
      <c r="D20" s="28" t="s">
        <v>66</v>
      </c>
      <c r="E20" s="28" t="s">
        <v>18</v>
      </c>
      <c r="F20" s="28">
        <v>0.25</v>
      </c>
      <c r="G20" s="28">
        <v>0.33</v>
      </c>
      <c r="H20" s="28">
        <v>0.15</v>
      </c>
      <c r="I20" s="28">
        <v>0.3</v>
      </c>
      <c r="J20" s="28">
        <v>0.1</v>
      </c>
      <c r="K20" s="7"/>
    </row>
    <row r="21" spans="1:13" x14ac:dyDescent="0.25">
      <c r="A21" s="43" t="s">
        <v>164</v>
      </c>
      <c r="B21" s="43"/>
      <c r="C21" s="43">
        <f>SUBTOTAL(101,obchodnici2[Territory nr.])</f>
        <v>1.4210526315789473</v>
      </c>
      <c r="D21" s="43"/>
      <c r="E21" s="43"/>
      <c r="F21" s="43"/>
      <c r="G21" s="43"/>
      <c r="H21" s="43"/>
      <c r="I21" s="43"/>
      <c r="J21" s="43">
        <f>SUBTOTAL(109,obchodnici2[LD tabák])</f>
        <v>1.9000000000000006</v>
      </c>
      <c r="K21" s="7"/>
    </row>
    <row r="22" spans="1:1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3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M23" t="s">
        <v>169</v>
      </c>
    </row>
    <row r="24" spans="1:13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3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3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3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3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3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</sheetData>
  <conditionalFormatting sqref="E1:E1048576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5DAA-F48A-4F4C-9C09-25C73A0E2D3E}">
  <dimension ref="A3:I9"/>
  <sheetViews>
    <sheetView zoomScaleNormal="100" workbookViewId="0">
      <selection activeCell="A6" sqref="A6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9.42578125" bestFit="1" customWidth="1"/>
    <col min="4" max="4" width="16.140625" bestFit="1" customWidth="1"/>
    <col min="5" max="5" width="19.42578125" bestFit="1" customWidth="1"/>
    <col min="6" max="6" width="16.140625" bestFit="1" customWidth="1"/>
    <col min="7" max="7" width="19.42578125" bestFit="1" customWidth="1"/>
    <col min="8" max="8" width="21.140625" bestFit="1" customWidth="1"/>
    <col min="9" max="9" width="24.42578125" bestFit="1" customWidth="1"/>
  </cols>
  <sheetData>
    <row r="3" spans="1:9" x14ac:dyDescent="0.25">
      <c r="B3" s="45" t="s">
        <v>181</v>
      </c>
    </row>
    <row r="4" spans="1:9" x14ac:dyDescent="0.25">
      <c r="B4" t="s">
        <v>178</v>
      </c>
      <c r="D4" t="s">
        <v>179</v>
      </c>
      <c r="F4" t="s">
        <v>180</v>
      </c>
      <c r="H4" t="s">
        <v>182</v>
      </c>
      <c r="I4" t="s">
        <v>183</v>
      </c>
    </row>
    <row r="5" spans="1:9" x14ac:dyDescent="0.25">
      <c r="A5" s="45" t="s">
        <v>174</v>
      </c>
      <c r="B5" t="s">
        <v>177</v>
      </c>
      <c r="C5" t="s">
        <v>176</v>
      </c>
      <c r="D5" t="s">
        <v>177</v>
      </c>
      <c r="E5" t="s">
        <v>176</v>
      </c>
      <c r="F5" t="s">
        <v>177</v>
      </c>
      <c r="G5" t="s">
        <v>176</v>
      </c>
    </row>
    <row r="6" spans="1:9" x14ac:dyDescent="0.25">
      <c r="A6" s="46">
        <v>0</v>
      </c>
      <c r="B6" s="47">
        <v>1031</v>
      </c>
      <c r="C6" s="47">
        <v>786</v>
      </c>
      <c r="D6" s="47">
        <v>973</v>
      </c>
      <c r="E6" s="47">
        <v>783</v>
      </c>
      <c r="F6" s="47">
        <v>1013</v>
      </c>
      <c r="G6" s="47">
        <v>799</v>
      </c>
      <c r="H6" s="47">
        <v>3017</v>
      </c>
      <c r="I6" s="47">
        <v>2368</v>
      </c>
    </row>
    <row r="7" spans="1:9" x14ac:dyDescent="0.25">
      <c r="A7" s="46">
        <v>1</v>
      </c>
      <c r="B7" s="47">
        <v>8749</v>
      </c>
      <c r="C7" s="47">
        <v>7164</v>
      </c>
      <c r="D7" s="47">
        <v>8672</v>
      </c>
      <c r="E7" s="47">
        <v>7138</v>
      </c>
      <c r="F7" s="47">
        <v>8778</v>
      </c>
      <c r="G7" s="47">
        <v>7137</v>
      </c>
      <c r="H7" s="47">
        <v>26199</v>
      </c>
      <c r="I7" s="47">
        <v>21439</v>
      </c>
    </row>
    <row r="8" spans="1:9" x14ac:dyDescent="0.25">
      <c r="A8" s="46">
        <v>2</v>
      </c>
      <c r="B8" s="47">
        <v>8832</v>
      </c>
      <c r="C8" s="47">
        <v>7133</v>
      </c>
      <c r="D8" s="47">
        <v>8624</v>
      </c>
      <c r="E8" s="47">
        <v>7162</v>
      </c>
      <c r="F8" s="47">
        <v>8802</v>
      </c>
      <c r="G8" s="47">
        <v>7123</v>
      </c>
      <c r="H8" s="47">
        <v>26258</v>
      </c>
      <c r="I8" s="47">
        <v>21418</v>
      </c>
    </row>
    <row r="9" spans="1:9" x14ac:dyDescent="0.25">
      <c r="A9" s="46" t="s">
        <v>175</v>
      </c>
      <c r="B9" s="47">
        <v>18612</v>
      </c>
      <c r="C9" s="47">
        <v>15083</v>
      </c>
      <c r="D9" s="47">
        <v>18269</v>
      </c>
      <c r="E9" s="47">
        <v>15083</v>
      </c>
      <c r="F9" s="47">
        <v>18593</v>
      </c>
      <c r="G9" s="47">
        <v>15059</v>
      </c>
      <c r="H9" s="47">
        <v>55474</v>
      </c>
      <c r="I9" s="47">
        <v>45225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A7F4-5FCD-46D0-96FD-4D17D2016FF7}">
  <sheetPr>
    <tabColor rgb="FFFFFF00"/>
  </sheetPr>
  <dimension ref="A1:Q77"/>
  <sheetViews>
    <sheetView zoomScale="85" zoomScaleNormal="85" workbookViewId="0">
      <selection activeCell="J19" sqref="J19"/>
    </sheetView>
  </sheetViews>
  <sheetFormatPr defaultRowHeight="15" x14ac:dyDescent="0.25"/>
  <cols>
    <col min="1" max="1" width="12.85546875" style="56" bestFit="1" customWidth="1"/>
    <col min="2" max="2" width="13.7109375" style="55" customWidth="1"/>
    <col min="3" max="3" width="16.28515625" style="55" customWidth="1"/>
    <col min="4" max="4" width="21.5703125" style="55" bestFit="1" customWidth="1"/>
    <col min="5" max="5" width="11.5703125" style="48" customWidth="1"/>
    <col min="6" max="6" width="14.7109375" style="48" customWidth="1"/>
    <col min="7" max="7" width="11.28515625" style="48" customWidth="1"/>
    <col min="8" max="8" width="16.7109375" style="48" customWidth="1"/>
    <col min="9" max="9" width="10.5703125" style="48" customWidth="1"/>
    <col min="10" max="10" width="17.5703125" style="57" bestFit="1" customWidth="1"/>
    <col min="11" max="11" width="17.5703125" style="50" bestFit="1" customWidth="1"/>
    <col min="12" max="12" width="20.85546875" style="50" bestFit="1" customWidth="1"/>
    <col min="13" max="13" width="17.28515625" style="50" bestFit="1" customWidth="1"/>
    <col min="14" max="14" width="22.7109375" style="50" bestFit="1" customWidth="1"/>
    <col min="15" max="15" width="16.5703125" style="50" bestFit="1" customWidth="1"/>
    <col min="16" max="16" width="14" style="50" bestFit="1" customWidth="1"/>
    <col min="17" max="17" width="16.42578125" style="18" bestFit="1" customWidth="1"/>
  </cols>
  <sheetData>
    <row r="1" spans="1:17" x14ac:dyDescent="0.25">
      <c r="A1" s="56" t="s">
        <v>170</v>
      </c>
      <c r="B1" s="55" t="s">
        <v>67</v>
      </c>
      <c r="C1" s="55" t="s">
        <v>68</v>
      </c>
      <c r="D1" s="55" t="s">
        <v>20</v>
      </c>
      <c r="E1" s="51" t="s">
        <v>42</v>
      </c>
      <c r="F1" s="51" t="s">
        <v>43</v>
      </c>
      <c r="G1" s="51" t="s">
        <v>44</v>
      </c>
      <c r="H1" s="51" t="s">
        <v>45</v>
      </c>
      <c r="I1" s="51" t="s">
        <v>46</v>
      </c>
      <c r="J1" s="57" t="s">
        <v>184</v>
      </c>
      <c r="K1" s="49" t="s">
        <v>186</v>
      </c>
      <c r="L1" s="49" t="s">
        <v>187</v>
      </c>
      <c r="M1" s="49" t="s">
        <v>188</v>
      </c>
      <c r="N1" s="49" t="s">
        <v>189</v>
      </c>
      <c r="O1" s="49" t="s">
        <v>190</v>
      </c>
      <c r="P1" s="50" t="s">
        <v>185</v>
      </c>
      <c r="Q1" s="52" t="s">
        <v>191</v>
      </c>
    </row>
    <row r="2" spans="1:17" x14ac:dyDescent="0.25">
      <c r="A2" s="56">
        <v>44041</v>
      </c>
      <c r="B2" s="55">
        <v>1</v>
      </c>
      <c r="C2" s="55" t="s">
        <v>157</v>
      </c>
      <c r="D2" s="55" t="s">
        <v>2</v>
      </c>
      <c r="E2" s="51">
        <v>994</v>
      </c>
      <c r="F2" s="51">
        <v>797</v>
      </c>
      <c r="G2" s="51">
        <v>499</v>
      </c>
      <c r="H2" s="51">
        <v>692</v>
      </c>
      <c r="I2" s="51">
        <v>700</v>
      </c>
      <c r="J2" s="57">
        <f>SUM(prodeje[[#This Row],[BH family]:[LD tabák]])</f>
        <v>3682</v>
      </c>
      <c r="K2" s="54">
        <f>SUMIF('sales plans'!$A:$A,$D2,'sales plans'!B:B)</f>
        <v>1000</v>
      </c>
      <c r="L2" s="54">
        <f>SUMIF('sales plans'!$A:$A,$D2,'sales plans'!C:C)</f>
        <v>800</v>
      </c>
      <c r="M2" s="54">
        <f>SUMIF('sales plans'!$A:$A,$D2,'sales plans'!D:D)</f>
        <v>500</v>
      </c>
      <c r="N2" s="54">
        <f>SUMIF('sales plans'!$A:$A,$D2,'sales plans'!E:E)</f>
        <v>700</v>
      </c>
      <c r="O2" s="54">
        <f>SUMIF('sales plans'!$A:$A,$D2,'sales plans'!F:F)</f>
        <v>700</v>
      </c>
      <c r="P2" s="54">
        <f>SUM(prodeje[[#This Row],[BH family plán]:[LD tabák plán]])</f>
        <v>3700</v>
      </c>
      <c r="Q2" s="53">
        <f>prodeje[[#This Row],[Prodej celkem]]-prodeje[[#This Row],[Plán celkem]]</f>
        <v>-18</v>
      </c>
    </row>
    <row r="3" spans="1:17" x14ac:dyDescent="0.25">
      <c r="A3" s="56">
        <v>44042</v>
      </c>
      <c r="B3" s="55">
        <v>1</v>
      </c>
      <c r="C3" s="55" t="s">
        <v>159</v>
      </c>
      <c r="D3" s="55" t="s">
        <v>7</v>
      </c>
      <c r="E3" s="51">
        <v>1029</v>
      </c>
      <c r="F3" s="51">
        <v>794</v>
      </c>
      <c r="G3" s="51">
        <v>499</v>
      </c>
      <c r="H3" s="51">
        <v>693</v>
      </c>
      <c r="I3" s="51">
        <v>702</v>
      </c>
      <c r="J3" s="57">
        <f>SUM(prodeje[[#This Row],[BH family]:[LD tabák]])</f>
        <v>3717</v>
      </c>
      <c r="K3" s="54">
        <f>SUMIF('sales plans'!$A:$A,$D3,'sales plans'!B:B)</f>
        <v>1000</v>
      </c>
      <c r="L3" s="54">
        <f>SUMIF('sales plans'!$A:$A,$D3,'sales plans'!C:C)</f>
        <v>800</v>
      </c>
      <c r="M3" s="54">
        <f>SUMIF('sales plans'!$A:$A,$D3,'sales plans'!D:D)</f>
        <v>500</v>
      </c>
      <c r="N3" s="54">
        <f>SUMIF('sales plans'!$A:$A,$D3,'sales plans'!E:E)</f>
        <v>700</v>
      </c>
      <c r="O3" s="54">
        <f>SUMIF('sales plans'!$A:$A,$D3,'sales plans'!F:F)</f>
        <v>700</v>
      </c>
      <c r="P3" s="54">
        <f>SUM(prodeje[[#This Row],[BH family plán]:[LD tabák plán]])</f>
        <v>3700</v>
      </c>
      <c r="Q3" s="53">
        <f>prodeje[[#This Row],[Prodej celkem]]-prodeje[[#This Row],[Plán celkem]]</f>
        <v>17</v>
      </c>
    </row>
    <row r="4" spans="1:17" x14ac:dyDescent="0.25">
      <c r="A4" s="56">
        <v>44043</v>
      </c>
      <c r="B4" s="55">
        <v>1</v>
      </c>
      <c r="C4" s="55" t="s">
        <v>56</v>
      </c>
      <c r="D4" s="55" t="s">
        <v>6</v>
      </c>
      <c r="E4" s="51">
        <v>1045</v>
      </c>
      <c r="F4" s="51">
        <v>802</v>
      </c>
      <c r="G4" s="51">
        <v>501</v>
      </c>
      <c r="H4" s="51">
        <v>696</v>
      </c>
      <c r="I4" s="51">
        <v>701</v>
      </c>
      <c r="J4" s="57">
        <f>SUM(prodeje[[#This Row],[BH family]:[LD tabák]])</f>
        <v>3745</v>
      </c>
      <c r="K4" s="54">
        <f>SUMIF('sales plans'!$A:$A,$D4,'sales plans'!B:B)</f>
        <v>1000</v>
      </c>
      <c r="L4" s="54">
        <f>SUMIF('sales plans'!$A:$A,$D4,'sales plans'!C:C)</f>
        <v>800</v>
      </c>
      <c r="M4" s="54">
        <f>SUMIF('sales plans'!$A:$A,$D4,'sales plans'!D:D)</f>
        <v>500</v>
      </c>
      <c r="N4" s="54">
        <f>SUMIF('sales plans'!$A:$A,$D4,'sales plans'!E:E)</f>
        <v>700</v>
      </c>
      <c r="O4" s="54">
        <f>SUMIF('sales plans'!$A:$A,$D4,'sales plans'!F:F)</f>
        <v>700</v>
      </c>
      <c r="P4" s="54">
        <f>SUM(prodeje[[#This Row],[BH family plán]:[LD tabák plán]])</f>
        <v>3700</v>
      </c>
      <c r="Q4" s="53">
        <f>prodeje[[#This Row],[Prodej celkem]]-prodeje[[#This Row],[Plán celkem]]</f>
        <v>45</v>
      </c>
    </row>
    <row r="5" spans="1:17" x14ac:dyDescent="0.25">
      <c r="A5" s="56">
        <v>44043</v>
      </c>
      <c r="B5" s="55">
        <v>2</v>
      </c>
      <c r="C5" s="55" t="s">
        <v>1</v>
      </c>
      <c r="D5" s="55" t="s">
        <v>19</v>
      </c>
      <c r="E5" s="51">
        <v>931</v>
      </c>
      <c r="F5" s="51">
        <v>790</v>
      </c>
      <c r="G5" s="51">
        <v>501</v>
      </c>
      <c r="H5" s="51">
        <v>699</v>
      </c>
      <c r="I5" s="51">
        <v>702</v>
      </c>
      <c r="J5" s="57">
        <f>SUM(prodeje[[#This Row],[BH family]:[LD tabák]])</f>
        <v>3623</v>
      </c>
      <c r="K5" s="54">
        <f>SUMIF('sales plans'!$A:$A,$D5,'sales plans'!B:B)</f>
        <v>1000</v>
      </c>
      <c r="L5" s="54">
        <f>SUMIF('sales plans'!$A:$A,$D5,'sales plans'!C:C)</f>
        <v>800</v>
      </c>
      <c r="M5" s="54">
        <f>SUMIF('sales plans'!$A:$A,$D5,'sales plans'!D:D)</f>
        <v>500</v>
      </c>
      <c r="N5" s="54">
        <f>SUMIF('sales plans'!$A:$A,$D5,'sales plans'!E:E)</f>
        <v>700</v>
      </c>
      <c r="O5" s="54">
        <f>SUMIF('sales plans'!$A:$A,$D5,'sales plans'!F:F)</f>
        <v>700</v>
      </c>
      <c r="P5" s="54">
        <f>SUM(prodeje[[#This Row],[BH family plán]:[LD tabák plán]])</f>
        <v>3700</v>
      </c>
      <c r="Q5" s="53">
        <f>prodeje[[#This Row],[Prodej celkem]]-prodeje[[#This Row],[Plán celkem]]</f>
        <v>-77</v>
      </c>
    </row>
    <row r="6" spans="1:17" x14ac:dyDescent="0.25">
      <c r="A6" s="56">
        <v>44043</v>
      </c>
      <c r="B6" s="55">
        <v>1</v>
      </c>
      <c r="C6" s="55" t="s">
        <v>0</v>
      </c>
      <c r="D6" s="55" t="s">
        <v>10</v>
      </c>
      <c r="E6" s="51">
        <v>960</v>
      </c>
      <c r="F6" s="51">
        <v>801</v>
      </c>
      <c r="G6" s="51">
        <v>501</v>
      </c>
      <c r="H6" s="51">
        <v>700</v>
      </c>
      <c r="I6" s="51">
        <v>702</v>
      </c>
      <c r="J6" s="57">
        <f>SUM(prodeje[[#This Row],[BH family]:[LD tabák]])</f>
        <v>3664</v>
      </c>
      <c r="K6" s="54">
        <f>SUMIF('sales plans'!$A:$A,$D6,'sales plans'!B:B)</f>
        <v>1000</v>
      </c>
      <c r="L6" s="54">
        <f>SUMIF('sales plans'!$A:$A,$D6,'sales plans'!C:C)</f>
        <v>800</v>
      </c>
      <c r="M6" s="54">
        <f>SUMIF('sales plans'!$A:$A,$D6,'sales plans'!D:D)</f>
        <v>500</v>
      </c>
      <c r="N6" s="54">
        <f>SUMIF('sales plans'!$A:$A,$D6,'sales plans'!E:E)</f>
        <v>700</v>
      </c>
      <c r="O6" s="54">
        <f>SUMIF('sales plans'!$A:$A,$D6,'sales plans'!F:F)</f>
        <v>700</v>
      </c>
      <c r="P6" s="54">
        <f>SUM(prodeje[[#This Row],[BH family plán]:[LD tabák plán]])</f>
        <v>3700</v>
      </c>
      <c r="Q6" s="53">
        <f>prodeje[[#This Row],[Prodej celkem]]-prodeje[[#This Row],[Plán celkem]]</f>
        <v>-36</v>
      </c>
    </row>
    <row r="7" spans="1:17" x14ac:dyDescent="0.25">
      <c r="A7" s="56">
        <v>44043</v>
      </c>
      <c r="B7" s="55">
        <v>1</v>
      </c>
      <c r="C7" s="55" t="s">
        <v>158</v>
      </c>
      <c r="D7" s="55" t="s">
        <v>3</v>
      </c>
      <c r="E7" s="51">
        <v>911</v>
      </c>
      <c r="F7" s="51">
        <v>786</v>
      </c>
      <c r="G7" s="51">
        <v>501</v>
      </c>
      <c r="H7" s="51">
        <v>702</v>
      </c>
      <c r="I7" s="51">
        <v>702</v>
      </c>
      <c r="J7" s="57">
        <f>SUM(prodeje[[#This Row],[BH family]:[LD tabák]])</f>
        <v>3602</v>
      </c>
      <c r="K7" s="54">
        <f>SUMIF('sales plans'!$A:$A,$D7,'sales plans'!B:B)</f>
        <v>1000</v>
      </c>
      <c r="L7" s="54">
        <f>SUMIF('sales plans'!$A:$A,$D7,'sales plans'!C:C)</f>
        <v>800</v>
      </c>
      <c r="M7" s="54">
        <f>SUMIF('sales plans'!$A:$A,$D7,'sales plans'!D:D)</f>
        <v>500</v>
      </c>
      <c r="N7" s="54">
        <f>SUMIF('sales plans'!$A:$A,$D7,'sales plans'!E:E)</f>
        <v>700</v>
      </c>
      <c r="O7" s="54">
        <f>SUMIF('sales plans'!$A:$A,$D7,'sales plans'!F:F)</f>
        <v>700</v>
      </c>
      <c r="P7" s="54">
        <f>SUM(prodeje[[#This Row],[BH family plán]:[LD tabák plán]])</f>
        <v>3700</v>
      </c>
      <c r="Q7" s="53">
        <f>prodeje[[#This Row],[Prodej celkem]]-prodeje[[#This Row],[Plán celkem]]</f>
        <v>-98</v>
      </c>
    </row>
    <row r="8" spans="1:17" x14ac:dyDescent="0.25">
      <c r="A8" s="56">
        <v>44043</v>
      </c>
      <c r="B8" s="55">
        <v>1</v>
      </c>
      <c r="C8" s="55" t="s">
        <v>55</v>
      </c>
      <c r="D8" s="55" t="s">
        <v>5</v>
      </c>
      <c r="E8" s="51">
        <v>901</v>
      </c>
      <c r="F8" s="51">
        <v>784</v>
      </c>
      <c r="G8" s="51">
        <v>500</v>
      </c>
      <c r="H8" s="51">
        <v>691</v>
      </c>
      <c r="I8" s="51">
        <v>700</v>
      </c>
      <c r="J8" s="57">
        <f>SUM(prodeje[[#This Row],[BH family]:[LD tabák]])</f>
        <v>3576</v>
      </c>
      <c r="K8" s="54">
        <f>SUMIF('sales plans'!$A:$A,$D8,'sales plans'!B:B)</f>
        <v>1000</v>
      </c>
      <c r="L8" s="54">
        <f>SUMIF('sales plans'!$A:$A,$D8,'sales plans'!C:C)</f>
        <v>800</v>
      </c>
      <c r="M8" s="54">
        <f>SUMIF('sales plans'!$A:$A,$D8,'sales plans'!D:D)</f>
        <v>500</v>
      </c>
      <c r="N8" s="54">
        <f>SUMIF('sales plans'!$A:$A,$D8,'sales plans'!E:E)</f>
        <v>700</v>
      </c>
      <c r="O8" s="54">
        <f>SUMIF('sales plans'!$A:$A,$D8,'sales plans'!F:F)</f>
        <v>700</v>
      </c>
      <c r="P8" s="54">
        <f>SUM(prodeje[[#This Row],[BH family plán]:[LD tabák plán]])</f>
        <v>3700</v>
      </c>
      <c r="Q8" s="53">
        <f>prodeje[[#This Row],[Prodej celkem]]-prodeje[[#This Row],[Plán celkem]]</f>
        <v>-124</v>
      </c>
    </row>
    <row r="9" spans="1:17" x14ac:dyDescent="0.25">
      <c r="A9" s="56">
        <v>44043</v>
      </c>
      <c r="B9" s="55">
        <v>2</v>
      </c>
      <c r="C9" s="55" t="s">
        <v>63</v>
      </c>
      <c r="D9" s="55" t="s">
        <v>15</v>
      </c>
      <c r="E9" s="51">
        <v>932</v>
      </c>
      <c r="F9" s="51">
        <v>790</v>
      </c>
      <c r="G9" s="51">
        <v>499</v>
      </c>
      <c r="H9" s="51">
        <v>699</v>
      </c>
      <c r="I9" s="51">
        <v>700</v>
      </c>
      <c r="J9" s="57">
        <f>SUM(prodeje[[#This Row],[BH family]:[LD tabák]])</f>
        <v>3620</v>
      </c>
      <c r="K9" s="54">
        <f>SUMIF('sales plans'!$A:$A,$D9,'sales plans'!B:B)</f>
        <v>1000</v>
      </c>
      <c r="L9" s="54">
        <f>SUMIF('sales plans'!$A:$A,$D9,'sales plans'!C:C)</f>
        <v>800</v>
      </c>
      <c r="M9" s="54">
        <f>SUMIF('sales plans'!$A:$A,$D9,'sales plans'!D:D)</f>
        <v>500</v>
      </c>
      <c r="N9" s="54">
        <f>SUMIF('sales plans'!$A:$A,$D9,'sales plans'!E:E)</f>
        <v>700</v>
      </c>
      <c r="O9" s="54">
        <f>SUMIF('sales plans'!$A:$A,$D9,'sales plans'!F:F)</f>
        <v>700</v>
      </c>
      <c r="P9" s="54">
        <f>SUM(prodeje[[#This Row],[BH family plán]:[LD tabák plán]])</f>
        <v>3700</v>
      </c>
      <c r="Q9" s="53">
        <f>prodeje[[#This Row],[Prodej celkem]]-prodeje[[#This Row],[Plán celkem]]</f>
        <v>-80</v>
      </c>
    </row>
    <row r="10" spans="1:17" x14ac:dyDescent="0.25">
      <c r="A10" s="56">
        <v>44043</v>
      </c>
      <c r="B10" s="55">
        <v>1</v>
      </c>
      <c r="C10" s="55" t="s">
        <v>160</v>
      </c>
      <c r="D10" s="55" t="s">
        <v>9</v>
      </c>
      <c r="E10" s="51">
        <v>989</v>
      </c>
      <c r="F10" s="51">
        <v>794</v>
      </c>
      <c r="G10" s="51">
        <v>500</v>
      </c>
      <c r="H10" s="51">
        <v>698</v>
      </c>
      <c r="I10" s="51">
        <v>699</v>
      </c>
      <c r="J10" s="57">
        <f>SUM(prodeje[[#This Row],[BH family]:[LD tabák]])</f>
        <v>3680</v>
      </c>
      <c r="K10" s="54">
        <f>SUMIF('sales plans'!$A:$A,$D10,'sales plans'!B:B)</f>
        <v>1000</v>
      </c>
      <c r="L10" s="54">
        <f>SUMIF('sales plans'!$A:$A,$D10,'sales plans'!C:C)</f>
        <v>800</v>
      </c>
      <c r="M10" s="54">
        <f>SUMIF('sales plans'!$A:$A,$D10,'sales plans'!D:D)</f>
        <v>500</v>
      </c>
      <c r="N10" s="54">
        <f>SUMIF('sales plans'!$A:$A,$D10,'sales plans'!E:E)</f>
        <v>700</v>
      </c>
      <c r="O10" s="54">
        <f>SUMIF('sales plans'!$A:$A,$D10,'sales plans'!F:F)</f>
        <v>700</v>
      </c>
      <c r="P10" s="54">
        <f>SUM(prodeje[[#This Row],[BH family plán]:[LD tabák plán]])</f>
        <v>3700</v>
      </c>
      <c r="Q10" s="53">
        <f>prodeje[[#This Row],[Prodej celkem]]-prodeje[[#This Row],[Plán celkem]]</f>
        <v>-20</v>
      </c>
    </row>
    <row r="11" spans="1:17" x14ac:dyDescent="0.25">
      <c r="A11" s="56">
        <v>44043</v>
      </c>
      <c r="B11" s="55">
        <v>2</v>
      </c>
      <c r="C11" s="55" t="s">
        <v>64</v>
      </c>
      <c r="D11" s="55" t="s">
        <v>16</v>
      </c>
      <c r="E11" s="51">
        <v>979</v>
      </c>
      <c r="F11" s="51">
        <v>788</v>
      </c>
      <c r="G11" s="51">
        <v>499</v>
      </c>
      <c r="H11" s="51">
        <v>700</v>
      </c>
      <c r="I11" s="51">
        <v>700</v>
      </c>
      <c r="J11" s="57">
        <f>SUM(prodeje[[#This Row],[BH family]:[LD tabák]])</f>
        <v>3666</v>
      </c>
      <c r="K11" s="54">
        <f>SUMIF('sales plans'!$A:$A,$D11,'sales plans'!B:B)</f>
        <v>1000</v>
      </c>
      <c r="L11" s="54">
        <f>SUMIF('sales plans'!$A:$A,$D11,'sales plans'!C:C)</f>
        <v>800</v>
      </c>
      <c r="M11" s="54">
        <f>SUMIF('sales plans'!$A:$A,$D11,'sales plans'!D:D)</f>
        <v>500</v>
      </c>
      <c r="N11" s="54">
        <f>SUMIF('sales plans'!$A:$A,$D11,'sales plans'!E:E)</f>
        <v>700</v>
      </c>
      <c r="O11" s="54">
        <f>SUMIF('sales plans'!$A:$A,$D11,'sales plans'!F:F)</f>
        <v>700</v>
      </c>
      <c r="P11" s="54">
        <f>SUM(prodeje[[#This Row],[BH family plán]:[LD tabák plán]])</f>
        <v>3700</v>
      </c>
      <c r="Q11" s="53">
        <f>prodeje[[#This Row],[Prodej celkem]]-prodeje[[#This Row],[Plán celkem]]</f>
        <v>-34</v>
      </c>
    </row>
    <row r="12" spans="1:17" x14ac:dyDescent="0.25">
      <c r="A12" s="56">
        <v>44043</v>
      </c>
      <c r="B12" s="55">
        <v>1</v>
      </c>
      <c r="C12" s="55" t="s">
        <v>58</v>
      </c>
      <c r="D12" s="55" t="s">
        <v>8</v>
      </c>
      <c r="E12" s="51">
        <v>910</v>
      </c>
      <c r="F12" s="51">
        <v>802</v>
      </c>
      <c r="G12" s="51">
        <v>499</v>
      </c>
      <c r="H12" s="51">
        <v>699</v>
      </c>
      <c r="I12" s="51">
        <v>701</v>
      </c>
      <c r="K12" s="54">
        <f>SUMIF('sales plans'!$A:$A,$D12,'sales plans'!B:B)</f>
        <v>1000</v>
      </c>
      <c r="L12" s="54">
        <f>SUMIF('sales plans'!$A:$A,$D12,'sales plans'!C:C)</f>
        <v>800</v>
      </c>
      <c r="M12" s="54">
        <f>SUMIF('sales plans'!$A:$A,$D12,'sales plans'!D:D)</f>
        <v>500</v>
      </c>
      <c r="N12" s="54">
        <f>SUMIF('sales plans'!$A:$A,$D12,'sales plans'!E:E)</f>
        <v>700</v>
      </c>
      <c r="O12" s="54">
        <f>SUMIF('sales plans'!$A:$A,$D12,'sales plans'!F:F)</f>
        <v>700</v>
      </c>
      <c r="P12" s="54">
        <f>SUM(prodeje[[#This Row],[BH family plán]:[LD tabák plán]])</f>
        <v>3700</v>
      </c>
      <c r="Q12" s="53">
        <f>prodeje[[#This Row],[Prodej celkem]]-prodeje[[#This Row],[Plán celkem]]</f>
        <v>-3700</v>
      </c>
    </row>
    <row r="13" spans="1:17" x14ac:dyDescent="0.25">
      <c r="A13" s="56">
        <v>44043</v>
      </c>
      <c r="B13" s="55">
        <v>2</v>
      </c>
      <c r="C13" s="55" t="s">
        <v>61</v>
      </c>
      <c r="D13" s="55" t="s">
        <v>13</v>
      </c>
      <c r="E13" s="51">
        <v>986</v>
      </c>
      <c r="F13" s="51">
        <v>801</v>
      </c>
      <c r="G13" s="51">
        <v>500</v>
      </c>
      <c r="H13" s="51">
        <v>693</v>
      </c>
      <c r="I13" s="51">
        <v>699</v>
      </c>
      <c r="J13" s="57">
        <f>SUM(prodeje[[#This Row],[BH family]:[LD tabák]])</f>
        <v>3679</v>
      </c>
      <c r="K13" s="54">
        <f>SUMIF('sales plans'!$A:$A,$D13,'sales plans'!B:B)</f>
        <v>1000</v>
      </c>
      <c r="L13" s="54">
        <f>SUMIF('sales plans'!$A:$A,$D13,'sales plans'!C:C)</f>
        <v>800</v>
      </c>
      <c r="M13" s="54">
        <f>SUMIF('sales plans'!$A:$A,$D13,'sales plans'!D:D)</f>
        <v>500</v>
      </c>
      <c r="N13" s="54">
        <f>SUMIF('sales plans'!$A:$A,$D13,'sales plans'!E:E)</f>
        <v>700</v>
      </c>
      <c r="O13" s="54">
        <f>SUMIF('sales plans'!$A:$A,$D13,'sales plans'!F:F)</f>
        <v>700</v>
      </c>
      <c r="P13" s="54">
        <f>SUM(prodeje[[#This Row],[BH family plán]:[LD tabák plán]])</f>
        <v>3700</v>
      </c>
      <c r="Q13" s="53">
        <f>prodeje[[#This Row],[Prodej celkem]]-prodeje[[#This Row],[Plán celkem]]</f>
        <v>-21</v>
      </c>
    </row>
    <row r="14" spans="1:17" x14ac:dyDescent="0.25">
      <c r="A14" s="56">
        <v>44043</v>
      </c>
      <c r="B14" s="55">
        <v>1</v>
      </c>
      <c r="C14" s="55" t="s">
        <v>54</v>
      </c>
      <c r="D14" s="55" t="s">
        <v>4</v>
      </c>
      <c r="E14" s="51">
        <v>1010</v>
      </c>
      <c r="F14" s="51">
        <v>804</v>
      </c>
      <c r="G14" s="51">
        <v>499</v>
      </c>
      <c r="H14" s="51">
        <v>699</v>
      </c>
      <c r="I14" s="51">
        <v>701</v>
      </c>
      <c r="J14" s="57">
        <f>SUM(prodeje[[#This Row],[BH family]:[LD tabák]])</f>
        <v>3713</v>
      </c>
      <c r="K14" s="54">
        <f>SUMIF('sales plans'!$A:$A,$D14,'sales plans'!B:B)</f>
        <v>1000</v>
      </c>
      <c r="L14" s="54">
        <f>SUMIF('sales plans'!$A:$A,$D14,'sales plans'!C:C)</f>
        <v>800</v>
      </c>
      <c r="M14" s="54">
        <f>SUMIF('sales plans'!$A:$A,$D14,'sales plans'!D:D)</f>
        <v>500</v>
      </c>
      <c r="N14" s="54">
        <f>SUMIF('sales plans'!$A:$A,$D14,'sales plans'!E:E)</f>
        <v>700</v>
      </c>
      <c r="O14" s="54">
        <f>SUMIF('sales plans'!$A:$A,$D14,'sales plans'!F:F)</f>
        <v>700</v>
      </c>
      <c r="P14" s="54">
        <f>SUM(prodeje[[#This Row],[BH family plán]:[LD tabák plán]])</f>
        <v>3700</v>
      </c>
      <c r="Q14" s="53">
        <f>prodeje[[#This Row],[Prodej celkem]]-prodeje[[#This Row],[Plán celkem]]</f>
        <v>13</v>
      </c>
    </row>
    <row r="15" spans="1:17" x14ac:dyDescent="0.25">
      <c r="A15" s="56">
        <v>44043</v>
      </c>
      <c r="B15" s="55">
        <v>2</v>
      </c>
      <c r="C15" s="55" t="s">
        <v>60</v>
      </c>
      <c r="D15" s="55" t="s">
        <v>12</v>
      </c>
      <c r="E15" s="51">
        <v>1037</v>
      </c>
      <c r="F15" s="51">
        <v>782</v>
      </c>
      <c r="G15" s="51">
        <v>500</v>
      </c>
      <c r="H15" s="51">
        <v>693</v>
      </c>
      <c r="I15" s="51">
        <v>700</v>
      </c>
      <c r="J15" s="57">
        <f>SUM(prodeje[[#This Row],[BH family]:[LD tabák]])</f>
        <v>3712</v>
      </c>
      <c r="K15" s="54">
        <f>SUMIF('sales plans'!$A:$A,$D15,'sales plans'!B:B)</f>
        <v>1000</v>
      </c>
      <c r="L15" s="54">
        <f>SUMIF('sales plans'!$A:$A,$D15,'sales plans'!C:C)</f>
        <v>800</v>
      </c>
      <c r="M15" s="54">
        <f>SUMIF('sales plans'!$A:$A,$D15,'sales plans'!D:D)</f>
        <v>500</v>
      </c>
      <c r="N15" s="54">
        <f>SUMIF('sales plans'!$A:$A,$D15,'sales plans'!E:E)</f>
        <v>700</v>
      </c>
      <c r="O15" s="54">
        <f>SUMIF('sales plans'!$A:$A,$D15,'sales plans'!F:F)</f>
        <v>700</v>
      </c>
      <c r="P15" s="54">
        <f>SUM(prodeje[[#This Row],[BH family plán]:[LD tabák plán]])</f>
        <v>3700</v>
      </c>
      <c r="Q15" s="53">
        <f>prodeje[[#This Row],[Prodej celkem]]-prodeje[[#This Row],[Plán celkem]]</f>
        <v>12</v>
      </c>
    </row>
    <row r="16" spans="1:17" x14ac:dyDescent="0.25">
      <c r="A16" s="56">
        <v>44043</v>
      </c>
      <c r="B16" s="55">
        <v>2</v>
      </c>
      <c r="C16" s="55" t="s">
        <v>62</v>
      </c>
      <c r="D16" s="55" t="s">
        <v>14</v>
      </c>
      <c r="E16" s="51">
        <v>1002</v>
      </c>
      <c r="F16" s="51">
        <v>788</v>
      </c>
      <c r="G16" s="51">
        <v>501</v>
      </c>
      <c r="H16" s="51">
        <v>696</v>
      </c>
      <c r="I16" s="51">
        <v>699</v>
      </c>
      <c r="J16" s="57">
        <f>SUM(prodeje[[#This Row],[BH family]:[LD tabák]])</f>
        <v>3686</v>
      </c>
      <c r="K16" s="54">
        <f>SUMIF('sales plans'!$A:$A,$D16,'sales plans'!B:B)</f>
        <v>1000</v>
      </c>
      <c r="L16" s="54">
        <f>SUMIF('sales plans'!$A:$A,$D16,'sales plans'!C:C)</f>
        <v>800</v>
      </c>
      <c r="M16" s="54">
        <f>SUMIF('sales plans'!$A:$A,$D16,'sales plans'!D:D)</f>
        <v>500</v>
      </c>
      <c r="N16" s="54">
        <f>SUMIF('sales plans'!$A:$A,$D16,'sales plans'!E:E)</f>
        <v>700</v>
      </c>
      <c r="O16" s="54">
        <f>SUMIF('sales plans'!$A:$A,$D16,'sales plans'!F:F)</f>
        <v>700</v>
      </c>
      <c r="P16" s="54">
        <f>SUM(prodeje[[#This Row],[BH family plán]:[LD tabák plán]])</f>
        <v>3700</v>
      </c>
      <c r="Q16" s="53">
        <f>prodeje[[#This Row],[Prodej celkem]]-prodeje[[#This Row],[Plán celkem]]</f>
        <v>-14</v>
      </c>
    </row>
    <row r="17" spans="1:17" x14ac:dyDescent="0.25">
      <c r="A17" s="56">
        <v>44043</v>
      </c>
      <c r="B17" s="55">
        <v>2</v>
      </c>
      <c r="C17" s="55" t="s">
        <v>161</v>
      </c>
      <c r="D17" s="55" t="s">
        <v>11</v>
      </c>
      <c r="E17" s="51">
        <v>936</v>
      </c>
      <c r="F17" s="51">
        <v>803</v>
      </c>
      <c r="G17" s="51">
        <v>501</v>
      </c>
      <c r="H17" s="51">
        <v>700</v>
      </c>
      <c r="I17" s="51">
        <v>699</v>
      </c>
      <c r="J17" s="57">
        <f>SUM(prodeje[[#This Row],[BH family]:[LD tabák]])</f>
        <v>3639</v>
      </c>
      <c r="K17" s="54">
        <f>SUMIF('sales plans'!$A:$A,$D17,'sales plans'!B:B)</f>
        <v>1000</v>
      </c>
      <c r="L17" s="54">
        <f>SUMIF('sales plans'!$A:$A,$D17,'sales plans'!C:C)</f>
        <v>800</v>
      </c>
      <c r="M17" s="54">
        <f>SUMIF('sales plans'!$A:$A,$D17,'sales plans'!D:D)</f>
        <v>500</v>
      </c>
      <c r="N17" s="54">
        <f>SUMIF('sales plans'!$A:$A,$D17,'sales plans'!E:E)</f>
        <v>700</v>
      </c>
      <c r="O17" s="54">
        <f>SUMIF('sales plans'!$A:$A,$D17,'sales plans'!F:F)</f>
        <v>700</v>
      </c>
      <c r="P17" s="54">
        <f>SUM(prodeje[[#This Row],[BH family plán]:[LD tabák plán]])</f>
        <v>3700</v>
      </c>
      <c r="Q17" s="53">
        <f>prodeje[[#This Row],[Prodej celkem]]-prodeje[[#This Row],[Plán celkem]]</f>
        <v>-61</v>
      </c>
    </row>
    <row r="18" spans="1:17" x14ac:dyDescent="0.25">
      <c r="A18" s="56">
        <v>44043</v>
      </c>
      <c r="B18" s="55">
        <v>2</v>
      </c>
      <c r="C18" s="55" t="s">
        <v>65</v>
      </c>
      <c r="D18" s="55" t="s">
        <v>17</v>
      </c>
      <c r="E18" s="51">
        <v>1015</v>
      </c>
      <c r="F18" s="51">
        <v>800</v>
      </c>
      <c r="G18" s="51">
        <v>500</v>
      </c>
      <c r="H18" s="51">
        <v>696</v>
      </c>
      <c r="I18" s="51">
        <v>701</v>
      </c>
      <c r="J18" s="57">
        <f>SUM(prodeje[[#This Row],[BH family]:[LD tabák]])</f>
        <v>3712</v>
      </c>
      <c r="K18" s="54">
        <f>SUMIF('sales plans'!$A:$A,$D18,'sales plans'!B:B)</f>
        <v>1000</v>
      </c>
      <c r="L18" s="54">
        <f>SUMIF('sales plans'!$A:$A,$D18,'sales plans'!C:C)</f>
        <v>800</v>
      </c>
      <c r="M18" s="54">
        <f>SUMIF('sales plans'!$A:$A,$D18,'sales plans'!D:D)</f>
        <v>500</v>
      </c>
      <c r="N18" s="54">
        <f>SUMIF('sales plans'!$A:$A,$D18,'sales plans'!E:E)</f>
        <v>700</v>
      </c>
      <c r="O18" s="54">
        <f>SUMIF('sales plans'!$A:$A,$D18,'sales plans'!F:F)</f>
        <v>700</v>
      </c>
      <c r="P18" s="54">
        <f>SUM(prodeje[[#This Row],[BH family plán]:[LD tabák plán]])</f>
        <v>3700</v>
      </c>
      <c r="Q18" s="53">
        <f>prodeje[[#This Row],[Prodej celkem]]-prodeje[[#This Row],[Plán celkem]]</f>
        <v>12</v>
      </c>
    </row>
    <row r="19" spans="1:17" x14ac:dyDescent="0.25">
      <c r="A19" s="56">
        <v>44043</v>
      </c>
      <c r="B19" s="55">
        <v>0</v>
      </c>
      <c r="C19" s="55" t="s">
        <v>66</v>
      </c>
      <c r="D19" s="55" t="s">
        <v>18</v>
      </c>
      <c r="E19" s="51">
        <v>1031</v>
      </c>
      <c r="F19" s="51">
        <v>786</v>
      </c>
      <c r="G19" s="51">
        <v>501</v>
      </c>
      <c r="H19" s="51">
        <v>694</v>
      </c>
      <c r="I19" s="51">
        <v>699</v>
      </c>
      <c r="J19" s="57">
        <f>SUM(prodeje[[#This Row],[BH family]:[LD tabák]])</f>
        <v>3711</v>
      </c>
      <c r="K19" s="54">
        <f>SUMIF('sales plans'!$A:$A,$D19,'sales plans'!B:B)</f>
        <v>1000</v>
      </c>
      <c r="L19" s="54">
        <f>SUMIF('sales plans'!$A:$A,$D19,'sales plans'!C:C)</f>
        <v>800</v>
      </c>
      <c r="M19" s="54">
        <f>SUMIF('sales plans'!$A:$A,$D19,'sales plans'!D:D)</f>
        <v>500</v>
      </c>
      <c r="N19" s="54">
        <f>SUMIF('sales plans'!$A:$A,$D19,'sales plans'!E:E)</f>
        <v>700</v>
      </c>
      <c r="O19" s="54">
        <f>SUMIF('sales plans'!$A:$A,$D19,'sales plans'!F:F)</f>
        <v>700</v>
      </c>
      <c r="P19" s="54">
        <f>SUM(prodeje[[#This Row],[BH family plán]:[LD tabák plán]])</f>
        <v>3700</v>
      </c>
      <c r="Q19" s="53">
        <f>prodeje[[#This Row],[Prodej celkem]]-prodeje[[#This Row],[Plán celkem]]</f>
        <v>11</v>
      </c>
    </row>
    <row r="20" spans="1:17" x14ac:dyDescent="0.25">
      <c r="A20" s="56">
        <v>44043</v>
      </c>
      <c r="B20" s="55">
        <v>2</v>
      </c>
      <c r="C20" s="55" t="s">
        <v>66</v>
      </c>
      <c r="D20" s="55" t="s">
        <v>18</v>
      </c>
      <c r="E20" s="51">
        <v>1014</v>
      </c>
      <c r="F20" s="51">
        <v>791</v>
      </c>
      <c r="G20" s="51">
        <v>499</v>
      </c>
      <c r="H20" s="51">
        <v>702</v>
      </c>
      <c r="I20" s="51">
        <v>699</v>
      </c>
      <c r="J20" s="57">
        <f>SUM(prodeje[[#This Row],[BH family]:[LD tabák]])</f>
        <v>3705</v>
      </c>
      <c r="K20" s="54">
        <f>SUMIF('sales plans'!$A:$A,$D20,'sales plans'!B:B)</f>
        <v>1000</v>
      </c>
      <c r="L20" s="54">
        <f>SUMIF('sales plans'!$A:$A,$D20,'sales plans'!C:C)</f>
        <v>800</v>
      </c>
      <c r="M20" s="54">
        <f>SUMIF('sales plans'!$A:$A,$D20,'sales plans'!D:D)</f>
        <v>500</v>
      </c>
      <c r="N20" s="54">
        <f>SUMIF('sales plans'!$A:$A,$D20,'sales plans'!E:E)</f>
        <v>700</v>
      </c>
      <c r="O20" s="54">
        <f>SUMIF('sales plans'!$A:$A,$D20,'sales plans'!F:F)</f>
        <v>700</v>
      </c>
      <c r="P20" s="54">
        <f>SUM(prodeje[[#This Row],[BH family plán]:[LD tabák plán]])</f>
        <v>3700</v>
      </c>
      <c r="Q20" s="53">
        <f>prodeje[[#This Row],[Prodej celkem]]-prodeje[[#This Row],[Plán celkem]]</f>
        <v>5</v>
      </c>
    </row>
    <row r="21" spans="1:17" x14ac:dyDescent="0.25">
      <c r="A21" s="56">
        <v>44063</v>
      </c>
      <c r="B21" s="55">
        <v>1</v>
      </c>
      <c r="C21" s="55" t="s">
        <v>0</v>
      </c>
      <c r="D21" s="55" t="s">
        <v>10</v>
      </c>
      <c r="E21" s="51">
        <v>906</v>
      </c>
      <c r="F21" s="51">
        <v>793</v>
      </c>
      <c r="G21" s="51">
        <v>499</v>
      </c>
      <c r="H21" s="51">
        <v>693</v>
      </c>
      <c r="I21" s="51">
        <v>700</v>
      </c>
      <c r="J21" s="57">
        <f>SUM(prodeje[[#This Row],[BH family]:[LD tabák]])</f>
        <v>3591</v>
      </c>
      <c r="K21" s="54">
        <f>SUMIF('sales plans'!$A:$A,$D21,'sales plans'!B:B)</f>
        <v>1000</v>
      </c>
      <c r="L21" s="54">
        <f>SUMIF('sales plans'!$A:$A,$D21,'sales plans'!C:C)</f>
        <v>800</v>
      </c>
      <c r="M21" s="54">
        <f>SUMIF('sales plans'!$A:$A,$D21,'sales plans'!D:D)</f>
        <v>500</v>
      </c>
      <c r="N21" s="54">
        <f>SUMIF('sales plans'!$A:$A,$D21,'sales plans'!E:E)</f>
        <v>700</v>
      </c>
      <c r="O21" s="54">
        <f>SUMIF('sales plans'!$A:$A,$D21,'sales plans'!F:F)</f>
        <v>700</v>
      </c>
      <c r="P21" s="54">
        <f>SUM(prodeje[[#This Row],[BH family plán]:[LD tabák plán]])</f>
        <v>3700</v>
      </c>
      <c r="Q21" s="53">
        <f>prodeje[[#This Row],[Prodej celkem]]-prodeje[[#This Row],[Plán celkem]]</f>
        <v>-109</v>
      </c>
    </row>
    <row r="22" spans="1:17" x14ac:dyDescent="0.25">
      <c r="A22" s="56">
        <v>44072</v>
      </c>
      <c r="B22" s="55">
        <v>1</v>
      </c>
      <c r="C22" s="55" t="s">
        <v>56</v>
      </c>
      <c r="D22" s="55" t="s">
        <v>6</v>
      </c>
      <c r="E22" s="51">
        <v>1037</v>
      </c>
      <c r="F22" s="51">
        <v>784</v>
      </c>
      <c r="G22" s="51">
        <v>501</v>
      </c>
      <c r="H22" s="51">
        <v>694</v>
      </c>
      <c r="I22" s="51">
        <v>700</v>
      </c>
      <c r="J22" s="57">
        <f>SUM(prodeje[[#This Row],[BH family]:[LD tabák]])</f>
        <v>3716</v>
      </c>
      <c r="K22" s="54">
        <f>SUMIF('sales plans'!$A:$A,$D22,'sales plans'!B:B)</f>
        <v>1000</v>
      </c>
      <c r="L22" s="54">
        <f>SUMIF('sales plans'!$A:$A,$D22,'sales plans'!C:C)</f>
        <v>800</v>
      </c>
      <c r="M22" s="54">
        <f>SUMIF('sales plans'!$A:$A,$D22,'sales plans'!D:D)</f>
        <v>500</v>
      </c>
      <c r="N22" s="54">
        <f>SUMIF('sales plans'!$A:$A,$D22,'sales plans'!E:E)</f>
        <v>700</v>
      </c>
      <c r="O22" s="54">
        <f>SUMIF('sales plans'!$A:$A,$D22,'sales plans'!F:F)</f>
        <v>700</v>
      </c>
      <c r="P22" s="54">
        <f>SUM(prodeje[[#This Row],[BH family plán]:[LD tabák plán]])</f>
        <v>3700</v>
      </c>
      <c r="Q22" s="53">
        <f>prodeje[[#This Row],[Prodej celkem]]-prodeje[[#This Row],[Plán celkem]]</f>
        <v>16</v>
      </c>
    </row>
    <row r="23" spans="1:17" x14ac:dyDescent="0.25">
      <c r="A23" s="56">
        <v>44073</v>
      </c>
      <c r="B23" s="55">
        <v>1</v>
      </c>
      <c r="C23" s="55" t="s">
        <v>159</v>
      </c>
      <c r="D23" s="55" t="s">
        <v>7</v>
      </c>
      <c r="E23" s="51">
        <v>945</v>
      </c>
      <c r="F23" s="51">
        <v>805</v>
      </c>
      <c r="G23" s="51">
        <v>501</v>
      </c>
      <c r="H23" s="51">
        <v>692</v>
      </c>
      <c r="I23" s="51">
        <v>701</v>
      </c>
      <c r="J23" s="57">
        <f>SUM(prodeje[[#This Row],[BH family]:[LD tabák]])</f>
        <v>3644</v>
      </c>
      <c r="K23" s="54">
        <f>SUMIF('sales plans'!$A:$A,$D23,'sales plans'!B:B)</f>
        <v>1000</v>
      </c>
      <c r="L23" s="54">
        <f>SUMIF('sales plans'!$A:$A,$D23,'sales plans'!C:C)</f>
        <v>800</v>
      </c>
      <c r="M23" s="54">
        <f>SUMIF('sales plans'!$A:$A,$D23,'sales plans'!D:D)</f>
        <v>500</v>
      </c>
      <c r="N23" s="54">
        <f>SUMIF('sales plans'!$A:$A,$D23,'sales plans'!E:E)</f>
        <v>700</v>
      </c>
      <c r="O23" s="54">
        <f>SUMIF('sales plans'!$A:$A,$D23,'sales plans'!F:F)</f>
        <v>700</v>
      </c>
      <c r="P23" s="54">
        <f>SUM(prodeje[[#This Row],[BH family plán]:[LD tabák plán]])</f>
        <v>3700</v>
      </c>
      <c r="Q23" s="53">
        <f>prodeje[[#This Row],[Prodej celkem]]-prodeje[[#This Row],[Plán celkem]]</f>
        <v>-56</v>
      </c>
    </row>
    <row r="24" spans="1:17" x14ac:dyDescent="0.25">
      <c r="A24" s="56">
        <v>44074</v>
      </c>
      <c r="B24" s="55">
        <v>1</v>
      </c>
      <c r="C24" s="55" t="s">
        <v>157</v>
      </c>
      <c r="D24" s="55" t="s">
        <v>2</v>
      </c>
      <c r="E24" s="51">
        <v>1018</v>
      </c>
      <c r="F24" s="51">
        <v>795</v>
      </c>
      <c r="G24" s="51">
        <v>499</v>
      </c>
      <c r="H24" s="51">
        <v>700</v>
      </c>
      <c r="I24" s="51">
        <v>702</v>
      </c>
      <c r="J24" s="57">
        <f>SUM(prodeje[[#This Row],[BH family]:[LD tabák]])</f>
        <v>3714</v>
      </c>
      <c r="K24" s="54">
        <f>SUMIF('sales plans'!$A:$A,$D24,'sales plans'!B:B)</f>
        <v>1000</v>
      </c>
      <c r="L24" s="54">
        <f>SUMIF('sales plans'!$A:$A,$D24,'sales plans'!C:C)</f>
        <v>800</v>
      </c>
      <c r="M24" s="54">
        <f>SUMIF('sales plans'!$A:$A,$D24,'sales plans'!D:D)</f>
        <v>500</v>
      </c>
      <c r="N24" s="54">
        <f>SUMIF('sales plans'!$A:$A,$D24,'sales plans'!E:E)</f>
        <v>700</v>
      </c>
      <c r="O24" s="54">
        <f>SUMIF('sales plans'!$A:$A,$D24,'sales plans'!F:F)</f>
        <v>700</v>
      </c>
      <c r="P24" s="54">
        <f>SUM(prodeje[[#This Row],[BH family plán]:[LD tabák plán]])</f>
        <v>3700</v>
      </c>
      <c r="Q24" s="53">
        <f>prodeje[[#This Row],[Prodej celkem]]-prodeje[[#This Row],[Plán celkem]]</f>
        <v>14</v>
      </c>
    </row>
    <row r="25" spans="1:17" x14ac:dyDescent="0.25">
      <c r="A25" s="56">
        <v>44074</v>
      </c>
      <c r="B25" s="55">
        <v>2</v>
      </c>
      <c r="C25" s="55" t="s">
        <v>1</v>
      </c>
      <c r="D25" s="55" t="s">
        <v>19</v>
      </c>
      <c r="E25" s="51">
        <v>923</v>
      </c>
      <c r="F25" s="51">
        <v>788</v>
      </c>
      <c r="G25" s="51">
        <v>499</v>
      </c>
      <c r="H25" s="51">
        <v>702</v>
      </c>
      <c r="I25" s="51">
        <v>699</v>
      </c>
      <c r="J25" s="57">
        <f>SUM(prodeje[[#This Row],[BH family]:[LD tabák]])</f>
        <v>3611</v>
      </c>
      <c r="K25" s="54">
        <f>SUMIF('sales plans'!$A:$A,$D25,'sales plans'!B:B)</f>
        <v>1000</v>
      </c>
      <c r="L25" s="54">
        <f>SUMIF('sales plans'!$A:$A,$D25,'sales plans'!C:C)</f>
        <v>800</v>
      </c>
      <c r="M25" s="54">
        <f>SUMIF('sales plans'!$A:$A,$D25,'sales plans'!D:D)</f>
        <v>500</v>
      </c>
      <c r="N25" s="54">
        <f>SUMIF('sales plans'!$A:$A,$D25,'sales plans'!E:E)</f>
        <v>700</v>
      </c>
      <c r="O25" s="54">
        <f>SUMIF('sales plans'!$A:$A,$D25,'sales plans'!F:F)</f>
        <v>700</v>
      </c>
      <c r="P25" s="54">
        <f>SUM(prodeje[[#This Row],[BH family plán]:[LD tabák plán]])</f>
        <v>3700</v>
      </c>
      <c r="Q25" s="53">
        <f>prodeje[[#This Row],[Prodej celkem]]-prodeje[[#This Row],[Plán celkem]]</f>
        <v>-89</v>
      </c>
    </row>
    <row r="26" spans="1:17" x14ac:dyDescent="0.25">
      <c r="A26" s="56">
        <v>44074</v>
      </c>
      <c r="B26" s="55">
        <v>1</v>
      </c>
      <c r="C26" s="55" t="s">
        <v>158</v>
      </c>
      <c r="D26" s="55" t="s">
        <v>3</v>
      </c>
      <c r="E26" s="51">
        <v>999</v>
      </c>
      <c r="F26" s="51">
        <v>796</v>
      </c>
      <c r="G26" s="51">
        <v>499</v>
      </c>
      <c r="H26" s="51">
        <v>700</v>
      </c>
      <c r="I26" s="51">
        <v>700</v>
      </c>
      <c r="J26" s="57">
        <f>SUM(prodeje[[#This Row],[BH family]:[LD tabák]])</f>
        <v>3694</v>
      </c>
      <c r="K26" s="54">
        <f>SUMIF('sales plans'!$A:$A,$D26,'sales plans'!B:B)</f>
        <v>1000</v>
      </c>
      <c r="L26" s="54">
        <f>SUMIF('sales plans'!$A:$A,$D26,'sales plans'!C:C)</f>
        <v>800</v>
      </c>
      <c r="M26" s="54">
        <f>SUMIF('sales plans'!$A:$A,$D26,'sales plans'!D:D)</f>
        <v>500</v>
      </c>
      <c r="N26" s="54">
        <f>SUMIF('sales plans'!$A:$A,$D26,'sales plans'!E:E)</f>
        <v>700</v>
      </c>
      <c r="O26" s="54">
        <f>SUMIF('sales plans'!$A:$A,$D26,'sales plans'!F:F)</f>
        <v>700</v>
      </c>
      <c r="P26" s="54">
        <f>SUM(prodeje[[#This Row],[BH family plán]:[LD tabák plán]])</f>
        <v>3700</v>
      </c>
      <c r="Q26" s="53">
        <f>prodeje[[#This Row],[Prodej celkem]]-prodeje[[#This Row],[Plán celkem]]</f>
        <v>-6</v>
      </c>
    </row>
    <row r="27" spans="1:17" x14ac:dyDescent="0.25">
      <c r="A27" s="56">
        <v>44074</v>
      </c>
      <c r="B27" s="55">
        <v>1</v>
      </c>
      <c r="C27" s="55" t="s">
        <v>55</v>
      </c>
      <c r="D27" s="55" t="s">
        <v>5</v>
      </c>
      <c r="E27" s="51">
        <v>910</v>
      </c>
      <c r="F27" s="51">
        <v>790</v>
      </c>
      <c r="G27" s="51">
        <v>500</v>
      </c>
      <c r="H27" s="51">
        <v>697</v>
      </c>
      <c r="I27" s="51">
        <v>699</v>
      </c>
      <c r="J27" s="57">
        <f>SUM(prodeje[[#This Row],[BH family]:[LD tabák]])</f>
        <v>3596</v>
      </c>
      <c r="K27" s="54">
        <f>SUMIF('sales plans'!$A:$A,$D27,'sales plans'!B:B)</f>
        <v>1000</v>
      </c>
      <c r="L27" s="54">
        <f>SUMIF('sales plans'!$A:$A,$D27,'sales plans'!C:C)</f>
        <v>800</v>
      </c>
      <c r="M27" s="54">
        <f>SUMIF('sales plans'!$A:$A,$D27,'sales plans'!D:D)</f>
        <v>500</v>
      </c>
      <c r="N27" s="54">
        <f>SUMIF('sales plans'!$A:$A,$D27,'sales plans'!E:E)</f>
        <v>700</v>
      </c>
      <c r="O27" s="54">
        <f>SUMIF('sales plans'!$A:$A,$D27,'sales plans'!F:F)</f>
        <v>700</v>
      </c>
      <c r="P27" s="54">
        <f>SUM(prodeje[[#This Row],[BH family plán]:[LD tabák plán]])</f>
        <v>3700</v>
      </c>
      <c r="Q27" s="53">
        <f>prodeje[[#This Row],[Prodej celkem]]-prodeje[[#This Row],[Plán celkem]]</f>
        <v>-104</v>
      </c>
    </row>
    <row r="28" spans="1:17" x14ac:dyDescent="0.25">
      <c r="A28" s="56">
        <v>44074</v>
      </c>
      <c r="B28" s="55">
        <v>2</v>
      </c>
      <c r="C28" s="55" t="s">
        <v>63</v>
      </c>
      <c r="D28" s="55" t="s">
        <v>15</v>
      </c>
      <c r="E28" s="51">
        <v>1014</v>
      </c>
      <c r="F28" s="51">
        <v>784</v>
      </c>
      <c r="G28" s="51">
        <v>501</v>
      </c>
      <c r="H28" s="51">
        <v>700</v>
      </c>
      <c r="I28" s="51">
        <v>699</v>
      </c>
      <c r="J28" s="57">
        <f>SUM(prodeje[[#This Row],[BH family]:[LD tabák]])</f>
        <v>3698</v>
      </c>
      <c r="K28" s="54">
        <f>SUMIF('sales plans'!$A:$A,$D28,'sales plans'!B:B)</f>
        <v>1000</v>
      </c>
      <c r="L28" s="54">
        <f>SUMIF('sales plans'!$A:$A,$D28,'sales plans'!C:C)</f>
        <v>800</v>
      </c>
      <c r="M28" s="54">
        <f>SUMIF('sales plans'!$A:$A,$D28,'sales plans'!D:D)</f>
        <v>500</v>
      </c>
      <c r="N28" s="54">
        <f>SUMIF('sales plans'!$A:$A,$D28,'sales plans'!E:E)</f>
        <v>700</v>
      </c>
      <c r="O28" s="54">
        <f>SUMIF('sales plans'!$A:$A,$D28,'sales plans'!F:F)</f>
        <v>700</v>
      </c>
      <c r="P28" s="54">
        <f>SUM(prodeje[[#This Row],[BH family plán]:[LD tabák plán]])</f>
        <v>3700</v>
      </c>
      <c r="Q28" s="53">
        <f>prodeje[[#This Row],[Prodej celkem]]-prodeje[[#This Row],[Plán celkem]]</f>
        <v>-2</v>
      </c>
    </row>
    <row r="29" spans="1:17" x14ac:dyDescent="0.25">
      <c r="A29" s="56">
        <v>44074</v>
      </c>
      <c r="B29" s="55">
        <v>1</v>
      </c>
      <c r="C29" s="55" t="s">
        <v>160</v>
      </c>
      <c r="D29" s="55" t="s">
        <v>9</v>
      </c>
      <c r="E29" s="51">
        <v>901</v>
      </c>
      <c r="F29" s="51">
        <v>784</v>
      </c>
      <c r="G29" s="51">
        <v>501</v>
      </c>
      <c r="H29" s="51">
        <v>695</v>
      </c>
      <c r="I29" s="51">
        <v>699</v>
      </c>
      <c r="J29" s="57">
        <f>SUM(prodeje[[#This Row],[BH family]:[LD tabák]])</f>
        <v>3580</v>
      </c>
      <c r="K29" s="54">
        <f>SUMIF('sales plans'!$A:$A,$D29,'sales plans'!B:B)</f>
        <v>1000</v>
      </c>
      <c r="L29" s="54">
        <f>SUMIF('sales plans'!$A:$A,$D29,'sales plans'!C:C)</f>
        <v>800</v>
      </c>
      <c r="M29" s="54">
        <f>SUMIF('sales plans'!$A:$A,$D29,'sales plans'!D:D)</f>
        <v>500</v>
      </c>
      <c r="N29" s="54">
        <f>SUMIF('sales plans'!$A:$A,$D29,'sales plans'!E:E)</f>
        <v>700</v>
      </c>
      <c r="O29" s="54">
        <f>SUMIF('sales plans'!$A:$A,$D29,'sales plans'!F:F)</f>
        <v>700</v>
      </c>
      <c r="P29" s="54">
        <f>SUM(prodeje[[#This Row],[BH family plán]:[LD tabák plán]])</f>
        <v>3700</v>
      </c>
      <c r="Q29" s="53">
        <f>prodeje[[#This Row],[Prodej celkem]]-prodeje[[#This Row],[Plán celkem]]</f>
        <v>-120</v>
      </c>
    </row>
    <row r="30" spans="1:17" x14ac:dyDescent="0.25">
      <c r="A30" s="56">
        <v>44074</v>
      </c>
      <c r="B30" s="55">
        <v>2</v>
      </c>
      <c r="C30" s="55" t="s">
        <v>64</v>
      </c>
      <c r="D30" s="55" t="s">
        <v>16</v>
      </c>
      <c r="E30" s="51">
        <v>938</v>
      </c>
      <c r="F30" s="51">
        <v>802</v>
      </c>
      <c r="G30" s="51">
        <v>500</v>
      </c>
      <c r="H30" s="51">
        <v>702</v>
      </c>
      <c r="I30" s="51">
        <v>700</v>
      </c>
      <c r="J30" s="57">
        <f>SUM(prodeje[[#This Row],[BH family]:[LD tabák]])</f>
        <v>3642</v>
      </c>
      <c r="K30" s="54">
        <f>SUMIF('sales plans'!$A:$A,$D30,'sales plans'!B:B)</f>
        <v>1000</v>
      </c>
      <c r="L30" s="54">
        <f>SUMIF('sales plans'!$A:$A,$D30,'sales plans'!C:C)</f>
        <v>800</v>
      </c>
      <c r="M30" s="54">
        <f>SUMIF('sales plans'!$A:$A,$D30,'sales plans'!D:D)</f>
        <v>500</v>
      </c>
      <c r="N30" s="54">
        <f>SUMIF('sales plans'!$A:$A,$D30,'sales plans'!E:E)</f>
        <v>700</v>
      </c>
      <c r="O30" s="54">
        <f>SUMIF('sales plans'!$A:$A,$D30,'sales plans'!F:F)</f>
        <v>700</v>
      </c>
      <c r="P30" s="54">
        <f>SUM(prodeje[[#This Row],[BH family plán]:[LD tabák plán]])</f>
        <v>3700</v>
      </c>
      <c r="Q30" s="53">
        <f>prodeje[[#This Row],[Prodej celkem]]-prodeje[[#This Row],[Plán celkem]]</f>
        <v>-58</v>
      </c>
    </row>
    <row r="31" spans="1:17" x14ac:dyDescent="0.25">
      <c r="A31" s="56">
        <v>44074</v>
      </c>
      <c r="B31" s="55">
        <v>1</v>
      </c>
      <c r="C31" s="55" t="s">
        <v>58</v>
      </c>
      <c r="D31" s="55" t="s">
        <v>8</v>
      </c>
      <c r="E31" s="51">
        <v>1047</v>
      </c>
      <c r="F31" s="51">
        <v>787</v>
      </c>
      <c r="G31" s="51">
        <v>500</v>
      </c>
      <c r="H31" s="51">
        <v>696</v>
      </c>
      <c r="I31" s="51">
        <v>701</v>
      </c>
      <c r="J31" s="57">
        <f>SUM(prodeje[[#This Row],[BH family]:[LD tabák]])</f>
        <v>3731</v>
      </c>
      <c r="K31" s="54">
        <f>SUMIF('sales plans'!$A:$A,$D31,'sales plans'!B:B)</f>
        <v>1000</v>
      </c>
      <c r="L31" s="54">
        <f>SUMIF('sales plans'!$A:$A,$D31,'sales plans'!C:C)</f>
        <v>800</v>
      </c>
      <c r="M31" s="54">
        <f>SUMIF('sales plans'!$A:$A,$D31,'sales plans'!D:D)</f>
        <v>500</v>
      </c>
      <c r="N31" s="54">
        <f>SUMIF('sales plans'!$A:$A,$D31,'sales plans'!E:E)</f>
        <v>700</v>
      </c>
      <c r="O31" s="54">
        <f>SUMIF('sales plans'!$A:$A,$D31,'sales plans'!F:F)</f>
        <v>700</v>
      </c>
      <c r="P31" s="54">
        <f>SUM(prodeje[[#This Row],[BH family plán]:[LD tabák plán]])</f>
        <v>3700</v>
      </c>
      <c r="Q31" s="53">
        <f>prodeje[[#This Row],[Prodej celkem]]-prodeje[[#This Row],[Plán celkem]]</f>
        <v>31</v>
      </c>
    </row>
    <row r="32" spans="1:17" x14ac:dyDescent="0.25">
      <c r="A32" s="56">
        <v>44074</v>
      </c>
      <c r="B32" s="55">
        <v>2</v>
      </c>
      <c r="C32" s="55" t="s">
        <v>61</v>
      </c>
      <c r="D32" s="55" t="s">
        <v>13</v>
      </c>
      <c r="E32" s="51">
        <v>938</v>
      </c>
      <c r="F32" s="51">
        <v>803</v>
      </c>
      <c r="G32" s="51">
        <v>499</v>
      </c>
      <c r="H32" s="51">
        <v>702</v>
      </c>
      <c r="I32" s="51">
        <v>701</v>
      </c>
      <c r="J32" s="57">
        <f>SUM(prodeje[[#This Row],[BH family]:[LD tabák]])</f>
        <v>3643</v>
      </c>
      <c r="K32" s="54">
        <f>SUMIF('sales plans'!$A:$A,$D32,'sales plans'!B:B)</f>
        <v>1000</v>
      </c>
      <c r="L32" s="54">
        <f>SUMIF('sales plans'!$A:$A,$D32,'sales plans'!C:C)</f>
        <v>800</v>
      </c>
      <c r="M32" s="54">
        <f>SUMIF('sales plans'!$A:$A,$D32,'sales plans'!D:D)</f>
        <v>500</v>
      </c>
      <c r="N32" s="54">
        <f>SUMIF('sales plans'!$A:$A,$D32,'sales plans'!E:E)</f>
        <v>700</v>
      </c>
      <c r="O32" s="54">
        <f>SUMIF('sales plans'!$A:$A,$D32,'sales plans'!F:F)</f>
        <v>700</v>
      </c>
      <c r="P32" s="54">
        <f>SUM(prodeje[[#This Row],[BH family plán]:[LD tabák plán]])</f>
        <v>3700</v>
      </c>
      <c r="Q32" s="53">
        <f>prodeje[[#This Row],[Prodej celkem]]-prodeje[[#This Row],[Plán celkem]]</f>
        <v>-57</v>
      </c>
    </row>
    <row r="33" spans="1:17" x14ac:dyDescent="0.25">
      <c r="A33" s="56">
        <v>44074</v>
      </c>
      <c r="B33" s="55">
        <v>1</v>
      </c>
      <c r="C33" s="55" t="s">
        <v>54</v>
      </c>
      <c r="D33" s="55" t="s">
        <v>4</v>
      </c>
      <c r="E33" s="51">
        <v>909</v>
      </c>
      <c r="F33" s="51">
        <v>804</v>
      </c>
      <c r="G33" s="51">
        <v>499</v>
      </c>
      <c r="H33" s="51">
        <v>699</v>
      </c>
      <c r="I33" s="51">
        <v>701</v>
      </c>
      <c r="J33" s="57">
        <f>SUM(prodeje[[#This Row],[BH family]:[LD tabák]])</f>
        <v>3612</v>
      </c>
      <c r="K33" s="54">
        <f>SUMIF('sales plans'!$A:$A,$D33,'sales plans'!B:B)</f>
        <v>1000</v>
      </c>
      <c r="L33" s="54">
        <f>SUMIF('sales plans'!$A:$A,$D33,'sales plans'!C:C)</f>
        <v>800</v>
      </c>
      <c r="M33" s="54">
        <f>SUMIF('sales plans'!$A:$A,$D33,'sales plans'!D:D)</f>
        <v>500</v>
      </c>
      <c r="N33" s="54">
        <f>SUMIF('sales plans'!$A:$A,$D33,'sales plans'!E:E)</f>
        <v>700</v>
      </c>
      <c r="O33" s="54">
        <f>SUMIF('sales plans'!$A:$A,$D33,'sales plans'!F:F)</f>
        <v>700</v>
      </c>
      <c r="P33" s="54">
        <f>SUM(prodeje[[#This Row],[BH family plán]:[LD tabák plán]])</f>
        <v>3700</v>
      </c>
      <c r="Q33" s="53">
        <f>prodeje[[#This Row],[Prodej celkem]]-prodeje[[#This Row],[Plán celkem]]</f>
        <v>-88</v>
      </c>
    </row>
    <row r="34" spans="1:17" x14ac:dyDescent="0.25">
      <c r="A34" s="56">
        <v>44074</v>
      </c>
      <c r="B34" s="55">
        <v>2</v>
      </c>
      <c r="C34" s="55" t="s">
        <v>60</v>
      </c>
      <c r="D34" s="55" t="s">
        <v>12</v>
      </c>
      <c r="E34" s="51">
        <v>980</v>
      </c>
      <c r="F34" s="51">
        <v>790</v>
      </c>
      <c r="G34" s="51">
        <v>499</v>
      </c>
      <c r="H34" s="51">
        <v>699</v>
      </c>
      <c r="I34" s="51">
        <v>701</v>
      </c>
      <c r="J34" s="57">
        <f>SUM(prodeje[[#This Row],[BH family]:[LD tabák]])</f>
        <v>3669</v>
      </c>
      <c r="K34" s="54">
        <f>SUMIF('sales plans'!$A:$A,$D34,'sales plans'!B:B)</f>
        <v>1000</v>
      </c>
      <c r="L34" s="54">
        <f>SUMIF('sales plans'!$A:$A,$D34,'sales plans'!C:C)</f>
        <v>800</v>
      </c>
      <c r="M34" s="54">
        <f>SUMIF('sales plans'!$A:$A,$D34,'sales plans'!D:D)</f>
        <v>500</v>
      </c>
      <c r="N34" s="54">
        <f>SUMIF('sales plans'!$A:$A,$D34,'sales plans'!E:E)</f>
        <v>700</v>
      </c>
      <c r="O34" s="54">
        <f>SUMIF('sales plans'!$A:$A,$D34,'sales plans'!F:F)</f>
        <v>700</v>
      </c>
      <c r="P34" s="54">
        <f>SUM(prodeje[[#This Row],[BH family plán]:[LD tabák plán]])</f>
        <v>3700</v>
      </c>
      <c r="Q34" s="53">
        <f>prodeje[[#This Row],[Prodej celkem]]-prodeje[[#This Row],[Plán celkem]]</f>
        <v>-31</v>
      </c>
    </row>
    <row r="35" spans="1:17" x14ac:dyDescent="0.25">
      <c r="A35" s="56">
        <v>44074</v>
      </c>
      <c r="B35" s="55">
        <v>2</v>
      </c>
      <c r="C35" s="55" t="s">
        <v>62</v>
      </c>
      <c r="D35" s="55" t="s">
        <v>14</v>
      </c>
      <c r="E35" s="51">
        <v>905</v>
      </c>
      <c r="F35" s="51">
        <v>789</v>
      </c>
      <c r="G35" s="51">
        <v>501</v>
      </c>
      <c r="H35" s="51">
        <v>692</v>
      </c>
      <c r="I35" s="51">
        <v>700</v>
      </c>
      <c r="J35" s="57">
        <f>SUM(prodeje[[#This Row],[BH family]:[LD tabák]])</f>
        <v>3587</v>
      </c>
      <c r="K35" s="54">
        <f>SUMIF('sales plans'!$A:$A,$D35,'sales plans'!B:B)</f>
        <v>1000</v>
      </c>
      <c r="L35" s="54">
        <f>SUMIF('sales plans'!$A:$A,$D35,'sales plans'!C:C)</f>
        <v>800</v>
      </c>
      <c r="M35" s="54">
        <f>SUMIF('sales plans'!$A:$A,$D35,'sales plans'!D:D)</f>
        <v>500</v>
      </c>
      <c r="N35" s="54">
        <f>SUMIF('sales plans'!$A:$A,$D35,'sales plans'!E:E)</f>
        <v>700</v>
      </c>
      <c r="O35" s="54">
        <f>SUMIF('sales plans'!$A:$A,$D35,'sales plans'!F:F)</f>
        <v>700</v>
      </c>
      <c r="P35" s="54">
        <f>SUM(prodeje[[#This Row],[BH family plán]:[LD tabák plán]])</f>
        <v>3700</v>
      </c>
      <c r="Q35" s="53">
        <f>prodeje[[#This Row],[Prodej celkem]]-prodeje[[#This Row],[Plán celkem]]</f>
        <v>-113</v>
      </c>
    </row>
    <row r="36" spans="1:17" x14ac:dyDescent="0.25">
      <c r="A36" s="56">
        <v>44074</v>
      </c>
      <c r="B36" s="55">
        <v>2</v>
      </c>
      <c r="C36" s="55" t="s">
        <v>161</v>
      </c>
      <c r="D36" s="55" t="s">
        <v>11</v>
      </c>
      <c r="E36" s="51">
        <v>982</v>
      </c>
      <c r="F36" s="51">
        <v>804</v>
      </c>
      <c r="G36" s="51">
        <v>501</v>
      </c>
      <c r="H36" s="51">
        <v>693</v>
      </c>
      <c r="I36" s="51">
        <v>699</v>
      </c>
      <c r="J36" s="57">
        <f>SUM(prodeje[[#This Row],[BH family]:[LD tabák]])</f>
        <v>3679</v>
      </c>
      <c r="K36" s="54">
        <f>SUMIF('sales plans'!$A:$A,$D36,'sales plans'!B:B)</f>
        <v>1000</v>
      </c>
      <c r="L36" s="54">
        <f>SUMIF('sales plans'!$A:$A,$D36,'sales plans'!C:C)</f>
        <v>800</v>
      </c>
      <c r="M36" s="54">
        <f>SUMIF('sales plans'!$A:$A,$D36,'sales plans'!D:D)</f>
        <v>500</v>
      </c>
      <c r="N36" s="54">
        <f>SUMIF('sales plans'!$A:$A,$D36,'sales plans'!E:E)</f>
        <v>700</v>
      </c>
      <c r="O36" s="54">
        <f>SUMIF('sales plans'!$A:$A,$D36,'sales plans'!F:F)</f>
        <v>700</v>
      </c>
      <c r="P36" s="54">
        <f>SUM(prodeje[[#This Row],[BH family plán]:[LD tabák plán]])</f>
        <v>3700</v>
      </c>
      <c r="Q36" s="53">
        <f>prodeje[[#This Row],[Prodej celkem]]-prodeje[[#This Row],[Plán celkem]]</f>
        <v>-21</v>
      </c>
    </row>
    <row r="37" spans="1:17" x14ac:dyDescent="0.25">
      <c r="A37" s="56">
        <v>44074</v>
      </c>
      <c r="B37" s="55">
        <v>2</v>
      </c>
      <c r="C37" s="55" t="s">
        <v>65</v>
      </c>
      <c r="D37" s="55" t="s">
        <v>17</v>
      </c>
      <c r="E37" s="51">
        <v>967</v>
      </c>
      <c r="F37" s="51">
        <v>803</v>
      </c>
      <c r="G37" s="51">
        <v>499</v>
      </c>
      <c r="H37" s="51">
        <v>701</v>
      </c>
      <c r="I37" s="51">
        <v>701</v>
      </c>
      <c r="J37" s="57">
        <f>SUM(prodeje[[#This Row],[BH family]:[LD tabák]])</f>
        <v>3671</v>
      </c>
      <c r="K37" s="54">
        <f>SUMIF('sales plans'!$A:$A,$D37,'sales plans'!B:B)</f>
        <v>1000</v>
      </c>
      <c r="L37" s="54">
        <f>SUMIF('sales plans'!$A:$A,$D37,'sales plans'!C:C)</f>
        <v>800</v>
      </c>
      <c r="M37" s="54">
        <f>SUMIF('sales plans'!$A:$A,$D37,'sales plans'!D:D)</f>
        <v>500</v>
      </c>
      <c r="N37" s="54">
        <f>SUMIF('sales plans'!$A:$A,$D37,'sales plans'!E:E)</f>
        <v>700</v>
      </c>
      <c r="O37" s="54">
        <f>SUMIF('sales plans'!$A:$A,$D37,'sales plans'!F:F)</f>
        <v>700</v>
      </c>
      <c r="P37" s="54">
        <f>SUM(prodeje[[#This Row],[BH family plán]:[LD tabák plán]])</f>
        <v>3700</v>
      </c>
      <c r="Q37" s="53">
        <f>prodeje[[#This Row],[Prodej celkem]]-prodeje[[#This Row],[Plán celkem]]</f>
        <v>-29</v>
      </c>
    </row>
    <row r="38" spans="1:17" x14ac:dyDescent="0.25">
      <c r="A38" s="56">
        <v>44074</v>
      </c>
      <c r="B38" s="55">
        <v>0</v>
      </c>
      <c r="C38" s="55" t="s">
        <v>66</v>
      </c>
      <c r="D38" s="55" t="s">
        <v>18</v>
      </c>
      <c r="E38" s="51">
        <v>973</v>
      </c>
      <c r="F38" s="51">
        <v>783</v>
      </c>
      <c r="G38" s="51">
        <v>500</v>
      </c>
      <c r="H38" s="51">
        <v>693</v>
      </c>
      <c r="I38" s="51">
        <v>702</v>
      </c>
      <c r="J38" s="57">
        <f>SUM(prodeje[[#This Row],[BH family]:[LD tabák]])</f>
        <v>3651</v>
      </c>
      <c r="K38" s="54">
        <f>SUMIF('sales plans'!$A:$A,$D38,'sales plans'!B:B)</f>
        <v>1000</v>
      </c>
      <c r="L38" s="54">
        <f>SUMIF('sales plans'!$A:$A,$D38,'sales plans'!C:C)</f>
        <v>800</v>
      </c>
      <c r="M38" s="54">
        <f>SUMIF('sales plans'!$A:$A,$D38,'sales plans'!D:D)</f>
        <v>500</v>
      </c>
      <c r="N38" s="54">
        <f>SUMIF('sales plans'!$A:$A,$D38,'sales plans'!E:E)</f>
        <v>700</v>
      </c>
      <c r="O38" s="54">
        <f>SUMIF('sales plans'!$A:$A,$D38,'sales plans'!F:F)</f>
        <v>700</v>
      </c>
      <c r="P38" s="54">
        <f>SUM(prodeje[[#This Row],[BH family plán]:[LD tabák plán]])</f>
        <v>3700</v>
      </c>
      <c r="Q38" s="53">
        <f>prodeje[[#This Row],[Prodej celkem]]-prodeje[[#This Row],[Plán celkem]]</f>
        <v>-49</v>
      </c>
    </row>
    <row r="39" spans="1:17" x14ac:dyDescent="0.25">
      <c r="A39" s="56">
        <v>44074</v>
      </c>
      <c r="B39" s="55">
        <v>2</v>
      </c>
      <c r="C39" s="55" t="s">
        <v>66</v>
      </c>
      <c r="D39" s="55" t="s">
        <v>18</v>
      </c>
      <c r="E39" s="51">
        <v>977</v>
      </c>
      <c r="F39" s="51">
        <v>799</v>
      </c>
      <c r="G39" s="51">
        <v>501</v>
      </c>
      <c r="H39" s="51">
        <v>696</v>
      </c>
      <c r="I39" s="51">
        <v>700</v>
      </c>
      <c r="J39" s="57">
        <f>SUM(prodeje[[#This Row],[BH family]:[LD tabák]])</f>
        <v>3673</v>
      </c>
      <c r="K39" s="54">
        <f>SUMIF('sales plans'!$A:$A,$D39,'sales plans'!B:B)</f>
        <v>1000</v>
      </c>
      <c r="L39" s="54">
        <f>SUMIF('sales plans'!$A:$A,$D39,'sales plans'!C:C)</f>
        <v>800</v>
      </c>
      <c r="M39" s="54">
        <f>SUMIF('sales plans'!$A:$A,$D39,'sales plans'!D:D)</f>
        <v>500</v>
      </c>
      <c r="N39" s="54">
        <f>SUMIF('sales plans'!$A:$A,$D39,'sales plans'!E:E)</f>
        <v>700</v>
      </c>
      <c r="O39" s="54">
        <f>SUMIF('sales plans'!$A:$A,$D39,'sales plans'!F:F)</f>
        <v>700</v>
      </c>
      <c r="P39" s="54">
        <f>SUM(prodeje[[#This Row],[BH family plán]:[LD tabák plán]])</f>
        <v>3700</v>
      </c>
      <c r="Q39" s="53">
        <f>prodeje[[#This Row],[Prodej celkem]]-prodeje[[#This Row],[Plán celkem]]</f>
        <v>-27</v>
      </c>
    </row>
    <row r="40" spans="1:17" x14ac:dyDescent="0.25">
      <c r="A40" s="56">
        <v>44101</v>
      </c>
      <c r="B40" s="55">
        <v>1</v>
      </c>
      <c r="C40" s="55" t="s">
        <v>0</v>
      </c>
      <c r="D40" s="55" t="s">
        <v>10</v>
      </c>
      <c r="E40" s="51">
        <v>998</v>
      </c>
      <c r="F40" s="51">
        <v>805</v>
      </c>
      <c r="G40" s="51">
        <v>500</v>
      </c>
      <c r="H40" s="51">
        <v>691</v>
      </c>
      <c r="I40" s="51">
        <v>701</v>
      </c>
      <c r="J40" s="57">
        <f>SUM(prodeje[[#This Row],[BH family]:[LD tabák]])</f>
        <v>3695</v>
      </c>
      <c r="K40" s="54">
        <f>SUMIF('sales plans'!$A:$A,$D40,'sales plans'!B:B)</f>
        <v>1000</v>
      </c>
      <c r="L40" s="54">
        <f>SUMIF('sales plans'!$A:$A,$D40,'sales plans'!C:C)</f>
        <v>800</v>
      </c>
      <c r="M40" s="54">
        <f>SUMIF('sales plans'!$A:$A,$D40,'sales plans'!D:D)</f>
        <v>500</v>
      </c>
      <c r="N40" s="54">
        <f>SUMIF('sales plans'!$A:$A,$D40,'sales plans'!E:E)</f>
        <v>700</v>
      </c>
      <c r="O40" s="54">
        <f>SUMIF('sales plans'!$A:$A,$D40,'sales plans'!F:F)</f>
        <v>700</v>
      </c>
      <c r="P40" s="54">
        <f>SUM(prodeje[[#This Row],[BH family plán]:[LD tabák plán]])</f>
        <v>3700</v>
      </c>
      <c r="Q40" s="53">
        <f>prodeje[[#This Row],[Prodej celkem]]-prodeje[[#This Row],[Plán celkem]]</f>
        <v>-5</v>
      </c>
    </row>
    <row r="41" spans="1:17" x14ac:dyDescent="0.25">
      <c r="A41" s="56">
        <v>44102</v>
      </c>
      <c r="B41" s="55">
        <v>1</v>
      </c>
      <c r="C41" s="55" t="s">
        <v>157</v>
      </c>
      <c r="D41" s="55" t="s">
        <v>2</v>
      </c>
      <c r="E41" s="51">
        <v>980</v>
      </c>
      <c r="F41" s="51">
        <v>802</v>
      </c>
      <c r="G41" s="51">
        <v>501</v>
      </c>
      <c r="H41" s="51">
        <v>695</v>
      </c>
      <c r="I41" s="51">
        <v>699</v>
      </c>
      <c r="J41" s="57">
        <f>SUM(prodeje[[#This Row],[BH family]:[LD tabák]])</f>
        <v>3677</v>
      </c>
      <c r="K41" s="54">
        <f>SUMIF('sales plans'!$A:$A,$D41,'sales plans'!B:B)</f>
        <v>1000</v>
      </c>
      <c r="L41" s="54">
        <f>SUMIF('sales plans'!$A:$A,$D41,'sales plans'!C:C)</f>
        <v>800</v>
      </c>
      <c r="M41" s="54">
        <f>SUMIF('sales plans'!$A:$A,$D41,'sales plans'!D:D)</f>
        <v>500</v>
      </c>
      <c r="N41" s="54">
        <f>SUMIF('sales plans'!$A:$A,$D41,'sales plans'!E:E)</f>
        <v>700</v>
      </c>
      <c r="O41" s="54">
        <f>SUMIF('sales plans'!$A:$A,$D41,'sales plans'!F:F)</f>
        <v>700</v>
      </c>
      <c r="P41" s="54">
        <f>SUM(prodeje[[#This Row],[BH family plán]:[LD tabák plán]])</f>
        <v>3700</v>
      </c>
      <c r="Q41" s="53">
        <f>prodeje[[#This Row],[Prodej celkem]]-prodeje[[#This Row],[Plán celkem]]</f>
        <v>-23</v>
      </c>
    </row>
    <row r="42" spans="1:17" x14ac:dyDescent="0.25">
      <c r="A42" s="56">
        <v>44102</v>
      </c>
      <c r="B42" s="55">
        <v>1</v>
      </c>
      <c r="C42" s="55" t="s">
        <v>160</v>
      </c>
      <c r="D42" s="55" t="s">
        <v>9</v>
      </c>
      <c r="E42" s="51">
        <v>913</v>
      </c>
      <c r="F42" s="51">
        <v>799</v>
      </c>
      <c r="G42" s="51">
        <v>501</v>
      </c>
      <c r="H42" s="51">
        <v>702</v>
      </c>
      <c r="I42" s="51">
        <v>700</v>
      </c>
      <c r="J42" s="57">
        <f>SUM(prodeje[[#This Row],[BH family]:[LD tabák]])</f>
        <v>3615</v>
      </c>
      <c r="K42" s="54">
        <f>SUMIF('sales plans'!$A:$A,$D42,'sales plans'!B:B)</f>
        <v>1000</v>
      </c>
      <c r="L42" s="54">
        <f>SUMIF('sales plans'!$A:$A,$D42,'sales plans'!C:C)</f>
        <v>800</v>
      </c>
      <c r="M42" s="54">
        <f>SUMIF('sales plans'!$A:$A,$D42,'sales plans'!D:D)</f>
        <v>500</v>
      </c>
      <c r="N42" s="54">
        <f>SUMIF('sales plans'!$A:$A,$D42,'sales plans'!E:E)</f>
        <v>700</v>
      </c>
      <c r="O42" s="54">
        <f>SUMIF('sales plans'!$A:$A,$D42,'sales plans'!F:F)</f>
        <v>700</v>
      </c>
      <c r="P42" s="54">
        <f>SUM(prodeje[[#This Row],[BH family plán]:[LD tabák plán]])</f>
        <v>3700</v>
      </c>
      <c r="Q42" s="53">
        <f>prodeje[[#This Row],[Prodej celkem]]-prodeje[[#This Row],[Plán celkem]]</f>
        <v>-85</v>
      </c>
    </row>
    <row r="43" spans="1:17" x14ac:dyDescent="0.25">
      <c r="A43" s="56">
        <v>44103</v>
      </c>
      <c r="B43" s="55">
        <v>0</v>
      </c>
      <c r="C43" s="55" t="s">
        <v>66</v>
      </c>
      <c r="D43" s="55" t="s">
        <v>18</v>
      </c>
      <c r="E43" s="51">
        <v>1013</v>
      </c>
      <c r="F43" s="51">
        <v>799</v>
      </c>
      <c r="G43" s="51">
        <v>501</v>
      </c>
      <c r="H43" s="51">
        <v>697</v>
      </c>
      <c r="I43" s="51">
        <v>699</v>
      </c>
      <c r="J43" s="57">
        <f>SUM(prodeje[[#This Row],[BH family]:[LD tabák]])</f>
        <v>3709</v>
      </c>
      <c r="K43" s="54">
        <f>SUMIF('sales plans'!$A:$A,$D43,'sales plans'!B:B)</f>
        <v>1000</v>
      </c>
      <c r="L43" s="54">
        <f>SUMIF('sales plans'!$A:$A,$D43,'sales plans'!C:C)</f>
        <v>800</v>
      </c>
      <c r="M43" s="54">
        <f>SUMIF('sales plans'!$A:$A,$D43,'sales plans'!D:D)</f>
        <v>500</v>
      </c>
      <c r="N43" s="54">
        <f>SUMIF('sales plans'!$A:$A,$D43,'sales plans'!E:E)</f>
        <v>700</v>
      </c>
      <c r="O43" s="54">
        <f>SUMIF('sales plans'!$A:$A,$D43,'sales plans'!F:F)</f>
        <v>700</v>
      </c>
      <c r="P43" s="54">
        <f>SUM(prodeje[[#This Row],[BH family plán]:[LD tabák plán]])</f>
        <v>3700</v>
      </c>
      <c r="Q43" s="53">
        <f>prodeje[[#This Row],[Prodej celkem]]-prodeje[[#This Row],[Plán celkem]]</f>
        <v>9</v>
      </c>
    </row>
    <row r="44" spans="1:17" x14ac:dyDescent="0.25">
      <c r="A44" s="56">
        <v>44104</v>
      </c>
      <c r="B44" s="55">
        <v>1</v>
      </c>
      <c r="C44" s="55" t="s">
        <v>159</v>
      </c>
      <c r="D44" s="55" t="s">
        <v>7</v>
      </c>
      <c r="E44" s="51">
        <v>974</v>
      </c>
      <c r="F44" s="51">
        <v>789</v>
      </c>
      <c r="G44" s="51">
        <v>501</v>
      </c>
      <c r="H44" s="51">
        <v>702</v>
      </c>
      <c r="I44" s="51">
        <v>700</v>
      </c>
      <c r="J44" s="57">
        <f>SUM(prodeje[[#This Row],[BH family]:[LD tabák]])</f>
        <v>3666</v>
      </c>
      <c r="K44" s="54">
        <f>SUMIF('sales plans'!$A:$A,$D44,'sales plans'!B:B)</f>
        <v>1000</v>
      </c>
      <c r="L44" s="54">
        <f>SUMIF('sales plans'!$A:$A,$D44,'sales plans'!C:C)</f>
        <v>800</v>
      </c>
      <c r="M44" s="54">
        <f>SUMIF('sales plans'!$A:$A,$D44,'sales plans'!D:D)</f>
        <v>500</v>
      </c>
      <c r="N44" s="54">
        <f>SUMIF('sales plans'!$A:$A,$D44,'sales plans'!E:E)</f>
        <v>700</v>
      </c>
      <c r="O44" s="54">
        <f>SUMIF('sales plans'!$A:$A,$D44,'sales plans'!F:F)</f>
        <v>700</v>
      </c>
      <c r="P44" s="54">
        <f>SUM(prodeje[[#This Row],[BH family plán]:[LD tabák plán]])</f>
        <v>3700</v>
      </c>
      <c r="Q44" s="53">
        <f>prodeje[[#This Row],[Prodej celkem]]-prodeje[[#This Row],[Plán celkem]]</f>
        <v>-34</v>
      </c>
    </row>
    <row r="45" spans="1:17" x14ac:dyDescent="0.25">
      <c r="A45" s="56">
        <v>44104</v>
      </c>
      <c r="B45" s="55">
        <v>1</v>
      </c>
      <c r="C45" s="55" t="s">
        <v>56</v>
      </c>
      <c r="D45" s="55" t="s">
        <v>6</v>
      </c>
      <c r="E45" s="51">
        <v>1050</v>
      </c>
      <c r="F45" s="51">
        <v>783</v>
      </c>
      <c r="G45" s="51">
        <v>501</v>
      </c>
      <c r="H45" s="51">
        <v>697</v>
      </c>
      <c r="I45" s="51">
        <v>700</v>
      </c>
      <c r="J45" s="57">
        <f>SUM(prodeje[[#This Row],[BH family]:[LD tabák]])</f>
        <v>3731</v>
      </c>
      <c r="K45" s="54">
        <f>SUMIF('sales plans'!$A:$A,$D45,'sales plans'!B:B)</f>
        <v>1000</v>
      </c>
      <c r="L45" s="54">
        <f>SUMIF('sales plans'!$A:$A,$D45,'sales plans'!C:C)</f>
        <v>800</v>
      </c>
      <c r="M45" s="54">
        <f>SUMIF('sales plans'!$A:$A,$D45,'sales plans'!D:D)</f>
        <v>500</v>
      </c>
      <c r="N45" s="54">
        <f>SUMIF('sales plans'!$A:$A,$D45,'sales plans'!E:E)</f>
        <v>700</v>
      </c>
      <c r="O45" s="54">
        <f>SUMIF('sales plans'!$A:$A,$D45,'sales plans'!F:F)</f>
        <v>700</v>
      </c>
      <c r="P45" s="54">
        <f>SUM(prodeje[[#This Row],[BH family plán]:[LD tabák plán]])</f>
        <v>3700</v>
      </c>
      <c r="Q45" s="53">
        <f>prodeje[[#This Row],[Prodej celkem]]-prodeje[[#This Row],[Plán celkem]]</f>
        <v>31</v>
      </c>
    </row>
    <row r="46" spans="1:17" x14ac:dyDescent="0.25">
      <c r="A46" s="56">
        <v>44104</v>
      </c>
      <c r="B46" s="55">
        <v>2</v>
      </c>
      <c r="C46" s="55" t="s">
        <v>1</v>
      </c>
      <c r="D46" s="55" t="s">
        <v>19</v>
      </c>
      <c r="E46" s="51">
        <v>978</v>
      </c>
      <c r="F46" s="51">
        <v>788</v>
      </c>
      <c r="G46" s="51">
        <v>501</v>
      </c>
      <c r="H46" s="51">
        <v>691</v>
      </c>
      <c r="I46" s="51">
        <v>699</v>
      </c>
      <c r="J46" s="57">
        <f>SUM(prodeje[[#This Row],[BH family]:[LD tabák]])</f>
        <v>3657</v>
      </c>
      <c r="K46" s="54">
        <f>SUMIF('sales plans'!$A:$A,$D46,'sales plans'!B:B)</f>
        <v>1000</v>
      </c>
      <c r="L46" s="54">
        <f>SUMIF('sales plans'!$A:$A,$D46,'sales plans'!C:C)</f>
        <v>800</v>
      </c>
      <c r="M46" s="54">
        <f>SUMIF('sales plans'!$A:$A,$D46,'sales plans'!D:D)</f>
        <v>500</v>
      </c>
      <c r="N46" s="54">
        <f>SUMIF('sales plans'!$A:$A,$D46,'sales plans'!E:E)</f>
        <v>700</v>
      </c>
      <c r="O46" s="54">
        <f>SUMIF('sales plans'!$A:$A,$D46,'sales plans'!F:F)</f>
        <v>700</v>
      </c>
      <c r="P46" s="54">
        <f>SUM(prodeje[[#This Row],[BH family plán]:[LD tabák plán]])</f>
        <v>3700</v>
      </c>
      <c r="Q46" s="53">
        <f>prodeje[[#This Row],[Prodej celkem]]-prodeje[[#This Row],[Plán celkem]]</f>
        <v>-43</v>
      </c>
    </row>
    <row r="47" spans="1:17" x14ac:dyDescent="0.25">
      <c r="A47" s="56">
        <v>44104</v>
      </c>
      <c r="B47" s="55">
        <v>1</v>
      </c>
      <c r="C47" s="55" t="s">
        <v>158</v>
      </c>
      <c r="D47" s="55" t="s">
        <v>3</v>
      </c>
      <c r="E47" s="51">
        <v>1008</v>
      </c>
      <c r="F47" s="51">
        <v>792</v>
      </c>
      <c r="G47" s="51">
        <v>500</v>
      </c>
      <c r="H47" s="51">
        <v>695</v>
      </c>
      <c r="I47" s="51">
        <v>701</v>
      </c>
      <c r="J47" s="57">
        <f>SUM(prodeje[[#This Row],[BH family]:[LD tabák]])</f>
        <v>3696</v>
      </c>
      <c r="K47" s="54">
        <f>SUMIF('sales plans'!$A:$A,$D47,'sales plans'!B:B)</f>
        <v>1000</v>
      </c>
      <c r="L47" s="54">
        <f>SUMIF('sales plans'!$A:$A,$D47,'sales plans'!C:C)</f>
        <v>800</v>
      </c>
      <c r="M47" s="54">
        <f>SUMIF('sales plans'!$A:$A,$D47,'sales plans'!D:D)</f>
        <v>500</v>
      </c>
      <c r="N47" s="54">
        <f>SUMIF('sales plans'!$A:$A,$D47,'sales plans'!E:E)</f>
        <v>700</v>
      </c>
      <c r="O47" s="54">
        <f>SUMIF('sales plans'!$A:$A,$D47,'sales plans'!F:F)</f>
        <v>700</v>
      </c>
      <c r="P47" s="54">
        <f>SUM(prodeje[[#This Row],[BH family plán]:[LD tabák plán]])</f>
        <v>3700</v>
      </c>
      <c r="Q47" s="53">
        <f>prodeje[[#This Row],[Prodej celkem]]-prodeje[[#This Row],[Plán celkem]]</f>
        <v>-4</v>
      </c>
    </row>
    <row r="48" spans="1:17" x14ac:dyDescent="0.25">
      <c r="A48" s="56">
        <v>44104</v>
      </c>
      <c r="B48" s="55">
        <v>1</v>
      </c>
      <c r="C48" s="55" t="s">
        <v>55</v>
      </c>
      <c r="D48" s="55" t="s">
        <v>5</v>
      </c>
      <c r="E48" s="51">
        <v>925</v>
      </c>
      <c r="F48" s="51">
        <v>790</v>
      </c>
      <c r="G48" s="51">
        <v>500</v>
      </c>
      <c r="H48" s="51">
        <v>698</v>
      </c>
      <c r="I48" s="51">
        <v>702</v>
      </c>
      <c r="J48" s="57">
        <f>SUM(prodeje[[#This Row],[BH family]:[LD tabák]])</f>
        <v>3615</v>
      </c>
      <c r="K48" s="54">
        <f>SUMIF('sales plans'!$A:$A,$D48,'sales plans'!B:B)</f>
        <v>1000</v>
      </c>
      <c r="L48" s="54">
        <f>SUMIF('sales plans'!$A:$A,$D48,'sales plans'!C:C)</f>
        <v>800</v>
      </c>
      <c r="M48" s="54">
        <f>SUMIF('sales plans'!$A:$A,$D48,'sales plans'!D:D)</f>
        <v>500</v>
      </c>
      <c r="N48" s="54">
        <f>SUMIF('sales plans'!$A:$A,$D48,'sales plans'!E:E)</f>
        <v>700</v>
      </c>
      <c r="O48" s="54">
        <f>SUMIF('sales plans'!$A:$A,$D48,'sales plans'!F:F)</f>
        <v>700</v>
      </c>
      <c r="P48" s="54">
        <f>SUM(prodeje[[#This Row],[BH family plán]:[LD tabák plán]])</f>
        <v>3700</v>
      </c>
      <c r="Q48" s="53">
        <f>prodeje[[#This Row],[Prodej celkem]]-prodeje[[#This Row],[Plán celkem]]</f>
        <v>-85</v>
      </c>
    </row>
    <row r="49" spans="1:17" x14ac:dyDescent="0.25">
      <c r="A49" s="56">
        <v>44104</v>
      </c>
      <c r="B49" s="55">
        <v>2</v>
      </c>
      <c r="C49" s="55" t="s">
        <v>63</v>
      </c>
      <c r="D49" s="55" t="s">
        <v>15</v>
      </c>
      <c r="E49" s="51">
        <v>985</v>
      </c>
      <c r="F49" s="51">
        <v>786</v>
      </c>
      <c r="G49" s="51">
        <v>501</v>
      </c>
      <c r="H49" s="51">
        <v>699</v>
      </c>
      <c r="I49" s="51">
        <v>699</v>
      </c>
      <c r="J49" s="57">
        <f>SUM(prodeje[[#This Row],[BH family]:[LD tabák]])</f>
        <v>3670</v>
      </c>
      <c r="K49" s="54">
        <f>SUMIF('sales plans'!$A:$A,$D49,'sales plans'!B:B)</f>
        <v>1000</v>
      </c>
      <c r="L49" s="54">
        <f>SUMIF('sales plans'!$A:$A,$D49,'sales plans'!C:C)</f>
        <v>800</v>
      </c>
      <c r="M49" s="54">
        <f>SUMIF('sales plans'!$A:$A,$D49,'sales plans'!D:D)</f>
        <v>500</v>
      </c>
      <c r="N49" s="54">
        <f>SUMIF('sales plans'!$A:$A,$D49,'sales plans'!E:E)</f>
        <v>700</v>
      </c>
      <c r="O49" s="54">
        <f>SUMIF('sales plans'!$A:$A,$D49,'sales plans'!F:F)</f>
        <v>700</v>
      </c>
      <c r="P49" s="54">
        <f>SUM(prodeje[[#This Row],[BH family plán]:[LD tabák plán]])</f>
        <v>3700</v>
      </c>
      <c r="Q49" s="53">
        <f>prodeje[[#This Row],[Prodej celkem]]-prodeje[[#This Row],[Plán celkem]]</f>
        <v>-30</v>
      </c>
    </row>
    <row r="50" spans="1:17" x14ac:dyDescent="0.25">
      <c r="A50" s="56">
        <v>44104</v>
      </c>
      <c r="B50" s="55">
        <v>2</v>
      </c>
      <c r="C50" s="55" t="s">
        <v>64</v>
      </c>
      <c r="D50" s="55" t="s">
        <v>16</v>
      </c>
      <c r="E50" s="51">
        <v>1032</v>
      </c>
      <c r="F50" s="51">
        <v>781</v>
      </c>
      <c r="G50" s="51">
        <v>499</v>
      </c>
      <c r="H50" s="51">
        <v>702</v>
      </c>
      <c r="I50" s="51">
        <v>700</v>
      </c>
      <c r="J50" s="57">
        <f>SUM(prodeje[[#This Row],[BH family]:[LD tabák]])</f>
        <v>3714</v>
      </c>
      <c r="K50" s="54">
        <f>SUMIF('sales plans'!$A:$A,$D50,'sales plans'!B:B)</f>
        <v>1000</v>
      </c>
      <c r="L50" s="54">
        <f>SUMIF('sales plans'!$A:$A,$D50,'sales plans'!C:C)</f>
        <v>800</v>
      </c>
      <c r="M50" s="54">
        <f>SUMIF('sales plans'!$A:$A,$D50,'sales plans'!D:D)</f>
        <v>500</v>
      </c>
      <c r="N50" s="54">
        <f>SUMIF('sales plans'!$A:$A,$D50,'sales plans'!E:E)</f>
        <v>700</v>
      </c>
      <c r="O50" s="54">
        <f>SUMIF('sales plans'!$A:$A,$D50,'sales plans'!F:F)</f>
        <v>700</v>
      </c>
      <c r="P50" s="54">
        <f>SUM(prodeje[[#This Row],[BH family plán]:[LD tabák plán]])</f>
        <v>3700</v>
      </c>
      <c r="Q50" s="53">
        <f>prodeje[[#This Row],[Prodej celkem]]-prodeje[[#This Row],[Plán celkem]]</f>
        <v>14</v>
      </c>
    </row>
    <row r="51" spans="1:17" x14ac:dyDescent="0.25">
      <c r="A51" s="56">
        <v>44104</v>
      </c>
      <c r="B51" s="55">
        <v>1</v>
      </c>
      <c r="C51" s="55" t="s">
        <v>58</v>
      </c>
      <c r="D51" s="55" t="s">
        <v>8</v>
      </c>
      <c r="E51" s="51">
        <v>969</v>
      </c>
      <c r="F51" s="51">
        <v>785</v>
      </c>
      <c r="G51" s="51">
        <v>501</v>
      </c>
      <c r="H51" s="51">
        <v>693</v>
      </c>
      <c r="I51" s="51">
        <v>701</v>
      </c>
      <c r="J51" s="57">
        <f>SUM(prodeje[[#This Row],[BH family]:[LD tabák]])</f>
        <v>3649</v>
      </c>
      <c r="K51" s="54">
        <f>SUMIF('sales plans'!$A:$A,$D51,'sales plans'!B:B)</f>
        <v>1000</v>
      </c>
      <c r="L51" s="54">
        <f>SUMIF('sales plans'!$A:$A,$D51,'sales plans'!C:C)</f>
        <v>800</v>
      </c>
      <c r="M51" s="54">
        <f>SUMIF('sales plans'!$A:$A,$D51,'sales plans'!D:D)</f>
        <v>500</v>
      </c>
      <c r="N51" s="54">
        <f>SUMIF('sales plans'!$A:$A,$D51,'sales plans'!E:E)</f>
        <v>700</v>
      </c>
      <c r="O51" s="54">
        <f>SUMIF('sales plans'!$A:$A,$D51,'sales plans'!F:F)</f>
        <v>700</v>
      </c>
      <c r="P51" s="54">
        <f>SUM(prodeje[[#This Row],[BH family plán]:[LD tabák plán]])</f>
        <v>3700</v>
      </c>
      <c r="Q51" s="53">
        <f>prodeje[[#This Row],[Prodej celkem]]-prodeje[[#This Row],[Plán celkem]]</f>
        <v>-51</v>
      </c>
    </row>
    <row r="52" spans="1:17" x14ac:dyDescent="0.25">
      <c r="A52" s="56">
        <v>44104</v>
      </c>
      <c r="B52" s="55">
        <v>2</v>
      </c>
      <c r="C52" s="55" t="s">
        <v>61</v>
      </c>
      <c r="D52" s="55" t="s">
        <v>13</v>
      </c>
      <c r="E52" s="51">
        <v>982</v>
      </c>
      <c r="F52" s="51">
        <v>785</v>
      </c>
      <c r="G52" s="51">
        <v>501</v>
      </c>
      <c r="H52" s="51">
        <v>692</v>
      </c>
      <c r="I52" s="51">
        <v>701</v>
      </c>
      <c r="J52" s="57">
        <f>SUM(prodeje[[#This Row],[BH family]:[LD tabák]])</f>
        <v>3661</v>
      </c>
      <c r="K52" s="54">
        <f>SUMIF('sales plans'!$A:$A,$D52,'sales plans'!B:B)</f>
        <v>1000</v>
      </c>
      <c r="L52" s="54">
        <f>SUMIF('sales plans'!$A:$A,$D52,'sales plans'!C:C)</f>
        <v>800</v>
      </c>
      <c r="M52" s="54">
        <f>SUMIF('sales plans'!$A:$A,$D52,'sales plans'!D:D)</f>
        <v>500</v>
      </c>
      <c r="N52" s="54">
        <f>SUMIF('sales plans'!$A:$A,$D52,'sales plans'!E:E)</f>
        <v>700</v>
      </c>
      <c r="O52" s="54">
        <f>SUMIF('sales plans'!$A:$A,$D52,'sales plans'!F:F)</f>
        <v>700</v>
      </c>
      <c r="P52" s="54">
        <f>SUM(prodeje[[#This Row],[BH family plán]:[LD tabák plán]])</f>
        <v>3700</v>
      </c>
      <c r="Q52" s="53">
        <f>prodeje[[#This Row],[Prodej celkem]]-prodeje[[#This Row],[Plán celkem]]</f>
        <v>-39</v>
      </c>
    </row>
    <row r="53" spans="1:17" x14ac:dyDescent="0.25">
      <c r="A53" s="56">
        <v>44104</v>
      </c>
      <c r="B53" s="55">
        <v>1</v>
      </c>
      <c r="C53" s="55" t="s">
        <v>54</v>
      </c>
      <c r="D53" s="55" t="s">
        <v>4</v>
      </c>
      <c r="E53" s="51">
        <v>961</v>
      </c>
      <c r="F53" s="51">
        <v>792</v>
      </c>
      <c r="G53" s="51">
        <v>501</v>
      </c>
      <c r="H53" s="51">
        <v>698</v>
      </c>
      <c r="I53" s="51">
        <v>701</v>
      </c>
      <c r="J53" s="57">
        <f>SUM(prodeje[[#This Row],[BH family]:[LD tabák]])</f>
        <v>3653</v>
      </c>
      <c r="K53" s="54">
        <f>SUMIF('sales plans'!$A:$A,$D53,'sales plans'!B:B)</f>
        <v>1000</v>
      </c>
      <c r="L53" s="54">
        <f>SUMIF('sales plans'!$A:$A,$D53,'sales plans'!C:C)</f>
        <v>800</v>
      </c>
      <c r="M53" s="54">
        <f>SUMIF('sales plans'!$A:$A,$D53,'sales plans'!D:D)</f>
        <v>500</v>
      </c>
      <c r="N53" s="54">
        <f>SUMIF('sales plans'!$A:$A,$D53,'sales plans'!E:E)</f>
        <v>700</v>
      </c>
      <c r="O53" s="54">
        <f>SUMIF('sales plans'!$A:$A,$D53,'sales plans'!F:F)</f>
        <v>700</v>
      </c>
      <c r="P53" s="54">
        <f>SUM(prodeje[[#This Row],[BH family plán]:[LD tabák plán]])</f>
        <v>3700</v>
      </c>
      <c r="Q53" s="53">
        <f>prodeje[[#This Row],[Prodej celkem]]-prodeje[[#This Row],[Plán celkem]]</f>
        <v>-47</v>
      </c>
    </row>
    <row r="54" spans="1:17" x14ac:dyDescent="0.25">
      <c r="A54" s="56">
        <v>44104</v>
      </c>
      <c r="B54" s="55">
        <v>2</v>
      </c>
      <c r="C54" s="55" t="s">
        <v>60</v>
      </c>
      <c r="D54" s="55" t="s">
        <v>12</v>
      </c>
      <c r="E54" s="51">
        <v>952</v>
      </c>
      <c r="F54" s="51">
        <v>796</v>
      </c>
      <c r="G54" s="51">
        <v>501</v>
      </c>
      <c r="H54" s="51">
        <v>702</v>
      </c>
      <c r="I54" s="51">
        <v>700</v>
      </c>
      <c r="J54" s="57">
        <f>SUM(prodeje[[#This Row],[BH family]:[LD tabák]])</f>
        <v>3651</v>
      </c>
      <c r="K54" s="54">
        <f>SUMIF('sales plans'!$A:$A,$D54,'sales plans'!B:B)</f>
        <v>1000</v>
      </c>
      <c r="L54" s="54">
        <f>SUMIF('sales plans'!$A:$A,$D54,'sales plans'!C:C)</f>
        <v>800</v>
      </c>
      <c r="M54" s="54">
        <f>SUMIF('sales plans'!$A:$A,$D54,'sales plans'!D:D)</f>
        <v>500</v>
      </c>
      <c r="N54" s="54">
        <f>SUMIF('sales plans'!$A:$A,$D54,'sales plans'!E:E)</f>
        <v>700</v>
      </c>
      <c r="O54" s="54">
        <f>SUMIF('sales plans'!$A:$A,$D54,'sales plans'!F:F)</f>
        <v>700</v>
      </c>
      <c r="P54" s="54">
        <f>SUM(prodeje[[#This Row],[BH family plán]:[LD tabák plán]])</f>
        <v>3700</v>
      </c>
      <c r="Q54" s="53">
        <f>prodeje[[#This Row],[Prodej celkem]]-prodeje[[#This Row],[Plán celkem]]</f>
        <v>-49</v>
      </c>
    </row>
    <row r="55" spans="1:17" x14ac:dyDescent="0.25">
      <c r="A55" s="56">
        <v>44104</v>
      </c>
      <c r="B55" s="55">
        <v>2</v>
      </c>
      <c r="C55" s="55" t="s">
        <v>62</v>
      </c>
      <c r="D55" s="55" t="s">
        <v>14</v>
      </c>
      <c r="E55" s="51">
        <v>931</v>
      </c>
      <c r="F55" s="51">
        <v>802</v>
      </c>
      <c r="G55" s="51">
        <v>499</v>
      </c>
      <c r="H55" s="51">
        <v>699</v>
      </c>
      <c r="I55" s="51">
        <v>702</v>
      </c>
      <c r="J55" s="57">
        <f>SUM(prodeje[[#This Row],[BH family]:[LD tabák]])</f>
        <v>3633</v>
      </c>
      <c r="K55" s="54">
        <f>SUMIF('sales plans'!$A:$A,$D55,'sales plans'!B:B)</f>
        <v>1000</v>
      </c>
      <c r="L55" s="54">
        <f>SUMIF('sales plans'!$A:$A,$D55,'sales plans'!C:C)</f>
        <v>800</v>
      </c>
      <c r="M55" s="54">
        <f>SUMIF('sales plans'!$A:$A,$D55,'sales plans'!D:D)</f>
        <v>500</v>
      </c>
      <c r="N55" s="54">
        <f>SUMIF('sales plans'!$A:$A,$D55,'sales plans'!E:E)</f>
        <v>700</v>
      </c>
      <c r="O55" s="54">
        <f>SUMIF('sales plans'!$A:$A,$D55,'sales plans'!F:F)</f>
        <v>700</v>
      </c>
      <c r="P55" s="54">
        <f>SUM(prodeje[[#This Row],[BH family plán]:[LD tabák plán]])</f>
        <v>3700</v>
      </c>
      <c r="Q55" s="53">
        <f>prodeje[[#This Row],[Prodej celkem]]-prodeje[[#This Row],[Plán celkem]]</f>
        <v>-67</v>
      </c>
    </row>
    <row r="56" spans="1:17" x14ac:dyDescent="0.25">
      <c r="A56" s="56">
        <v>44104</v>
      </c>
      <c r="B56" s="55">
        <v>2</v>
      </c>
      <c r="C56" s="55" t="s">
        <v>161</v>
      </c>
      <c r="D56" s="55" t="s">
        <v>11</v>
      </c>
      <c r="E56" s="51">
        <v>919</v>
      </c>
      <c r="F56" s="51">
        <v>804</v>
      </c>
      <c r="G56" s="51">
        <v>500</v>
      </c>
      <c r="H56" s="51">
        <v>697</v>
      </c>
      <c r="I56" s="51">
        <v>702</v>
      </c>
      <c r="J56" s="57">
        <f>SUM(prodeje[[#This Row],[BH family]:[LD tabák]])</f>
        <v>3622</v>
      </c>
      <c r="K56" s="54">
        <f>SUMIF('sales plans'!$A:$A,$D56,'sales plans'!B:B)</f>
        <v>1000</v>
      </c>
      <c r="L56" s="54">
        <f>SUMIF('sales plans'!$A:$A,$D56,'sales plans'!C:C)</f>
        <v>800</v>
      </c>
      <c r="M56" s="54">
        <f>SUMIF('sales plans'!$A:$A,$D56,'sales plans'!D:D)</f>
        <v>500</v>
      </c>
      <c r="N56" s="54">
        <f>SUMIF('sales plans'!$A:$A,$D56,'sales plans'!E:E)</f>
        <v>700</v>
      </c>
      <c r="O56" s="54">
        <f>SUMIF('sales plans'!$A:$A,$D56,'sales plans'!F:F)</f>
        <v>700</v>
      </c>
      <c r="P56" s="54">
        <f>SUM(prodeje[[#This Row],[BH family plán]:[LD tabák plán]])</f>
        <v>3700</v>
      </c>
      <c r="Q56" s="53">
        <f>prodeje[[#This Row],[Prodej celkem]]-prodeje[[#This Row],[Plán celkem]]</f>
        <v>-78</v>
      </c>
    </row>
    <row r="57" spans="1:17" x14ac:dyDescent="0.25">
      <c r="A57" s="56">
        <v>44104</v>
      </c>
      <c r="B57" s="55">
        <v>2</v>
      </c>
      <c r="C57" s="55" t="s">
        <v>65</v>
      </c>
      <c r="D57" s="55" t="s">
        <v>17</v>
      </c>
      <c r="E57" s="51">
        <v>1041</v>
      </c>
      <c r="F57" s="51">
        <v>790</v>
      </c>
      <c r="G57" s="51">
        <v>500</v>
      </c>
      <c r="H57" s="51">
        <v>696</v>
      </c>
      <c r="I57" s="51">
        <v>702</v>
      </c>
      <c r="J57" s="57">
        <f>SUM(prodeje[[#This Row],[BH family]:[LD tabák]])</f>
        <v>3729</v>
      </c>
      <c r="K57" s="54">
        <f>SUMIF('sales plans'!$A:$A,$D57,'sales plans'!B:B)</f>
        <v>1000</v>
      </c>
      <c r="L57" s="54">
        <f>SUMIF('sales plans'!$A:$A,$D57,'sales plans'!C:C)</f>
        <v>800</v>
      </c>
      <c r="M57" s="54">
        <f>SUMIF('sales plans'!$A:$A,$D57,'sales plans'!D:D)</f>
        <v>500</v>
      </c>
      <c r="N57" s="54">
        <f>SUMIF('sales plans'!$A:$A,$D57,'sales plans'!E:E)</f>
        <v>700</v>
      </c>
      <c r="O57" s="54">
        <f>SUMIF('sales plans'!$A:$A,$D57,'sales plans'!F:F)</f>
        <v>700</v>
      </c>
      <c r="P57" s="54">
        <f>SUM(prodeje[[#This Row],[BH family plán]:[LD tabák plán]])</f>
        <v>3700</v>
      </c>
      <c r="Q57" s="53">
        <f>prodeje[[#This Row],[Prodej celkem]]-prodeje[[#This Row],[Plán celkem]]</f>
        <v>29</v>
      </c>
    </row>
    <row r="58" spans="1:17" x14ac:dyDescent="0.25">
      <c r="A58" s="56">
        <v>44104</v>
      </c>
      <c r="B58" s="55">
        <v>2</v>
      </c>
      <c r="C58" s="55" t="s">
        <v>66</v>
      </c>
      <c r="D58" s="55" t="s">
        <v>18</v>
      </c>
      <c r="E58" s="51">
        <v>982</v>
      </c>
      <c r="F58" s="51">
        <v>791</v>
      </c>
      <c r="G58" s="51">
        <v>499</v>
      </c>
      <c r="H58" s="51">
        <v>695</v>
      </c>
      <c r="I58" s="51">
        <v>702</v>
      </c>
      <c r="J58" s="57">
        <f>SUM(prodeje[[#This Row],[BH family]:[LD tabák]])</f>
        <v>3669</v>
      </c>
      <c r="K58" s="54">
        <f>SUMIF('sales plans'!$A:$A,$D58,'sales plans'!B:B)</f>
        <v>1000</v>
      </c>
      <c r="L58" s="54">
        <f>SUMIF('sales plans'!$A:$A,$D58,'sales plans'!C:C)</f>
        <v>800</v>
      </c>
      <c r="M58" s="54">
        <f>SUMIF('sales plans'!$A:$A,$D58,'sales plans'!D:D)</f>
        <v>500</v>
      </c>
      <c r="N58" s="54">
        <f>SUMIF('sales plans'!$A:$A,$D58,'sales plans'!E:E)</f>
        <v>700</v>
      </c>
      <c r="O58" s="54">
        <f>SUMIF('sales plans'!$A:$A,$D58,'sales plans'!F:F)</f>
        <v>700</v>
      </c>
      <c r="P58" s="54">
        <f>SUM(prodeje[[#This Row],[BH family plán]:[LD tabák plán]])</f>
        <v>3700</v>
      </c>
      <c r="Q58" s="53">
        <f>prodeje[[#This Row],[Prodej celkem]]-prodeje[[#This Row],[Plán celkem]]</f>
        <v>-31</v>
      </c>
    </row>
    <row r="59" spans="1:17" x14ac:dyDescent="0.25">
      <c r="A59" s="56">
        <v>44135</v>
      </c>
      <c r="B59" s="55">
        <v>1</v>
      </c>
      <c r="C59" s="55" t="s">
        <v>0</v>
      </c>
      <c r="D59" s="55" t="s">
        <v>10</v>
      </c>
      <c r="E59" s="51"/>
      <c r="F59" s="51"/>
      <c r="G59" s="51"/>
      <c r="H59" s="51"/>
      <c r="I59" s="51"/>
      <c r="J59" s="57">
        <f>SUM(prodeje[[#This Row],[BH family]:[LD tabák]])</f>
        <v>0</v>
      </c>
      <c r="K59" s="54">
        <f>SUMIF('sales plans'!$A:$A,$D59,'sales plans'!B:B)</f>
        <v>1000</v>
      </c>
      <c r="L59" s="54">
        <f>SUMIF('sales plans'!$A:$A,$D59,'sales plans'!C:C)</f>
        <v>800</v>
      </c>
      <c r="M59" s="54">
        <f>SUMIF('sales plans'!$A:$A,$D59,'sales plans'!D:D)</f>
        <v>500</v>
      </c>
      <c r="N59" s="54">
        <f>SUMIF('sales plans'!$A:$A,$D59,'sales plans'!E:E)</f>
        <v>700</v>
      </c>
      <c r="O59" s="54">
        <f>SUMIF('sales plans'!$A:$A,$D59,'sales plans'!F:F)</f>
        <v>700</v>
      </c>
      <c r="P59" s="54">
        <f>SUM(prodeje[[#This Row],[BH family plán]:[LD tabák plán]])</f>
        <v>3700</v>
      </c>
      <c r="Q59" s="53">
        <f>prodeje[[#This Row],[Prodej celkem]]-prodeje[[#This Row],[Plán celkem]]</f>
        <v>-3700</v>
      </c>
    </row>
    <row r="60" spans="1:17" x14ac:dyDescent="0.25">
      <c r="A60" s="56">
        <v>44135</v>
      </c>
      <c r="B60" s="55">
        <v>1</v>
      </c>
      <c r="C60" s="55" t="s">
        <v>157</v>
      </c>
      <c r="D60" s="55" t="s">
        <v>2</v>
      </c>
      <c r="E60" s="51"/>
      <c r="F60" s="51"/>
      <c r="G60" s="51"/>
      <c r="H60" s="51"/>
      <c r="I60" s="51"/>
      <c r="J60" s="57">
        <f>SUM(prodeje[[#This Row],[BH family]:[LD tabák]])</f>
        <v>0</v>
      </c>
      <c r="K60" s="54">
        <f>SUMIF('sales plans'!$A:$A,$D60,'sales plans'!B:B)</f>
        <v>1000</v>
      </c>
      <c r="L60" s="54">
        <f>SUMIF('sales plans'!$A:$A,$D60,'sales plans'!C:C)</f>
        <v>800</v>
      </c>
      <c r="M60" s="54">
        <f>SUMIF('sales plans'!$A:$A,$D60,'sales plans'!D:D)</f>
        <v>500</v>
      </c>
      <c r="N60" s="54">
        <f>SUMIF('sales plans'!$A:$A,$D60,'sales plans'!E:E)</f>
        <v>700</v>
      </c>
      <c r="O60" s="54">
        <f>SUMIF('sales plans'!$A:$A,$D60,'sales plans'!F:F)</f>
        <v>700</v>
      </c>
      <c r="P60" s="54">
        <f>SUM(prodeje[[#This Row],[BH family plán]:[LD tabák plán]])</f>
        <v>3700</v>
      </c>
      <c r="Q60" s="53">
        <f>prodeje[[#This Row],[Prodej celkem]]-prodeje[[#This Row],[Plán celkem]]</f>
        <v>-3700</v>
      </c>
    </row>
    <row r="61" spans="1:17" x14ac:dyDescent="0.25">
      <c r="A61" s="56">
        <v>44135</v>
      </c>
      <c r="B61" s="55">
        <v>1</v>
      </c>
      <c r="C61" s="55" t="s">
        <v>160</v>
      </c>
      <c r="D61" s="55" t="s">
        <v>9</v>
      </c>
      <c r="E61" s="51"/>
      <c r="F61" s="51"/>
      <c r="G61" s="51"/>
      <c r="H61" s="51"/>
      <c r="I61" s="51"/>
      <c r="J61" s="57">
        <f>SUM(prodeje[[#This Row],[BH family]:[LD tabák]])</f>
        <v>0</v>
      </c>
      <c r="K61" s="54">
        <f>SUMIF('sales plans'!$A:$A,$D61,'sales plans'!B:B)</f>
        <v>1000</v>
      </c>
      <c r="L61" s="54">
        <f>SUMIF('sales plans'!$A:$A,$D61,'sales plans'!C:C)</f>
        <v>800</v>
      </c>
      <c r="M61" s="54">
        <f>SUMIF('sales plans'!$A:$A,$D61,'sales plans'!D:D)</f>
        <v>500</v>
      </c>
      <c r="N61" s="54">
        <f>SUMIF('sales plans'!$A:$A,$D61,'sales plans'!E:E)</f>
        <v>700</v>
      </c>
      <c r="O61" s="54">
        <f>SUMIF('sales plans'!$A:$A,$D61,'sales plans'!F:F)</f>
        <v>700</v>
      </c>
      <c r="P61" s="54">
        <f>SUM(prodeje[[#This Row],[BH family plán]:[LD tabák plán]])</f>
        <v>3700</v>
      </c>
      <c r="Q61" s="53">
        <f>prodeje[[#This Row],[Prodej celkem]]-prodeje[[#This Row],[Plán celkem]]</f>
        <v>-3700</v>
      </c>
    </row>
    <row r="62" spans="1:17" x14ac:dyDescent="0.25">
      <c r="A62" s="56">
        <v>44135</v>
      </c>
      <c r="B62" s="55">
        <v>0</v>
      </c>
      <c r="C62" s="55" t="s">
        <v>66</v>
      </c>
      <c r="D62" s="55" t="s">
        <v>18</v>
      </c>
      <c r="E62" s="51"/>
      <c r="F62" s="51"/>
      <c r="G62" s="51"/>
      <c r="H62" s="51"/>
      <c r="I62" s="51"/>
      <c r="J62" s="57">
        <f>SUM(prodeje[[#This Row],[BH family]:[LD tabák]])</f>
        <v>0</v>
      </c>
      <c r="K62" s="54">
        <f>SUMIF('sales plans'!$A:$A,$D62,'sales plans'!B:B)</f>
        <v>1000</v>
      </c>
      <c r="L62" s="54">
        <f>SUMIF('sales plans'!$A:$A,$D62,'sales plans'!C:C)</f>
        <v>800</v>
      </c>
      <c r="M62" s="54">
        <f>SUMIF('sales plans'!$A:$A,$D62,'sales plans'!D:D)</f>
        <v>500</v>
      </c>
      <c r="N62" s="54">
        <f>SUMIF('sales plans'!$A:$A,$D62,'sales plans'!E:E)</f>
        <v>700</v>
      </c>
      <c r="O62" s="54">
        <f>SUMIF('sales plans'!$A:$A,$D62,'sales plans'!F:F)</f>
        <v>700</v>
      </c>
      <c r="P62" s="54">
        <f>SUM(prodeje[[#This Row],[BH family plán]:[LD tabák plán]])</f>
        <v>3700</v>
      </c>
      <c r="Q62" s="53">
        <f>prodeje[[#This Row],[Prodej celkem]]-prodeje[[#This Row],[Plán celkem]]</f>
        <v>-3700</v>
      </c>
    </row>
    <row r="63" spans="1:17" x14ac:dyDescent="0.25">
      <c r="A63" s="56">
        <v>44135</v>
      </c>
      <c r="B63" s="55">
        <v>1</v>
      </c>
      <c r="C63" s="55" t="s">
        <v>159</v>
      </c>
      <c r="D63" s="55" t="s">
        <v>7</v>
      </c>
      <c r="E63" s="51"/>
      <c r="F63" s="51"/>
      <c r="G63" s="51"/>
      <c r="H63" s="51"/>
      <c r="I63" s="51"/>
      <c r="J63" s="57">
        <f>SUM(prodeje[[#This Row],[BH family]:[LD tabák]])</f>
        <v>0</v>
      </c>
      <c r="K63" s="54">
        <f>SUMIF('sales plans'!$A:$A,$D63,'sales plans'!B:B)</f>
        <v>1000</v>
      </c>
      <c r="L63" s="54">
        <f>SUMIF('sales plans'!$A:$A,$D63,'sales plans'!C:C)</f>
        <v>800</v>
      </c>
      <c r="M63" s="54">
        <f>SUMIF('sales plans'!$A:$A,$D63,'sales plans'!D:D)</f>
        <v>500</v>
      </c>
      <c r="N63" s="54">
        <f>SUMIF('sales plans'!$A:$A,$D63,'sales plans'!E:E)</f>
        <v>700</v>
      </c>
      <c r="O63" s="54">
        <f>SUMIF('sales plans'!$A:$A,$D63,'sales plans'!F:F)</f>
        <v>700</v>
      </c>
      <c r="P63" s="54">
        <f>SUM(prodeje[[#This Row],[BH family plán]:[LD tabák plán]])</f>
        <v>3700</v>
      </c>
      <c r="Q63" s="53">
        <f>prodeje[[#This Row],[Prodej celkem]]-prodeje[[#This Row],[Plán celkem]]</f>
        <v>-3700</v>
      </c>
    </row>
    <row r="64" spans="1:17" x14ac:dyDescent="0.25">
      <c r="A64" s="56">
        <v>44135</v>
      </c>
      <c r="B64" s="55">
        <v>1</v>
      </c>
      <c r="C64" s="55" t="s">
        <v>56</v>
      </c>
      <c r="D64" s="55" t="s">
        <v>6</v>
      </c>
      <c r="E64" s="51"/>
      <c r="F64" s="51"/>
      <c r="G64" s="51"/>
      <c r="H64" s="51"/>
      <c r="I64" s="51"/>
      <c r="J64" s="57">
        <f>SUM(prodeje[[#This Row],[BH family]:[LD tabák]])</f>
        <v>0</v>
      </c>
      <c r="K64" s="54">
        <f>SUMIF('sales plans'!$A:$A,$D64,'sales plans'!B:B)</f>
        <v>1000</v>
      </c>
      <c r="L64" s="54">
        <f>SUMIF('sales plans'!$A:$A,$D64,'sales plans'!C:C)</f>
        <v>800</v>
      </c>
      <c r="M64" s="54">
        <f>SUMIF('sales plans'!$A:$A,$D64,'sales plans'!D:D)</f>
        <v>500</v>
      </c>
      <c r="N64" s="54">
        <f>SUMIF('sales plans'!$A:$A,$D64,'sales plans'!E:E)</f>
        <v>700</v>
      </c>
      <c r="O64" s="54">
        <f>SUMIF('sales plans'!$A:$A,$D64,'sales plans'!F:F)</f>
        <v>700</v>
      </c>
      <c r="P64" s="54">
        <f>SUM(prodeje[[#This Row],[BH family plán]:[LD tabák plán]])</f>
        <v>3700</v>
      </c>
      <c r="Q64" s="53">
        <f>prodeje[[#This Row],[Prodej celkem]]-prodeje[[#This Row],[Plán celkem]]</f>
        <v>-3700</v>
      </c>
    </row>
    <row r="65" spans="1:17" x14ac:dyDescent="0.25">
      <c r="A65" s="56">
        <v>44135</v>
      </c>
      <c r="B65" s="55">
        <v>2</v>
      </c>
      <c r="C65" s="55" t="s">
        <v>1</v>
      </c>
      <c r="D65" s="55" t="s">
        <v>19</v>
      </c>
      <c r="E65" s="51"/>
      <c r="F65" s="51"/>
      <c r="G65" s="51"/>
      <c r="H65" s="51"/>
      <c r="I65" s="51"/>
      <c r="J65" s="57">
        <f>SUM(prodeje[[#This Row],[BH family]:[LD tabák]])</f>
        <v>0</v>
      </c>
      <c r="K65" s="54">
        <f>SUMIF('sales plans'!$A:$A,$D65,'sales plans'!B:B)</f>
        <v>1000</v>
      </c>
      <c r="L65" s="54">
        <f>SUMIF('sales plans'!$A:$A,$D65,'sales plans'!C:C)</f>
        <v>800</v>
      </c>
      <c r="M65" s="54">
        <f>SUMIF('sales plans'!$A:$A,$D65,'sales plans'!D:D)</f>
        <v>500</v>
      </c>
      <c r="N65" s="54">
        <f>SUMIF('sales plans'!$A:$A,$D65,'sales plans'!E:E)</f>
        <v>700</v>
      </c>
      <c r="O65" s="54">
        <f>SUMIF('sales plans'!$A:$A,$D65,'sales plans'!F:F)</f>
        <v>700</v>
      </c>
      <c r="P65" s="54">
        <f>SUM(prodeje[[#This Row],[BH family plán]:[LD tabák plán]])</f>
        <v>3700</v>
      </c>
      <c r="Q65" s="53">
        <f>prodeje[[#This Row],[Prodej celkem]]-prodeje[[#This Row],[Plán celkem]]</f>
        <v>-3700</v>
      </c>
    </row>
    <row r="66" spans="1:17" x14ac:dyDescent="0.25">
      <c r="A66" s="56">
        <v>44135</v>
      </c>
      <c r="B66" s="55">
        <v>1</v>
      </c>
      <c r="C66" s="55" t="s">
        <v>158</v>
      </c>
      <c r="D66" s="55" t="s">
        <v>3</v>
      </c>
      <c r="E66" s="51"/>
      <c r="F66" s="51"/>
      <c r="G66" s="51"/>
      <c r="H66" s="51"/>
      <c r="I66" s="51"/>
      <c r="J66" s="57">
        <f>SUM(prodeje[[#This Row],[BH family]:[LD tabák]])</f>
        <v>0</v>
      </c>
      <c r="K66" s="54">
        <f>SUMIF('sales plans'!$A:$A,$D66,'sales plans'!B:B)</f>
        <v>1000</v>
      </c>
      <c r="L66" s="54">
        <f>SUMIF('sales plans'!$A:$A,$D66,'sales plans'!C:C)</f>
        <v>800</v>
      </c>
      <c r="M66" s="54">
        <f>SUMIF('sales plans'!$A:$A,$D66,'sales plans'!D:D)</f>
        <v>500</v>
      </c>
      <c r="N66" s="54">
        <f>SUMIF('sales plans'!$A:$A,$D66,'sales plans'!E:E)</f>
        <v>700</v>
      </c>
      <c r="O66" s="54">
        <f>SUMIF('sales plans'!$A:$A,$D66,'sales plans'!F:F)</f>
        <v>700</v>
      </c>
      <c r="P66" s="54">
        <f>SUM(prodeje[[#This Row],[BH family plán]:[LD tabák plán]])</f>
        <v>3700</v>
      </c>
      <c r="Q66" s="53">
        <f>prodeje[[#This Row],[Prodej celkem]]-prodeje[[#This Row],[Plán celkem]]</f>
        <v>-3700</v>
      </c>
    </row>
    <row r="67" spans="1:17" x14ac:dyDescent="0.25">
      <c r="A67" s="56">
        <v>44135</v>
      </c>
      <c r="B67" s="55">
        <v>1</v>
      </c>
      <c r="C67" s="55" t="s">
        <v>55</v>
      </c>
      <c r="D67" s="55" t="s">
        <v>5</v>
      </c>
      <c r="E67" s="51"/>
      <c r="F67" s="51"/>
      <c r="G67" s="51"/>
      <c r="H67" s="51"/>
      <c r="I67" s="51"/>
      <c r="J67" s="57">
        <f>SUM(prodeje[[#This Row],[BH family]:[LD tabák]])</f>
        <v>0</v>
      </c>
      <c r="K67" s="54">
        <f>SUMIF('sales plans'!$A:$A,$D67,'sales plans'!B:B)</f>
        <v>1000</v>
      </c>
      <c r="L67" s="54">
        <f>SUMIF('sales plans'!$A:$A,$D67,'sales plans'!C:C)</f>
        <v>800</v>
      </c>
      <c r="M67" s="54">
        <f>SUMIF('sales plans'!$A:$A,$D67,'sales plans'!D:D)</f>
        <v>500</v>
      </c>
      <c r="N67" s="54">
        <f>SUMIF('sales plans'!$A:$A,$D67,'sales plans'!E:E)</f>
        <v>700</v>
      </c>
      <c r="O67" s="54">
        <f>SUMIF('sales plans'!$A:$A,$D67,'sales plans'!F:F)</f>
        <v>700</v>
      </c>
      <c r="P67" s="54">
        <f>SUM(prodeje[[#This Row],[BH family plán]:[LD tabák plán]])</f>
        <v>3700</v>
      </c>
      <c r="Q67" s="53">
        <f>prodeje[[#This Row],[Prodej celkem]]-prodeje[[#This Row],[Plán celkem]]</f>
        <v>-3700</v>
      </c>
    </row>
    <row r="68" spans="1:17" x14ac:dyDescent="0.25">
      <c r="A68" s="56">
        <v>44135</v>
      </c>
      <c r="B68" s="55">
        <v>2</v>
      </c>
      <c r="C68" s="55" t="s">
        <v>63</v>
      </c>
      <c r="D68" s="55" t="s">
        <v>15</v>
      </c>
      <c r="E68" s="51"/>
      <c r="F68" s="51"/>
      <c r="G68" s="51"/>
      <c r="H68" s="51"/>
      <c r="I68" s="51"/>
      <c r="J68" s="57">
        <f>SUM(prodeje[[#This Row],[BH family]:[LD tabák]])</f>
        <v>0</v>
      </c>
      <c r="K68" s="54">
        <f>SUMIF('sales plans'!$A:$A,$D68,'sales plans'!B:B)</f>
        <v>1000</v>
      </c>
      <c r="L68" s="54">
        <f>SUMIF('sales plans'!$A:$A,$D68,'sales plans'!C:C)</f>
        <v>800</v>
      </c>
      <c r="M68" s="54">
        <f>SUMIF('sales plans'!$A:$A,$D68,'sales plans'!D:D)</f>
        <v>500</v>
      </c>
      <c r="N68" s="54">
        <f>SUMIF('sales plans'!$A:$A,$D68,'sales plans'!E:E)</f>
        <v>700</v>
      </c>
      <c r="O68" s="54">
        <f>SUMIF('sales plans'!$A:$A,$D68,'sales plans'!F:F)</f>
        <v>700</v>
      </c>
      <c r="P68" s="54">
        <f>SUM(prodeje[[#This Row],[BH family plán]:[LD tabák plán]])</f>
        <v>3700</v>
      </c>
      <c r="Q68" s="53">
        <f>prodeje[[#This Row],[Prodej celkem]]-prodeje[[#This Row],[Plán celkem]]</f>
        <v>-3700</v>
      </c>
    </row>
    <row r="69" spans="1:17" x14ac:dyDescent="0.25">
      <c r="A69" s="56">
        <v>44135</v>
      </c>
      <c r="B69" s="55">
        <v>2</v>
      </c>
      <c r="C69" s="55" t="s">
        <v>64</v>
      </c>
      <c r="D69" s="55" t="s">
        <v>16</v>
      </c>
      <c r="E69" s="51"/>
      <c r="F69" s="51"/>
      <c r="G69" s="51"/>
      <c r="H69" s="51"/>
      <c r="I69" s="51"/>
      <c r="J69" s="57">
        <f>SUM(prodeje[[#This Row],[BH family]:[LD tabák]])</f>
        <v>0</v>
      </c>
      <c r="K69" s="54">
        <f>SUMIF('sales plans'!$A:$A,$D69,'sales plans'!B:B)</f>
        <v>1000</v>
      </c>
      <c r="L69" s="54">
        <f>SUMIF('sales plans'!$A:$A,$D69,'sales plans'!C:C)</f>
        <v>800</v>
      </c>
      <c r="M69" s="54">
        <f>SUMIF('sales plans'!$A:$A,$D69,'sales plans'!D:D)</f>
        <v>500</v>
      </c>
      <c r="N69" s="54">
        <f>SUMIF('sales plans'!$A:$A,$D69,'sales plans'!E:E)</f>
        <v>700</v>
      </c>
      <c r="O69" s="54">
        <f>SUMIF('sales plans'!$A:$A,$D69,'sales plans'!F:F)</f>
        <v>700</v>
      </c>
      <c r="P69" s="54">
        <f>SUM(prodeje[[#This Row],[BH family plán]:[LD tabák plán]])</f>
        <v>3700</v>
      </c>
      <c r="Q69" s="53">
        <f>prodeje[[#This Row],[Prodej celkem]]-prodeje[[#This Row],[Plán celkem]]</f>
        <v>-3700</v>
      </c>
    </row>
    <row r="70" spans="1:17" x14ac:dyDescent="0.25">
      <c r="A70" s="56">
        <v>44135</v>
      </c>
      <c r="B70" s="55">
        <v>1</v>
      </c>
      <c r="C70" s="55" t="s">
        <v>58</v>
      </c>
      <c r="D70" s="55" t="s">
        <v>8</v>
      </c>
      <c r="E70" s="51"/>
      <c r="F70" s="51"/>
      <c r="G70" s="51"/>
      <c r="H70" s="51"/>
      <c r="I70" s="51"/>
      <c r="J70" s="57">
        <f>SUM(prodeje[[#This Row],[BH family]:[LD tabák]])</f>
        <v>0</v>
      </c>
      <c r="K70" s="54">
        <f>SUMIF('sales plans'!$A:$A,$D70,'sales plans'!B:B)</f>
        <v>1000</v>
      </c>
      <c r="L70" s="54">
        <f>SUMIF('sales plans'!$A:$A,$D70,'sales plans'!C:C)</f>
        <v>800</v>
      </c>
      <c r="M70" s="54">
        <f>SUMIF('sales plans'!$A:$A,$D70,'sales plans'!D:D)</f>
        <v>500</v>
      </c>
      <c r="N70" s="54">
        <f>SUMIF('sales plans'!$A:$A,$D70,'sales plans'!E:E)</f>
        <v>700</v>
      </c>
      <c r="O70" s="54">
        <f>SUMIF('sales plans'!$A:$A,$D70,'sales plans'!F:F)</f>
        <v>700</v>
      </c>
      <c r="P70" s="54">
        <f>SUM(prodeje[[#This Row],[BH family plán]:[LD tabák plán]])</f>
        <v>3700</v>
      </c>
      <c r="Q70" s="53">
        <f>prodeje[[#This Row],[Prodej celkem]]-prodeje[[#This Row],[Plán celkem]]</f>
        <v>-3700</v>
      </c>
    </row>
    <row r="71" spans="1:17" x14ac:dyDescent="0.25">
      <c r="A71" s="56">
        <v>44135</v>
      </c>
      <c r="B71" s="55">
        <v>2</v>
      </c>
      <c r="C71" s="55" t="s">
        <v>61</v>
      </c>
      <c r="D71" s="55" t="s">
        <v>13</v>
      </c>
      <c r="E71" s="51"/>
      <c r="F71" s="51"/>
      <c r="G71" s="51"/>
      <c r="H71" s="51"/>
      <c r="I71" s="51"/>
      <c r="J71" s="57">
        <f>SUM(prodeje[[#This Row],[BH family]:[LD tabák]])</f>
        <v>0</v>
      </c>
      <c r="K71" s="54">
        <f>SUMIF('sales plans'!$A:$A,$D71,'sales plans'!B:B)</f>
        <v>1000</v>
      </c>
      <c r="L71" s="54">
        <f>SUMIF('sales plans'!$A:$A,$D71,'sales plans'!C:C)</f>
        <v>800</v>
      </c>
      <c r="M71" s="54">
        <f>SUMIF('sales plans'!$A:$A,$D71,'sales plans'!D:D)</f>
        <v>500</v>
      </c>
      <c r="N71" s="54">
        <f>SUMIF('sales plans'!$A:$A,$D71,'sales plans'!E:E)</f>
        <v>700</v>
      </c>
      <c r="O71" s="54">
        <f>SUMIF('sales plans'!$A:$A,$D71,'sales plans'!F:F)</f>
        <v>700</v>
      </c>
      <c r="P71" s="54">
        <f>SUM(prodeje[[#This Row],[BH family plán]:[LD tabák plán]])</f>
        <v>3700</v>
      </c>
      <c r="Q71" s="53">
        <f>prodeje[[#This Row],[Prodej celkem]]-prodeje[[#This Row],[Plán celkem]]</f>
        <v>-3700</v>
      </c>
    </row>
    <row r="72" spans="1:17" x14ac:dyDescent="0.25">
      <c r="A72" s="56">
        <v>44135</v>
      </c>
      <c r="B72" s="55">
        <v>1</v>
      </c>
      <c r="C72" s="55" t="s">
        <v>54</v>
      </c>
      <c r="D72" s="55" t="s">
        <v>4</v>
      </c>
      <c r="E72" s="51"/>
      <c r="F72" s="51"/>
      <c r="G72" s="51"/>
      <c r="H72" s="51"/>
      <c r="I72" s="51"/>
      <c r="J72" s="57">
        <f>SUM(prodeje[[#This Row],[BH family]:[LD tabák]])</f>
        <v>0</v>
      </c>
      <c r="K72" s="54">
        <f>SUMIF('sales plans'!$A:$A,$D72,'sales plans'!B:B)</f>
        <v>1000</v>
      </c>
      <c r="L72" s="54">
        <f>SUMIF('sales plans'!$A:$A,$D72,'sales plans'!C:C)</f>
        <v>800</v>
      </c>
      <c r="M72" s="54">
        <f>SUMIF('sales plans'!$A:$A,$D72,'sales plans'!D:D)</f>
        <v>500</v>
      </c>
      <c r="N72" s="54">
        <f>SUMIF('sales plans'!$A:$A,$D72,'sales plans'!E:E)</f>
        <v>700</v>
      </c>
      <c r="O72" s="54">
        <f>SUMIF('sales plans'!$A:$A,$D72,'sales plans'!F:F)</f>
        <v>700</v>
      </c>
      <c r="P72" s="54">
        <f>SUM(prodeje[[#This Row],[BH family plán]:[LD tabák plán]])</f>
        <v>3700</v>
      </c>
      <c r="Q72" s="53">
        <f>prodeje[[#This Row],[Prodej celkem]]-prodeje[[#This Row],[Plán celkem]]</f>
        <v>-3700</v>
      </c>
    </row>
    <row r="73" spans="1:17" x14ac:dyDescent="0.25">
      <c r="A73" s="56">
        <v>44135</v>
      </c>
      <c r="B73" s="55">
        <v>2</v>
      </c>
      <c r="C73" s="55" t="s">
        <v>60</v>
      </c>
      <c r="D73" s="55" t="s">
        <v>12</v>
      </c>
      <c r="E73" s="51"/>
      <c r="F73" s="51"/>
      <c r="G73" s="51"/>
      <c r="H73" s="51"/>
      <c r="I73" s="51"/>
      <c r="J73" s="57">
        <f>SUM(prodeje[[#This Row],[BH family]:[LD tabák]])</f>
        <v>0</v>
      </c>
      <c r="K73" s="54">
        <f>SUMIF('sales plans'!$A:$A,$D73,'sales plans'!B:B)</f>
        <v>1000</v>
      </c>
      <c r="L73" s="54">
        <f>SUMIF('sales plans'!$A:$A,$D73,'sales plans'!C:C)</f>
        <v>800</v>
      </c>
      <c r="M73" s="54">
        <f>SUMIF('sales plans'!$A:$A,$D73,'sales plans'!D:D)</f>
        <v>500</v>
      </c>
      <c r="N73" s="54">
        <f>SUMIF('sales plans'!$A:$A,$D73,'sales plans'!E:E)</f>
        <v>700</v>
      </c>
      <c r="O73" s="54">
        <f>SUMIF('sales plans'!$A:$A,$D73,'sales plans'!F:F)</f>
        <v>700</v>
      </c>
      <c r="P73" s="54">
        <f>SUM(prodeje[[#This Row],[BH family plán]:[LD tabák plán]])</f>
        <v>3700</v>
      </c>
      <c r="Q73" s="53">
        <f>prodeje[[#This Row],[Prodej celkem]]-prodeje[[#This Row],[Plán celkem]]</f>
        <v>-3700</v>
      </c>
    </row>
    <row r="74" spans="1:17" x14ac:dyDescent="0.25">
      <c r="A74" s="56">
        <v>44135</v>
      </c>
      <c r="B74" s="55">
        <v>2</v>
      </c>
      <c r="C74" s="55" t="s">
        <v>62</v>
      </c>
      <c r="D74" s="55" t="s">
        <v>14</v>
      </c>
      <c r="E74" s="51"/>
      <c r="F74" s="51"/>
      <c r="G74" s="51"/>
      <c r="H74" s="51"/>
      <c r="I74" s="51"/>
      <c r="J74" s="57">
        <f>SUM(prodeje[[#This Row],[BH family]:[LD tabák]])</f>
        <v>0</v>
      </c>
      <c r="K74" s="54">
        <f>SUMIF('sales plans'!$A:$A,$D74,'sales plans'!B:B)</f>
        <v>1000</v>
      </c>
      <c r="L74" s="54">
        <f>SUMIF('sales plans'!$A:$A,$D74,'sales plans'!C:C)</f>
        <v>800</v>
      </c>
      <c r="M74" s="54">
        <f>SUMIF('sales plans'!$A:$A,$D74,'sales plans'!D:D)</f>
        <v>500</v>
      </c>
      <c r="N74" s="54">
        <f>SUMIF('sales plans'!$A:$A,$D74,'sales plans'!E:E)</f>
        <v>700</v>
      </c>
      <c r="O74" s="54">
        <f>SUMIF('sales plans'!$A:$A,$D74,'sales plans'!F:F)</f>
        <v>700</v>
      </c>
      <c r="P74" s="54">
        <f>SUM(prodeje[[#This Row],[BH family plán]:[LD tabák plán]])</f>
        <v>3700</v>
      </c>
      <c r="Q74" s="53">
        <f>prodeje[[#This Row],[Prodej celkem]]-prodeje[[#This Row],[Plán celkem]]</f>
        <v>-3700</v>
      </c>
    </row>
    <row r="75" spans="1:17" x14ac:dyDescent="0.25">
      <c r="A75" s="56">
        <v>44135</v>
      </c>
      <c r="B75" s="55">
        <v>2</v>
      </c>
      <c r="C75" s="55" t="s">
        <v>161</v>
      </c>
      <c r="D75" s="55" t="s">
        <v>11</v>
      </c>
      <c r="E75" s="51"/>
      <c r="F75" s="51"/>
      <c r="G75" s="51"/>
      <c r="H75" s="51"/>
      <c r="I75" s="51"/>
      <c r="J75" s="57">
        <f>SUM(prodeje[[#This Row],[BH family]:[LD tabák]])</f>
        <v>0</v>
      </c>
      <c r="K75" s="54">
        <f>SUMIF('sales plans'!$A:$A,$D75,'sales plans'!B:B)</f>
        <v>1000</v>
      </c>
      <c r="L75" s="54">
        <f>SUMIF('sales plans'!$A:$A,$D75,'sales plans'!C:C)</f>
        <v>800</v>
      </c>
      <c r="M75" s="54">
        <f>SUMIF('sales plans'!$A:$A,$D75,'sales plans'!D:D)</f>
        <v>500</v>
      </c>
      <c r="N75" s="54">
        <f>SUMIF('sales plans'!$A:$A,$D75,'sales plans'!E:E)</f>
        <v>700</v>
      </c>
      <c r="O75" s="54">
        <f>SUMIF('sales plans'!$A:$A,$D75,'sales plans'!F:F)</f>
        <v>700</v>
      </c>
      <c r="P75" s="54">
        <f>SUM(prodeje[[#This Row],[BH family plán]:[LD tabák plán]])</f>
        <v>3700</v>
      </c>
      <c r="Q75" s="53">
        <f>prodeje[[#This Row],[Prodej celkem]]-prodeje[[#This Row],[Plán celkem]]</f>
        <v>-3700</v>
      </c>
    </row>
    <row r="76" spans="1:17" x14ac:dyDescent="0.25">
      <c r="A76" s="56">
        <v>44135</v>
      </c>
      <c r="B76" s="55">
        <v>2</v>
      </c>
      <c r="C76" s="55" t="s">
        <v>65</v>
      </c>
      <c r="D76" s="55" t="s">
        <v>17</v>
      </c>
      <c r="E76" s="51"/>
      <c r="F76" s="51"/>
      <c r="G76" s="51"/>
      <c r="H76" s="51"/>
      <c r="I76" s="51"/>
      <c r="J76" s="57">
        <f>SUM(prodeje[[#This Row],[BH family]:[LD tabák]])</f>
        <v>0</v>
      </c>
      <c r="K76" s="54">
        <f>SUMIF('sales plans'!$A:$A,$D76,'sales plans'!B:B)</f>
        <v>1000</v>
      </c>
      <c r="L76" s="54">
        <f>SUMIF('sales plans'!$A:$A,$D76,'sales plans'!C:C)</f>
        <v>800</v>
      </c>
      <c r="M76" s="54">
        <f>SUMIF('sales plans'!$A:$A,$D76,'sales plans'!D:D)</f>
        <v>500</v>
      </c>
      <c r="N76" s="54">
        <f>SUMIF('sales plans'!$A:$A,$D76,'sales plans'!E:E)</f>
        <v>700</v>
      </c>
      <c r="O76" s="54">
        <f>SUMIF('sales plans'!$A:$A,$D76,'sales plans'!F:F)</f>
        <v>700</v>
      </c>
      <c r="P76" s="54">
        <f>SUM(prodeje[[#This Row],[BH family plán]:[LD tabák plán]])</f>
        <v>3700</v>
      </c>
      <c r="Q76" s="53">
        <f>prodeje[[#This Row],[Prodej celkem]]-prodeje[[#This Row],[Plán celkem]]</f>
        <v>-3700</v>
      </c>
    </row>
    <row r="77" spans="1:17" x14ac:dyDescent="0.25">
      <c r="A77" s="56">
        <v>44135</v>
      </c>
      <c r="B77" s="55">
        <v>2</v>
      </c>
      <c r="C77" s="55" t="s">
        <v>66</v>
      </c>
      <c r="D77" s="55" t="s">
        <v>18</v>
      </c>
      <c r="E77" s="51"/>
      <c r="F77" s="51"/>
      <c r="G77" s="51"/>
      <c r="H77" s="51"/>
      <c r="I77" s="51"/>
      <c r="J77" s="57">
        <f>SUM(prodeje[[#This Row],[BH family]:[LD tabák]])</f>
        <v>0</v>
      </c>
      <c r="K77" s="54">
        <f>SUMIF('sales plans'!$A:$A,$D77,'sales plans'!B:B)</f>
        <v>1000</v>
      </c>
      <c r="L77" s="54">
        <f>SUMIF('sales plans'!$A:$A,$D77,'sales plans'!C:C)</f>
        <v>800</v>
      </c>
      <c r="M77" s="54">
        <f>SUMIF('sales plans'!$A:$A,$D77,'sales plans'!D:D)</f>
        <v>500</v>
      </c>
      <c r="N77" s="54">
        <f>SUMIF('sales plans'!$A:$A,$D77,'sales plans'!E:E)</f>
        <v>700</v>
      </c>
      <c r="O77" s="54">
        <f>SUMIF('sales plans'!$A:$A,$D77,'sales plans'!F:F)</f>
        <v>700</v>
      </c>
      <c r="P77" s="54">
        <f>SUM(prodeje[[#This Row],[BH family plán]:[LD tabák plán]])</f>
        <v>3700</v>
      </c>
      <c r="Q77" s="53">
        <f>prodeje[[#This Row],[Prodej celkem]]-prodeje[[#This Row],[Plán celkem]]</f>
        <v>-3700</v>
      </c>
    </row>
  </sheetData>
  <sheetProtection sort="0" autoFilter="0"/>
  <protectedRanges>
    <protectedRange algorithmName="SHA-512" hashValue="nwJXRvxuC4zIkmBM81z6CMhDGEERm3uKSqaA5UbkuQt4gKq0dzhzMMJnClPmziZNOnMnPyctSbBKncOucBN/Ig==" saltValue="6miLufFyMFeRftz3fJq1PA==" spinCount="100000" sqref="K1:P1048576" name="Plán"/>
  </protectedRanges>
  <phoneticPr fontId="2" type="noConversion"/>
  <conditionalFormatting sqref="Q1:Q1048576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7246-3A20-4443-9162-4B8DCFE38E37}">
  <sheetPr>
    <tabColor rgb="FFFFFF00"/>
  </sheetPr>
  <dimension ref="A1:F19"/>
  <sheetViews>
    <sheetView zoomScale="85" zoomScaleNormal="85" workbookViewId="0">
      <selection sqref="A1:A1048576"/>
    </sheetView>
  </sheetViews>
  <sheetFormatPr defaultRowHeight="15" x14ac:dyDescent="0.25"/>
  <cols>
    <col min="1" max="1" width="22.85546875" bestFit="1" customWidth="1"/>
    <col min="2" max="2" width="25.5703125" customWidth="1"/>
    <col min="3" max="3" width="21.7109375" customWidth="1"/>
    <col min="4" max="4" width="21.5703125" style="44" bestFit="1" customWidth="1"/>
    <col min="5" max="5" width="14.7109375" customWidth="1"/>
    <col min="6" max="6" width="11.28515625" customWidth="1"/>
    <col min="7" max="7" width="16.7109375" customWidth="1"/>
    <col min="8" max="8" width="10.5703125" customWidth="1"/>
  </cols>
  <sheetData>
    <row r="1" spans="1:6" x14ac:dyDescent="0.25">
      <c r="A1" t="s">
        <v>20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5">
      <c r="A2" t="s">
        <v>18</v>
      </c>
      <c r="B2">
        <v>1000</v>
      </c>
      <c r="C2">
        <v>800</v>
      </c>
      <c r="D2">
        <v>500</v>
      </c>
      <c r="E2">
        <v>700</v>
      </c>
      <c r="F2">
        <v>700</v>
      </c>
    </row>
    <row r="3" spans="1:6" x14ac:dyDescent="0.25">
      <c r="A3" t="s">
        <v>7</v>
      </c>
      <c r="B3">
        <v>1000</v>
      </c>
      <c r="C3">
        <v>800</v>
      </c>
      <c r="D3">
        <v>500</v>
      </c>
      <c r="E3">
        <v>700</v>
      </c>
      <c r="F3">
        <v>700</v>
      </c>
    </row>
    <row r="4" spans="1:6" x14ac:dyDescent="0.25">
      <c r="A4" t="s">
        <v>2</v>
      </c>
      <c r="B4">
        <v>1000</v>
      </c>
      <c r="C4">
        <v>800</v>
      </c>
      <c r="D4">
        <v>500</v>
      </c>
      <c r="E4">
        <v>700</v>
      </c>
      <c r="F4">
        <v>700</v>
      </c>
    </row>
    <row r="5" spans="1:6" x14ac:dyDescent="0.25">
      <c r="A5" t="s">
        <v>6</v>
      </c>
      <c r="B5">
        <v>1000</v>
      </c>
      <c r="C5">
        <v>800</v>
      </c>
      <c r="D5">
        <v>500</v>
      </c>
      <c r="E5">
        <v>700</v>
      </c>
      <c r="F5">
        <v>700</v>
      </c>
    </row>
    <row r="6" spans="1:6" x14ac:dyDescent="0.25">
      <c r="A6" t="s">
        <v>10</v>
      </c>
      <c r="B6">
        <v>1000</v>
      </c>
      <c r="C6">
        <v>800</v>
      </c>
      <c r="D6">
        <v>500</v>
      </c>
      <c r="E6">
        <v>700</v>
      </c>
      <c r="F6">
        <v>700</v>
      </c>
    </row>
    <row r="7" spans="1:6" x14ac:dyDescent="0.25">
      <c r="A7" t="s">
        <v>3</v>
      </c>
      <c r="B7">
        <v>1000</v>
      </c>
      <c r="C7">
        <v>800</v>
      </c>
      <c r="D7">
        <v>500</v>
      </c>
      <c r="E7">
        <v>700</v>
      </c>
      <c r="F7">
        <v>700</v>
      </c>
    </row>
    <row r="8" spans="1:6" x14ac:dyDescent="0.25">
      <c r="A8" t="s">
        <v>5</v>
      </c>
      <c r="B8">
        <v>1000</v>
      </c>
      <c r="C8">
        <v>800</v>
      </c>
      <c r="D8">
        <v>500</v>
      </c>
      <c r="E8">
        <v>700</v>
      </c>
      <c r="F8">
        <v>700</v>
      </c>
    </row>
    <row r="9" spans="1:6" x14ac:dyDescent="0.25">
      <c r="A9" t="s">
        <v>9</v>
      </c>
      <c r="B9">
        <v>1000</v>
      </c>
      <c r="C9">
        <v>800</v>
      </c>
      <c r="D9">
        <v>500</v>
      </c>
      <c r="E9">
        <v>700</v>
      </c>
      <c r="F9">
        <v>700</v>
      </c>
    </row>
    <row r="10" spans="1:6" x14ac:dyDescent="0.25">
      <c r="A10" t="s">
        <v>8</v>
      </c>
      <c r="B10">
        <v>1000</v>
      </c>
      <c r="C10">
        <v>800</v>
      </c>
      <c r="D10">
        <v>500</v>
      </c>
      <c r="E10">
        <v>700</v>
      </c>
      <c r="F10">
        <v>700</v>
      </c>
    </row>
    <row r="11" spans="1:6" x14ac:dyDescent="0.25">
      <c r="A11" t="s">
        <v>4</v>
      </c>
      <c r="B11">
        <v>1000</v>
      </c>
      <c r="C11">
        <v>800</v>
      </c>
      <c r="D11">
        <v>500</v>
      </c>
      <c r="E11">
        <v>700</v>
      </c>
      <c r="F11">
        <v>700</v>
      </c>
    </row>
    <row r="12" spans="1:6" x14ac:dyDescent="0.25">
      <c r="A12" t="s">
        <v>19</v>
      </c>
      <c r="B12">
        <v>1000</v>
      </c>
      <c r="C12">
        <v>800</v>
      </c>
      <c r="D12">
        <v>500</v>
      </c>
      <c r="E12">
        <v>700</v>
      </c>
      <c r="F12">
        <v>700</v>
      </c>
    </row>
    <row r="13" spans="1:6" x14ac:dyDescent="0.25">
      <c r="A13" t="s">
        <v>15</v>
      </c>
      <c r="B13">
        <v>1000</v>
      </c>
      <c r="C13">
        <v>800</v>
      </c>
      <c r="D13">
        <v>500</v>
      </c>
      <c r="E13">
        <v>700</v>
      </c>
      <c r="F13">
        <v>700</v>
      </c>
    </row>
    <row r="14" spans="1:6" x14ac:dyDescent="0.25">
      <c r="A14" t="s">
        <v>16</v>
      </c>
      <c r="B14">
        <v>1000</v>
      </c>
      <c r="C14">
        <v>800</v>
      </c>
      <c r="D14">
        <v>500</v>
      </c>
      <c r="E14">
        <v>700</v>
      </c>
      <c r="F14">
        <v>700</v>
      </c>
    </row>
    <row r="15" spans="1:6" x14ac:dyDescent="0.25">
      <c r="A15" t="s">
        <v>13</v>
      </c>
      <c r="B15">
        <v>1000</v>
      </c>
      <c r="C15">
        <v>800</v>
      </c>
      <c r="D15">
        <v>500</v>
      </c>
      <c r="E15">
        <v>700</v>
      </c>
      <c r="F15">
        <v>700</v>
      </c>
    </row>
    <row r="16" spans="1:6" x14ac:dyDescent="0.25">
      <c r="A16" t="s">
        <v>12</v>
      </c>
      <c r="B16">
        <v>1000</v>
      </c>
      <c r="C16">
        <v>800</v>
      </c>
      <c r="D16">
        <v>500</v>
      </c>
      <c r="E16">
        <v>700</v>
      </c>
      <c r="F16">
        <v>700</v>
      </c>
    </row>
    <row r="17" spans="1:6" x14ac:dyDescent="0.25">
      <c r="A17" t="s">
        <v>14</v>
      </c>
      <c r="B17">
        <v>1000</v>
      </c>
      <c r="C17">
        <v>800</v>
      </c>
      <c r="D17">
        <v>500</v>
      </c>
      <c r="E17">
        <v>700</v>
      </c>
      <c r="F17">
        <v>700</v>
      </c>
    </row>
    <row r="18" spans="1:6" x14ac:dyDescent="0.25">
      <c r="A18" t="s">
        <v>11</v>
      </c>
      <c r="B18">
        <v>1000</v>
      </c>
      <c r="C18">
        <v>800</v>
      </c>
      <c r="D18">
        <v>500</v>
      </c>
      <c r="E18">
        <v>700</v>
      </c>
      <c r="F18">
        <v>700</v>
      </c>
    </row>
    <row r="19" spans="1:6" x14ac:dyDescent="0.25">
      <c r="A19" t="s">
        <v>17</v>
      </c>
      <c r="B19">
        <v>1000</v>
      </c>
      <c r="C19">
        <v>800</v>
      </c>
      <c r="D19">
        <v>500</v>
      </c>
      <c r="E19">
        <v>700</v>
      </c>
      <c r="F19">
        <v>700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EDF7-4177-411E-9B4E-9DE5503350F5}">
  <sheetPr>
    <tabColor rgb="FFFFFF00"/>
  </sheetPr>
  <dimension ref="A1:D19"/>
  <sheetViews>
    <sheetView zoomScale="145" zoomScaleNormal="145" workbookViewId="0">
      <selection activeCell="B8" sqref="B8"/>
    </sheetView>
  </sheetViews>
  <sheetFormatPr defaultRowHeight="15" x14ac:dyDescent="0.25"/>
  <cols>
    <col min="1" max="1" width="21.5703125" bestFit="1" customWidth="1"/>
    <col min="2" max="2" width="26.42578125" bestFit="1" customWidth="1"/>
    <col min="3" max="3" width="39.140625" customWidth="1"/>
    <col min="4" max="4" width="24.5703125" customWidth="1"/>
  </cols>
  <sheetData>
    <row r="1" spans="1:4" x14ac:dyDescent="0.25">
      <c r="A1" t="s">
        <v>20</v>
      </c>
      <c r="B1" t="s">
        <v>172</v>
      </c>
      <c r="C1" t="s">
        <v>173</v>
      </c>
      <c r="D1" t="s">
        <v>171</v>
      </c>
    </row>
    <row r="2" spans="1:4" x14ac:dyDescent="0.25">
      <c r="A2" t="s">
        <v>18</v>
      </c>
      <c r="B2">
        <f>SUMIF(sales!D:D,A2,sales!E:E)</f>
        <v>5990</v>
      </c>
      <c r="C2" t="e">
        <f>SUMIF(sales!D:D,analyza[[#This Row],[Employee]],sales!#REF!)</f>
        <v>#REF!</v>
      </c>
      <c r="D2" t="e">
        <f>analyza[[#This Row],[prodeje celkem BH family]]-analyza[[#This Row],[plan BH family]]</f>
        <v>#REF!</v>
      </c>
    </row>
    <row r="3" spans="1:4" x14ac:dyDescent="0.25">
      <c r="A3" t="s">
        <v>7</v>
      </c>
      <c r="B3">
        <f>SUMIF(sales!D:D,A3,sales!E:E)</f>
        <v>2948</v>
      </c>
      <c r="C3" t="e">
        <f>SUMIF(sales!D:D,analyza[[#This Row],[Employee]],sales!#REF!)</f>
        <v>#REF!</v>
      </c>
      <c r="D3" t="e">
        <f>analyza[[#This Row],[prodeje celkem BH family]]-analyza[[#This Row],[plan BH family]]</f>
        <v>#REF!</v>
      </c>
    </row>
    <row r="4" spans="1:4" x14ac:dyDescent="0.25">
      <c r="A4" t="s">
        <v>2</v>
      </c>
      <c r="B4">
        <f>SUMIF(sales!D:D,A4,sales!E:E)</f>
        <v>2992</v>
      </c>
      <c r="C4" t="e">
        <f>SUMIF(sales!D:D,analyza[[#This Row],[Employee]],sales!#REF!)</f>
        <v>#REF!</v>
      </c>
      <c r="D4" t="e">
        <f>analyza[[#This Row],[prodeje celkem BH family]]-analyza[[#This Row],[plan BH family]]</f>
        <v>#REF!</v>
      </c>
    </row>
    <row r="5" spans="1:4" x14ac:dyDescent="0.25">
      <c r="A5" t="s">
        <v>6</v>
      </c>
      <c r="B5">
        <f>SUMIF(sales!D:D,A5,sales!E:E)</f>
        <v>3132</v>
      </c>
      <c r="C5" t="e">
        <f>SUMIF(sales!D:D,analyza[[#This Row],[Employee]],sales!#REF!)</f>
        <v>#REF!</v>
      </c>
      <c r="D5" t="e">
        <f>analyza[[#This Row],[prodeje celkem BH family]]-analyza[[#This Row],[plan BH family]]</f>
        <v>#REF!</v>
      </c>
    </row>
    <row r="6" spans="1:4" x14ac:dyDescent="0.25">
      <c r="A6" t="s">
        <v>10</v>
      </c>
      <c r="B6">
        <f>SUMIF(sales!D:D,A6,sales!E:E)</f>
        <v>2864</v>
      </c>
      <c r="C6" t="e">
        <f>SUMIF(sales!D:D,analyza[[#This Row],[Employee]],sales!#REF!)</f>
        <v>#REF!</v>
      </c>
      <c r="D6" t="e">
        <f>analyza[[#This Row],[prodeje celkem BH family]]-analyza[[#This Row],[plan BH family]]</f>
        <v>#REF!</v>
      </c>
    </row>
    <row r="7" spans="1:4" x14ac:dyDescent="0.25">
      <c r="A7" t="s">
        <v>3</v>
      </c>
      <c r="B7">
        <f>SUMIF(sales!D:D,A7,sales!E:E)</f>
        <v>2918</v>
      </c>
      <c r="C7" t="e">
        <f>SUMIF(sales!D:D,analyza[[#This Row],[Employee]],sales!#REF!)</f>
        <v>#REF!</v>
      </c>
      <c r="D7" t="e">
        <f>analyza[[#This Row],[prodeje celkem BH family]]-analyza[[#This Row],[plan BH family]]</f>
        <v>#REF!</v>
      </c>
    </row>
    <row r="8" spans="1:4" x14ac:dyDescent="0.25">
      <c r="A8" t="s">
        <v>5</v>
      </c>
      <c r="B8">
        <f>SUMIF(sales!D:D,A8,sales!E:E)</f>
        <v>2736</v>
      </c>
      <c r="C8" t="e">
        <f>SUMIF(sales!D:D,analyza[[#This Row],[Employee]],sales!#REF!)</f>
        <v>#REF!</v>
      </c>
      <c r="D8" t="e">
        <f>analyza[[#This Row],[prodeje celkem BH family]]-analyza[[#This Row],[plan BH family]]</f>
        <v>#REF!</v>
      </c>
    </row>
    <row r="9" spans="1:4" x14ac:dyDescent="0.25">
      <c r="A9" t="s">
        <v>9</v>
      </c>
      <c r="B9">
        <f>SUMIF(sales!D:D,A9,sales!E:E)</f>
        <v>2803</v>
      </c>
      <c r="C9" t="e">
        <f>SUMIF(sales!D:D,analyza[[#This Row],[Employee]],sales!#REF!)</f>
        <v>#REF!</v>
      </c>
      <c r="D9" t="e">
        <f>analyza[[#This Row],[prodeje celkem BH family]]-analyza[[#This Row],[plan BH family]]</f>
        <v>#REF!</v>
      </c>
    </row>
    <row r="10" spans="1:4" x14ac:dyDescent="0.25">
      <c r="A10" t="s">
        <v>8</v>
      </c>
      <c r="B10">
        <f>SUMIF(sales!D:D,A10,sales!E:E)</f>
        <v>2926</v>
      </c>
      <c r="C10" t="e">
        <f>SUMIF(sales!D:D,analyza[[#This Row],[Employee]],sales!#REF!)</f>
        <v>#REF!</v>
      </c>
      <c r="D10" t="e">
        <f>analyza[[#This Row],[prodeje celkem BH family]]-analyza[[#This Row],[plan BH family]]</f>
        <v>#REF!</v>
      </c>
    </row>
    <row r="11" spans="1:4" x14ac:dyDescent="0.25">
      <c r="A11" t="s">
        <v>4</v>
      </c>
      <c r="B11">
        <f>SUMIF(sales!D:D,A11,sales!E:E)</f>
        <v>2880</v>
      </c>
      <c r="C11" t="e">
        <f>SUMIF(sales!D:D,analyza[[#This Row],[Employee]],sales!#REF!)</f>
        <v>#REF!</v>
      </c>
      <c r="D11" t="e">
        <f>analyza[[#This Row],[prodeje celkem BH family]]-analyza[[#This Row],[plan BH family]]</f>
        <v>#REF!</v>
      </c>
    </row>
    <row r="12" spans="1:4" x14ac:dyDescent="0.25">
      <c r="A12" t="s">
        <v>19</v>
      </c>
      <c r="B12">
        <f>SUMIF(sales!D:D,A12,sales!E:E)</f>
        <v>2832</v>
      </c>
      <c r="C12" t="e">
        <f>SUMIF(sales!D:D,analyza[[#This Row],[Employee]],sales!#REF!)</f>
        <v>#REF!</v>
      </c>
      <c r="D12" t="e">
        <f>analyza[[#This Row],[prodeje celkem BH family]]-analyza[[#This Row],[plan BH family]]</f>
        <v>#REF!</v>
      </c>
    </row>
    <row r="13" spans="1:4" x14ac:dyDescent="0.25">
      <c r="A13" t="s">
        <v>15</v>
      </c>
      <c r="B13">
        <f>SUMIF(sales!D:D,A13,sales!E:E)</f>
        <v>2931</v>
      </c>
      <c r="C13" t="e">
        <f>SUMIF(sales!D:D,analyza[[#This Row],[Employee]],sales!#REF!)</f>
        <v>#REF!</v>
      </c>
      <c r="D13" t="e">
        <f>analyza[[#This Row],[prodeje celkem BH family]]-analyza[[#This Row],[plan BH family]]</f>
        <v>#REF!</v>
      </c>
    </row>
    <row r="14" spans="1:4" x14ac:dyDescent="0.25">
      <c r="A14" t="s">
        <v>16</v>
      </c>
      <c r="B14">
        <f>SUMIF(sales!D:D,A14,sales!E:E)</f>
        <v>2949</v>
      </c>
      <c r="C14" t="e">
        <f>SUMIF(sales!D:D,analyza[[#This Row],[Employee]],sales!#REF!)</f>
        <v>#REF!</v>
      </c>
      <c r="D14" t="e">
        <f>analyza[[#This Row],[prodeje celkem BH family]]-analyza[[#This Row],[plan BH family]]</f>
        <v>#REF!</v>
      </c>
    </row>
    <row r="15" spans="1:4" x14ac:dyDescent="0.25">
      <c r="A15" t="s">
        <v>13</v>
      </c>
      <c r="B15">
        <f>SUMIF(sales!D:D,A15,sales!E:E)</f>
        <v>2906</v>
      </c>
      <c r="C15" t="e">
        <f>SUMIF(sales!D:D,analyza[[#This Row],[Employee]],sales!#REF!)</f>
        <v>#REF!</v>
      </c>
      <c r="D15" t="e">
        <f>analyza[[#This Row],[prodeje celkem BH family]]-analyza[[#This Row],[plan BH family]]</f>
        <v>#REF!</v>
      </c>
    </row>
    <row r="16" spans="1:4" x14ac:dyDescent="0.25">
      <c r="A16" t="s">
        <v>12</v>
      </c>
      <c r="B16">
        <f>SUMIF(sales!D:D,A16,sales!E:E)</f>
        <v>2969</v>
      </c>
      <c r="C16" t="e">
        <f>SUMIF(sales!D:D,analyza[[#This Row],[Employee]],sales!#REF!)</f>
        <v>#REF!</v>
      </c>
      <c r="D16" t="e">
        <f>analyza[[#This Row],[prodeje celkem BH family]]-analyza[[#This Row],[plan BH family]]</f>
        <v>#REF!</v>
      </c>
    </row>
    <row r="17" spans="1:4" x14ac:dyDescent="0.25">
      <c r="A17" t="s">
        <v>14</v>
      </c>
      <c r="B17">
        <f>SUMIF(sales!D:D,A17,sales!E:E)</f>
        <v>2838</v>
      </c>
      <c r="C17" t="e">
        <f>SUMIF(sales!D:D,analyza[[#This Row],[Employee]],sales!#REF!)</f>
        <v>#REF!</v>
      </c>
      <c r="D17" t="e">
        <f>analyza[[#This Row],[prodeje celkem BH family]]-analyza[[#This Row],[plan BH family]]</f>
        <v>#REF!</v>
      </c>
    </row>
    <row r="18" spans="1:4" x14ac:dyDescent="0.25">
      <c r="A18" t="s">
        <v>11</v>
      </c>
      <c r="B18">
        <f>SUMIF(sales!D:D,A18,sales!E:E)</f>
        <v>2837</v>
      </c>
      <c r="C18" t="e">
        <f>SUMIF(sales!D:D,analyza[[#This Row],[Employee]],sales!#REF!)</f>
        <v>#REF!</v>
      </c>
      <c r="D18" t="e">
        <f>analyza[[#This Row],[prodeje celkem BH family]]-analyza[[#This Row],[plan BH family]]</f>
        <v>#REF!</v>
      </c>
    </row>
    <row r="19" spans="1:4" x14ac:dyDescent="0.25">
      <c r="A19" t="s">
        <v>17</v>
      </c>
      <c r="B19">
        <f>SUMIF(sales!D:D,A19,sales!E:E)</f>
        <v>3023</v>
      </c>
      <c r="C19" t="e">
        <f>SUMIF(sales!D:D,analyza[[#This Row],[Employee]],sales!#REF!)</f>
        <v>#REF!</v>
      </c>
      <c r="D19" t="e">
        <f>analyza[[#This Row],[prodeje celkem BH family]]-analyza[[#This Row],[plan BH family]]</f>
        <v>#REF!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1D33-F741-4B8C-BB87-87F689F61D34}">
  <sheetPr>
    <tabColor rgb="FFFFFF00"/>
  </sheetPr>
  <dimension ref="A2:X29"/>
  <sheetViews>
    <sheetView tabSelected="1" zoomScale="85" zoomScaleNormal="85" workbookViewId="0">
      <pane xSplit="1" topLeftCell="B1" activePane="topRight" state="frozen"/>
      <selection pane="topRight" activeCell="F25" sqref="F25"/>
    </sheetView>
  </sheetViews>
  <sheetFormatPr defaultRowHeight="15" x14ac:dyDescent="0.25"/>
  <cols>
    <col min="1" max="1" width="22.85546875" customWidth="1"/>
    <col min="2" max="2" width="17.5703125" customWidth="1"/>
    <col min="3" max="3" width="15.85546875" customWidth="1"/>
    <col min="4" max="4" width="18.140625" customWidth="1"/>
    <col min="5" max="5" width="16.42578125" customWidth="1"/>
    <col min="6" max="6" width="16" customWidth="1"/>
    <col min="7" max="7" width="17.85546875" customWidth="1"/>
    <col min="8" max="8" width="18" bestFit="1" customWidth="1"/>
    <col min="9" max="9" width="9.85546875" bestFit="1" customWidth="1"/>
    <col min="10" max="10" width="13.140625" bestFit="1" customWidth="1"/>
    <col min="11" max="11" width="9.5703125" bestFit="1" customWidth="1"/>
    <col min="12" max="12" width="15.28515625" bestFit="1" customWidth="1"/>
    <col min="13" max="13" width="9" bestFit="1" customWidth="1"/>
    <col min="14" max="14" width="14.5703125" bestFit="1" customWidth="1"/>
    <col min="15" max="15" width="9.85546875" bestFit="1" customWidth="1"/>
    <col min="16" max="16" width="13.140625" bestFit="1" customWidth="1"/>
    <col min="17" max="17" width="9.5703125" bestFit="1" customWidth="1"/>
    <col min="18" max="18" width="15.28515625" bestFit="1" customWidth="1"/>
    <col min="19" max="19" width="9" bestFit="1" customWidth="1"/>
    <col min="20" max="20" width="9.85546875" bestFit="1" customWidth="1"/>
    <col min="21" max="21" width="13.140625" bestFit="1" customWidth="1"/>
    <col min="22" max="22" width="9.5703125" bestFit="1" customWidth="1"/>
    <col min="23" max="23" width="15.28515625" bestFit="1" customWidth="1"/>
    <col min="24" max="24" width="9" bestFit="1" customWidth="1"/>
  </cols>
  <sheetData>
    <row r="2" spans="1:24" ht="75" x14ac:dyDescent="0.25">
      <c r="D2" s="62" t="s">
        <v>197</v>
      </c>
      <c r="E2" s="63" t="s">
        <v>198</v>
      </c>
      <c r="F2" s="63" t="s">
        <v>199</v>
      </c>
      <c r="G2" s="63" t="s">
        <v>200</v>
      </c>
      <c r="H2" s="63" t="s">
        <v>201</v>
      </c>
    </row>
    <row r="3" spans="1:24" x14ac:dyDescent="0.25">
      <c r="D3" s="2" t="s">
        <v>42</v>
      </c>
      <c r="E3" s="2"/>
      <c r="F3" s="2"/>
      <c r="G3" s="2"/>
      <c r="H3" s="2"/>
    </row>
    <row r="4" spans="1:24" x14ac:dyDescent="0.25">
      <c r="D4" s="2" t="s">
        <v>43</v>
      </c>
      <c r="E4" s="2"/>
      <c r="F4" s="2"/>
      <c r="G4" s="2"/>
      <c r="H4" s="2"/>
    </row>
    <row r="5" spans="1:24" x14ac:dyDescent="0.25">
      <c r="D5" s="2" t="s">
        <v>44</v>
      </c>
      <c r="E5" s="2"/>
      <c r="F5" s="2"/>
      <c r="G5" s="2"/>
      <c r="H5" s="2"/>
    </row>
    <row r="6" spans="1:24" x14ac:dyDescent="0.25">
      <c r="D6" s="2" t="s">
        <v>45</v>
      </c>
      <c r="E6" s="2"/>
      <c r="F6" s="2"/>
      <c r="G6" s="2"/>
      <c r="H6" s="2"/>
    </row>
    <row r="7" spans="1:24" x14ac:dyDescent="0.25">
      <c r="D7" s="2" t="s">
        <v>46</v>
      </c>
      <c r="E7" s="2"/>
      <c r="F7" s="2"/>
      <c r="G7" s="2"/>
      <c r="H7" s="2"/>
    </row>
    <row r="10" spans="1:24" x14ac:dyDescent="0.25">
      <c r="C10" s="59" t="s">
        <v>193</v>
      </c>
      <c r="D10" s="59"/>
      <c r="E10" s="59"/>
      <c r="F10" s="59"/>
      <c r="G10" s="59"/>
      <c r="H10" s="60" t="s">
        <v>194</v>
      </c>
      <c r="I10" s="60"/>
      <c r="J10" s="60"/>
      <c r="K10" s="60"/>
      <c r="L10" s="60"/>
      <c r="M10" s="60"/>
      <c r="N10" s="60" t="s">
        <v>195</v>
      </c>
      <c r="O10" s="60"/>
      <c r="P10" s="60"/>
      <c r="Q10" s="60"/>
      <c r="R10" s="60"/>
      <c r="S10" s="60"/>
      <c r="T10" s="60" t="s">
        <v>196</v>
      </c>
      <c r="U10" s="60"/>
      <c r="V10" s="60"/>
      <c r="W10" s="60"/>
      <c r="X10" s="60"/>
    </row>
    <row r="11" spans="1:24" x14ac:dyDescent="0.25">
      <c r="A11" t="s">
        <v>127</v>
      </c>
      <c r="B11" s="58" t="s">
        <v>192</v>
      </c>
      <c r="C11" s="58" t="s">
        <v>42</v>
      </c>
      <c r="D11" s="58" t="s">
        <v>43</v>
      </c>
      <c r="E11" s="58" t="s">
        <v>44</v>
      </c>
      <c r="F11" s="58" t="s">
        <v>45</v>
      </c>
      <c r="G11" s="58" t="s">
        <v>46</v>
      </c>
      <c r="H11" s="64" t="s">
        <v>192</v>
      </c>
      <c r="I11" s="64" t="s">
        <v>42</v>
      </c>
      <c r="J11" s="64" t="s">
        <v>43</v>
      </c>
      <c r="K11" s="64" t="s">
        <v>44</v>
      </c>
      <c r="L11" s="64" t="s">
        <v>45</v>
      </c>
      <c r="M11" s="64" t="s">
        <v>46</v>
      </c>
      <c r="N11" s="64" t="s">
        <v>192</v>
      </c>
      <c r="O11" s="64" t="s">
        <v>42</v>
      </c>
      <c r="P11" s="64" t="s">
        <v>43</v>
      </c>
      <c r="Q11" s="64" t="s">
        <v>44</v>
      </c>
      <c r="R11" s="64" t="s">
        <v>45</v>
      </c>
      <c r="S11" s="64" t="s">
        <v>46</v>
      </c>
      <c r="T11" s="64" t="s">
        <v>42</v>
      </c>
      <c r="U11" s="64" t="s">
        <v>43</v>
      </c>
      <c r="V11" s="64" t="s">
        <v>44</v>
      </c>
      <c r="W11" s="64" t="s">
        <v>45</v>
      </c>
      <c r="X11" s="64" t="s">
        <v>46</v>
      </c>
    </row>
    <row r="12" spans="1:24" x14ac:dyDescent="0.25">
      <c r="A12" t="s">
        <v>2</v>
      </c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</row>
    <row r="13" spans="1:24" x14ac:dyDescent="0.25">
      <c r="A13" t="s">
        <v>7</v>
      </c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</row>
    <row r="14" spans="1:24" x14ac:dyDescent="0.25">
      <c r="A14" t="s">
        <v>6</v>
      </c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</row>
    <row r="15" spans="1:24" x14ac:dyDescent="0.25">
      <c r="A15" t="s">
        <v>19</v>
      </c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</row>
    <row r="16" spans="1:24" x14ac:dyDescent="0.25">
      <c r="A16" t="s">
        <v>10</v>
      </c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</row>
    <row r="17" spans="1:24" x14ac:dyDescent="0.25">
      <c r="A17" t="s">
        <v>3</v>
      </c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</row>
    <row r="18" spans="1:24" x14ac:dyDescent="0.25">
      <c r="A18" t="s">
        <v>5</v>
      </c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</row>
    <row r="19" spans="1:24" x14ac:dyDescent="0.25">
      <c r="A19" t="s">
        <v>15</v>
      </c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</row>
    <row r="20" spans="1:24" x14ac:dyDescent="0.25">
      <c r="A20" t="s">
        <v>9</v>
      </c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</row>
    <row r="21" spans="1:24" x14ac:dyDescent="0.25">
      <c r="A21" t="s">
        <v>16</v>
      </c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</row>
    <row r="22" spans="1:24" x14ac:dyDescent="0.25">
      <c r="A22" t="s">
        <v>8</v>
      </c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</row>
    <row r="23" spans="1:24" x14ac:dyDescent="0.25">
      <c r="A23" t="s">
        <v>13</v>
      </c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</row>
    <row r="24" spans="1:24" x14ac:dyDescent="0.25">
      <c r="A24" t="s">
        <v>4</v>
      </c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</row>
    <row r="25" spans="1:24" x14ac:dyDescent="0.25">
      <c r="A25" t="s">
        <v>12</v>
      </c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</row>
    <row r="26" spans="1:24" x14ac:dyDescent="0.25">
      <c r="A26" t="s">
        <v>14</v>
      </c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</row>
    <row r="27" spans="1:24" x14ac:dyDescent="0.25">
      <c r="A27" t="s">
        <v>11</v>
      </c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</row>
    <row r="28" spans="1:24" x14ac:dyDescent="0.25">
      <c r="A28" t="s">
        <v>17</v>
      </c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</row>
    <row r="29" spans="1:24" x14ac:dyDescent="0.25">
      <c r="A29" t="s">
        <v>18</v>
      </c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</row>
  </sheetData>
  <mergeCells count="4">
    <mergeCell ref="C10:G10"/>
    <mergeCell ref="H10:M10"/>
    <mergeCell ref="N10:S10"/>
    <mergeCell ref="T10:X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103F416-D7A6-4790-A574-D107AFB99164}">
  <ds:schemaRefs/>
</ds:datastoreItem>
</file>

<file path=customXml/itemProps2.xml><?xml version="1.0" encoding="utf-8"?>
<ds:datastoreItem xmlns:ds="http://schemas.openxmlformats.org/officeDocument/2006/customXml" ds:itemID="{386D9924-5EDB-4B0A-8F7D-D09F99ED43C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napoveda</vt:lpstr>
      <vt:lpstr>datumy</vt:lpstr>
      <vt:lpstr>employee</vt:lpstr>
      <vt:lpstr>data-2019</vt:lpstr>
      <vt:lpstr>data-2020</vt:lpstr>
      <vt:lpstr>cviceni</vt:lpstr>
      <vt:lpstr>ukol</vt:lpstr>
      <vt:lpstr>tabulky</vt:lpstr>
      <vt:lpstr>tabulky cviceni</vt:lpstr>
      <vt:lpstr>pivot1</vt:lpstr>
      <vt:lpstr>sales</vt:lpstr>
      <vt:lpstr>sales plans</vt:lpstr>
      <vt:lpstr>analysis</vt:lpstr>
      <vt:lpstr>cviceni2</vt:lpstr>
      <vt:lpstr>'data-2020'!bh_family</vt:lpstr>
      <vt:lpstr>bh_family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Petr</cp:lastModifiedBy>
  <dcterms:created xsi:type="dcterms:W3CDTF">2020-09-22T04:41:41Z</dcterms:created>
  <dcterms:modified xsi:type="dcterms:W3CDTF">2020-11-30T07:17:48Z</dcterms:modified>
</cp:coreProperties>
</file>