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HWATES\RFP_Analysis_Projects\RFP_Analysis_Automation2\tests\data\test_scenarios\test_1\merged\"/>
    </mc:Choice>
  </mc:AlternateContent>
  <xr:revisionPtr revIDLastSave="0" documentId="8_{ECC25129-A6A6-4941-8844-78CA1CA387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#As-Is" sheetId="1" r:id="rId1"/>
    <sheet name="#Best of Best" sheetId="2" r:id="rId2"/>
    <sheet name="#BOB Excl Suppliers" sheetId="3" r:id="rId3"/>
    <sheet name="#As-Is Excl Suppliers" sheetId="4" r:id="rId4"/>
    <sheet name="Competitiveness_Report" sheetId="5" r:id="rId5"/>
    <sheet name="Supplier Coverage" sheetId="6" r:id="rId6"/>
    <sheet name="Facility_Coverage" sheetId="7" r:id="rId7"/>
    <sheet name="Customizable Template" sheetId="8" r:id="rId8"/>
    <sheet name="Customizable Reference" sheetId="9" r:id="rId9"/>
    <sheet name="Scenario Converter" sheetId="10" r:id="rId10"/>
    <sheet name="SupplierLists" sheetId="11" state="hidden" r:id="rId11"/>
    <sheet name="Scenario Selector" sheetId="12" r:id="rId12"/>
    <sheet name="Scenario Report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2" l="1"/>
  <c r="L6" i="12" s="1"/>
  <c r="J6" i="12" s="1"/>
  <c r="G6" i="12"/>
  <c r="B6" i="12"/>
  <c r="H5" i="12"/>
  <c r="L5" i="12" s="1"/>
  <c r="J5" i="12" s="1"/>
  <c r="G5" i="12"/>
  <c r="B5" i="12"/>
  <c r="H4" i="12"/>
  <c r="L4" i="12" s="1"/>
  <c r="J4" i="12" s="1"/>
  <c r="G4" i="12"/>
  <c r="B4" i="12"/>
  <c r="H3" i="12"/>
  <c r="L3" i="12" s="1"/>
  <c r="J3" i="12" s="1"/>
  <c r="G3" i="12"/>
  <c r="B3" i="12"/>
  <c r="H2" i="12"/>
  <c r="L2" i="12" s="1"/>
  <c r="J2" i="12" s="1"/>
  <c r="G2" i="12"/>
  <c r="B2" i="12"/>
  <c r="D21" i="13" s="1"/>
  <c r="I6" i="8"/>
  <c r="M6" i="8" s="1"/>
  <c r="K6" i="8" s="1"/>
  <c r="G6" i="8"/>
  <c r="B6" i="8"/>
  <c r="I5" i="8"/>
  <c r="M5" i="8" s="1"/>
  <c r="K5" i="8" s="1"/>
  <c r="G5" i="8"/>
  <c r="B5" i="8"/>
  <c r="I4" i="8"/>
  <c r="M4" i="8" s="1"/>
  <c r="K4" i="8" s="1"/>
  <c r="G4" i="8"/>
  <c r="B4" i="8"/>
  <c r="I3" i="8"/>
  <c r="M3" i="8" s="1"/>
  <c r="K3" i="8" s="1"/>
  <c r="G3" i="8"/>
  <c r="B3" i="8"/>
  <c r="I2" i="8"/>
  <c r="M2" i="8" s="1"/>
  <c r="K2" i="8" s="1"/>
  <c r="G2" i="8"/>
  <c r="B2" i="8"/>
  <c r="D6" i="13" l="1"/>
  <c r="J2" i="8"/>
  <c r="J3" i="8"/>
  <c r="J4" i="8"/>
  <c r="J6" i="8"/>
  <c r="I2" i="12"/>
  <c r="I3" i="12"/>
  <c r="I4" i="12"/>
  <c r="I5" i="12"/>
  <c r="I6" i="12"/>
  <c r="G21" i="13"/>
  <c r="J5" i="8"/>
  <c r="E6" i="13"/>
  <c r="G6" i="13"/>
  <c r="E21" i="13"/>
  <c r="F21" i="13" s="1"/>
  <c r="B21" i="13"/>
  <c r="C21" i="13" s="1"/>
  <c r="B6" i="13"/>
  <c r="C6" i="13" s="1"/>
  <c r="M2" i="12" l="1"/>
  <c r="K2" i="12"/>
  <c r="N6" i="8"/>
  <c r="L6" i="8"/>
  <c r="N5" i="8"/>
  <c r="L5" i="8"/>
  <c r="N4" i="8"/>
  <c r="L4" i="8"/>
  <c r="N3" i="8"/>
  <c r="L3" i="8"/>
  <c r="M3" i="12"/>
  <c r="K3" i="12"/>
  <c r="M6" i="12"/>
  <c r="K6" i="12"/>
  <c r="N2" i="8"/>
  <c r="L2" i="8"/>
  <c r="M5" i="12"/>
  <c r="K5" i="12"/>
  <c r="F6" i="13"/>
  <c r="M4" i="12"/>
  <c r="K4" i="12"/>
</calcChain>
</file>

<file path=xl/sharedStrings.xml><?xml version="1.0" encoding="utf-8"?>
<sst xmlns="http://schemas.openxmlformats.org/spreadsheetml/2006/main" count="497" uniqueCount="98">
  <si>
    <t>Bid ID</t>
  </si>
  <si>
    <t>Bid ID Split</t>
  </si>
  <si>
    <t>Facility</t>
  </si>
  <si>
    <t>Incumbent</t>
  </si>
  <si>
    <t>Baseline Price</t>
  </si>
  <si>
    <t>Current Price</t>
  </si>
  <si>
    <t>Bid Volume</t>
  </si>
  <si>
    <t>Baseline Spend</t>
  </si>
  <si>
    <t>Awarded Supplier</t>
  </si>
  <si>
    <t>Awarded Supplier Price</t>
  </si>
  <si>
    <t>Awarded Volume</t>
  </si>
  <si>
    <t>Awarded Supplier Spend</t>
  </si>
  <si>
    <t>Awarded Supplier Capacity</t>
  </si>
  <si>
    <t>Baseline Savings</t>
  </si>
  <si>
    <t>Current Price Savings</t>
  </si>
  <si>
    <t>A</t>
  </si>
  <si>
    <t>Facility 1</t>
  </si>
  <si>
    <t>Supplier 1</t>
  </si>
  <si>
    <t>Facility 2</t>
  </si>
  <si>
    <t>Supplier 7</t>
  </si>
  <si>
    <t>No Bid from Incumbent</t>
  </si>
  <si>
    <t>Facility 3</t>
  </si>
  <si>
    <t>Supplier 4</t>
  </si>
  <si>
    <t>Facility 4</t>
  </si>
  <si>
    <t>Supplier 2</t>
  </si>
  <si>
    <t>Facility 5</t>
  </si>
  <si>
    <t>Supplier 6</t>
  </si>
  <si>
    <t>Supplier 5</t>
  </si>
  <si>
    <t>Unallocated</t>
  </si>
  <si>
    <t>Group</t>
  </si>
  <si>
    <t># of Possible Bids</t>
  </si>
  <si>
    <t># of Bids Received</t>
  </si>
  <si>
    <t>Bid IDs with No Bids</t>
  </si>
  <si>
    <t>% of Bid IDs with Multiple Bids</t>
  </si>
  <si>
    <t># of Bid IDs Where Incumbent Did Not Bid</t>
  </si>
  <si>
    <t>List of Bid IDs Where Incumbent Did Not Bid</t>
  </si>
  <si>
    <t>100%</t>
  </si>
  <si>
    <t>2</t>
  </si>
  <si>
    <t>B</t>
  </si>
  <si>
    <t>5</t>
  </si>
  <si>
    <t>Supplier</t>
  </si>
  <si>
    <t># of Bid IDs</t>
  </si>
  <si>
    <t># of Bids Provided</t>
  </si>
  <si>
    <t>% Coverage</t>
  </si>
  <si>
    <t>Supplier 3</t>
  </si>
  <si>
    <t>Supplier Coverage - A</t>
  </si>
  <si>
    <t>Supplier Coverage - B</t>
  </si>
  <si>
    <t>Product Type</t>
  </si>
  <si>
    <t>Supplier Name</t>
  </si>
  <si>
    <t>Savings</t>
  </si>
  <si>
    <t>Business Group</t>
  </si>
  <si>
    <t>Bid Supplier Name</t>
  </si>
  <si>
    <t>Bid Supplier Capacity</t>
  </si>
  <si>
    <t>Bid Price</t>
  </si>
  <si>
    <t>Valid Bid</t>
  </si>
  <si>
    <t>Supplier Name with Bid Price</t>
  </si>
  <si>
    <t>Group 1</t>
  </si>
  <si>
    <t>Supplier 1 ($0.05)</t>
  </si>
  <si>
    <t>Supplier 1 ($1.2)</t>
  </si>
  <si>
    <t>Group 2</t>
  </si>
  <si>
    <t>Supplier 1 ($0.8)</t>
  </si>
  <si>
    <t>Supplier 1 ($1.45)</t>
  </si>
  <si>
    <t>Group 3</t>
  </si>
  <si>
    <t>Supplier 1 ($0.36)</t>
  </si>
  <si>
    <t>Supplier 2 ($0.03)</t>
  </si>
  <si>
    <t>Supplier 2 ($1.17)</t>
  </si>
  <si>
    <t>Supplier 2 ($0.8)</t>
  </si>
  <si>
    <t>Supplier 2 ($1.45)</t>
  </si>
  <si>
    <t>Supplier 2 ($0.38)</t>
  </si>
  <si>
    <t>Supplier 3 ($0.02)</t>
  </si>
  <si>
    <t>Supplier 3 ($1.18)</t>
  </si>
  <si>
    <t>Supplier 3 ($0.81)</t>
  </si>
  <si>
    <t>Supplier 3 ($1.44)</t>
  </si>
  <si>
    <t>Supplier 3 ($0.37)</t>
  </si>
  <si>
    <t>Supplier 4 ($0.24)</t>
  </si>
  <si>
    <t>Supplier 4 ($0.96)</t>
  </si>
  <si>
    <t>Supplier 4 ($0.81)</t>
  </si>
  <si>
    <t>Supplier 4 ($1.44)</t>
  </si>
  <si>
    <t>Supplier 4 ($0.46)</t>
  </si>
  <si>
    <t>Supplier 5 ($0.02)</t>
  </si>
  <si>
    <t>Supplier 5 ($1.18)</t>
  </si>
  <si>
    <t>Supplier 5 ($0.81)</t>
  </si>
  <si>
    <t>Supplier 5 ($1.43)</t>
  </si>
  <si>
    <t>Supplier 5 ($0.39)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</si>
  <si>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</si>
  <si>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</si>
  <si>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</si>
  <si>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</si>
  <si>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</si>
  <si>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</si>
  <si>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</si>
  <si>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% of Business</t>
  </si>
  <si>
    <t>Baseline Avg</t>
  </si>
  <si>
    <t>Avg Bid Price</t>
  </si>
  <si>
    <t>%Δ b/w Baseline and Avg Bid</t>
  </si>
  <si>
    <t>RFP Savings</t>
  </si>
  <si>
    <t>IFERROR(UNIQUE(FILTER('Scenario Selector'!H:H, ('Scenario Selector'!H:H&lt;&gt;"") * ('Scenario Selector'!B:B='Scenario Reports'!$A$4))), "")</t>
  </si>
  <si>
    <t>IFERROR(UNIQUE(FILTER('Scenario Selector'!H:H, ('Scenario Selector'!H:H&lt;&gt;"") * ('Scenario Selector'!B:B='Scenario Reports'!$A$19))), "")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</si>
</sst>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J15" sqref="J15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17</v>
      </c>
      <c r="E2">
        <v>0.14499999999999999</v>
      </c>
      <c r="F2">
        <v>0.105</v>
      </c>
      <c r="G2">
        <v>3437457</v>
      </c>
      <c r="H2">
        <v>498431.26500000001</v>
      </c>
      <c r="I2" t="s">
        <v>17</v>
      </c>
      <c r="J2">
        <v>0.05</v>
      </c>
      <c r="K2">
        <v>3437457</v>
      </c>
      <c r="L2">
        <v>171872.85</v>
      </c>
      <c r="M2">
        <v>10000000</v>
      </c>
      <c r="N2">
        <v>326558.41499999992</v>
      </c>
      <c r="O2">
        <v>189060.13500000001</v>
      </c>
    </row>
    <row r="3" spans="1:15" x14ac:dyDescent="0.25">
      <c r="A3">
        <v>2</v>
      </c>
      <c r="B3" t="s">
        <v>15</v>
      </c>
      <c r="C3" t="s">
        <v>18</v>
      </c>
      <c r="D3" t="s">
        <v>19</v>
      </c>
      <c r="E3">
        <v>0.98</v>
      </c>
      <c r="G3">
        <v>3001110</v>
      </c>
      <c r="H3">
        <v>2941087.8</v>
      </c>
      <c r="I3" t="s">
        <v>20</v>
      </c>
    </row>
    <row r="4" spans="1:15" x14ac:dyDescent="0.25">
      <c r="A4">
        <v>3</v>
      </c>
      <c r="B4" t="s">
        <v>15</v>
      </c>
      <c r="C4" t="s">
        <v>21</v>
      </c>
      <c r="D4" t="s">
        <v>22</v>
      </c>
      <c r="E4">
        <v>0.85</v>
      </c>
      <c r="F4">
        <v>0.89249999999999996</v>
      </c>
      <c r="G4">
        <v>24000</v>
      </c>
      <c r="H4">
        <v>20400</v>
      </c>
      <c r="I4" t="s">
        <v>22</v>
      </c>
      <c r="J4">
        <v>0.812129340958895</v>
      </c>
      <c r="K4">
        <v>24000</v>
      </c>
      <c r="L4">
        <v>19491.104183013482</v>
      </c>
      <c r="M4">
        <v>10000000</v>
      </c>
      <c r="N4">
        <v>908.89581698652182</v>
      </c>
      <c r="O4">
        <v>1928.8958169865191</v>
      </c>
    </row>
    <row r="5" spans="1:15" x14ac:dyDescent="0.25">
      <c r="A5">
        <v>4</v>
      </c>
      <c r="B5" t="s">
        <v>15</v>
      </c>
      <c r="C5" t="s">
        <v>23</v>
      </c>
      <c r="D5" t="s">
        <v>24</v>
      </c>
      <c r="E5">
        <v>1.25</v>
      </c>
      <c r="F5">
        <v>1.3125</v>
      </c>
      <c r="G5">
        <v>357800</v>
      </c>
      <c r="H5">
        <v>447250</v>
      </c>
      <c r="I5" t="s">
        <v>24</v>
      </c>
      <c r="J5">
        <v>1.445442132754102</v>
      </c>
      <c r="K5">
        <v>357800</v>
      </c>
      <c r="L5">
        <v>517179.19509941788</v>
      </c>
      <c r="M5">
        <v>10000000</v>
      </c>
      <c r="N5">
        <v>-69929.195099417877</v>
      </c>
      <c r="O5">
        <v>-47566.69509941787</v>
      </c>
    </row>
    <row r="6" spans="1:15" x14ac:dyDescent="0.25">
      <c r="A6">
        <v>5</v>
      </c>
      <c r="B6" t="s">
        <v>15</v>
      </c>
      <c r="C6" t="s">
        <v>25</v>
      </c>
      <c r="D6" t="s">
        <v>26</v>
      </c>
      <c r="E6">
        <v>0.34</v>
      </c>
      <c r="G6">
        <v>45000</v>
      </c>
      <c r="H6">
        <v>15300</v>
      </c>
      <c r="I6" t="s">
        <v>20</v>
      </c>
    </row>
  </sheetData>
  <pageMargins left="0.75" right="0.75" top="1" bottom="1" header="0.5" footer="0.5"/>
  <customProperties>
    <customPr name="GU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</row>
    <row r="2" spans="1:8" x14ac:dyDescent="0.25">
      <c r="A2">
        <v>1</v>
      </c>
    </row>
    <row r="3" spans="1:8" x14ac:dyDescent="0.25">
      <c r="A3">
        <v>2</v>
      </c>
    </row>
    <row r="4" spans="1:8" x14ac:dyDescent="0.25">
      <c r="A4">
        <v>3</v>
      </c>
    </row>
    <row r="5" spans="1:8" x14ac:dyDescent="0.25">
      <c r="A5">
        <v>4</v>
      </c>
    </row>
    <row r="6" spans="1:8" x14ac:dyDescent="0.25">
      <c r="A6">
        <v>5</v>
      </c>
    </row>
  </sheetData>
  <pageMargins left="0.75" right="0.75" top="1" bottom="1" header="0.5" footer="0.5"/>
  <customProperties>
    <customPr name="GU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9"/>
  <sheetViews>
    <sheetView workbookViewId="0"/>
  </sheetViews>
  <sheetFormatPr defaultRowHeight="15" x14ac:dyDescent="0.25"/>
  <sheetData>
    <row r="1" spans="1:1" x14ac:dyDescent="0.25">
      <c r="A1" t="s">
        <v>79</v>
      </c>
    </row>
    <row r="2" spans="1:1" x14ac:dyDescent="0.25">
      <c r="A2" t="s">
        <v>69</v>
      </c>
    </row>
    <row r="3" spans="1:1" x14ac:dyDescent="0.25">
      <c r="A3" t="s">
        <v>64</v>
      </c>
    </row>
    <row r="4" spans="1:1" x14ac:dyDescent="0.25">
      <c r="A4" t="s">
        <v>57</v>
      </c>
    </row>
    <row r="5" spans="1:1" x14ac:dyDescent="0.25">
      <c r="A5" t="s">
        <v>74</v>
      </c>
    </row>
    <row r="7" spans="1:1" x14ac:dyDescent="0.25">
      <c r="A7" t="s">
        <v>75</v>
      </c>
    </row>
    <row r="8" spans="1:1" x14ac:dyDescent="0.25">
      <c r="A8" t="s">
        <v>65</v>
      </c>
    </row>
    <row r="9" spans="1:1" x14ac:dyDescent="0.25">
      <c r="A9" t="s">
        <v>70</v>
      </c>
    </row>
    <row r="10" spans="1:1" x14ac:dyDescent="0.25">
      <c r="A10" t="s">
        <v>80</v>
      </c>
    </row>
    <row r="11" spans="1:1" x14ac:dyDescent="0.25">
      <c r="A11" t="s">
        <v>58</v>
      </c>
    </row>
    <row r="13" spans="1:1" x14ac:dyDescent="0.25">
      <c r="A13" t="s">
        <v>60</v>
      </c>
    </row>
    <row r="14" spans="1:1" x14ac:dyDescent="0.25">
      <c r="A14" t="s">
        <v>66</v>
      </c>
    </row>
    <row r="15" spans="1:1" x14ac:dyDescent="0.25">
      <c r="A15" t="s">
        <v>76</v>
      </c>
    </row>
    <row r="16" spans="1:1" x14ac:dyDescent="0.25">
      <c r="A16" t="s">
        <v>81</v>
      </c>
    </row>
    <row r="17" spans="1:1" x14ac:dyDescent="0.25">
      <c r="A17" t="s">
        <v>71</v>
      </c>
    </row>
    <row r="19" spans="1:1" x14ac:dyDescent="0.25">
      <c r="A19" t="s">
        <v>82</v>
      </c>
    </row>
    <row r="20" spans="1:1" x14ac:dyDescent="0.25">
      <c r="A20" t="s">
        <v>77</v>
      </c>
    </row>
    <row r="21" spans="1:1" x14ac:dyDescent="0.25">
      <c r="A21" t="s">
        <v>72</v>
      </c>
    </row>
    <row r="22" spans="1:1" x14ac:dyDescent="0.25">
      <c r="A22" t="s">
        <v>67</v>
      </c>
    </row>
    <row r="23" spans="1:1" x14ac:dyDescent="0.25">
      <c r="A23" t="s">
        <v>61</v>
      </c>
    </row>
    <row r="25" spans="1:1" x14ac:dyDescent="0.25">
      <c r="A25" t="s">
        <v>63</v>
      </c>
    </row>
    <row r="26" spans="1:1" x14ac:dyDescent="0.25">
      <c r="A26" t="s">
        <v>73</v>
      </c>
    </row>
    <row r="27" spans="1:1" x14ac:dyDescent="0.25">
      <c r="A27" t="s">
        <v>68</v>
      </c>
    </row>
    <row r="28" spans="1:1" x14ac:dyDescent="0.25">
      <c r="A28" t="s">
        <v>83</v>
      </c>
    </row>
    <row r="29" spans="1:1" x14ac:dyDescent="0.25">
      <c r="A29" t="s">
        <v>78</v>
      </c>
    </row>
  </sheetData>
  <pageMargins left="0.75" right="0.75" top="1" bottom="1" header="0.5" footer="0.5"/>
  <customProperties>
    <customPr name="GU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6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47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49</v>
      </c>
    </row>
    <row r="2" spans="1:13" x14ac:dyDescent="0.25">
      <c r="A2">
        <v>1</v>
      </c>
      <c r="B2" t="str">
        <f>IFERROR(VLOOKUP(A2, 'Customizable Reference'!A:B, 2, FALSE), "")</f>
        <v>A</v>
      </c>
      <c r="C2" t="s">
        <v>16</v>
      </c>
      <c r="D2" t="s">
        <v>17</v>
      </c>
      <c r="E2" s="2">
        <v>0.14499999999999999</v>
      </c>
      <c r="F2" s="3">
        <v>3437457</v>
      </c>
      <c r="G2" s="2">
        <f>E2*F2</f>
        <v>498431.26499999996</v>
      </c>
      <c r="H2" t="str">
        <f>IFERROR(INDEX('Scenario Converter'!$B$2:$H$6, MATCH(A2, 'Scenario Converter'!$A$2:$A$6, 0), MATCH('Scenario Reports'!$A$1, 'Scenario Converter'!$B$1:$H$1, 0)), "")</f>
        <v/>
      </c>
      <c r="I2" s="2">
        <f>IFERROR(SUMIFS('Customizable Reference'!J:J, 'Customizable Reference'!A:A, A2, 'Customizable Reference'!D:D, H2), "")</f>
        <v>0</v>
      </c>
      <c r="J2" s="3">
        <f>IF(F2="", "", MIN(F2, L2))</f>
        <v>0</v>
      </c>
      <c r="K2" s="2">
        <f>IF(I2&lt;&gt;"", I2*J2, "")</f>
        <v>0</v>
      </c>
      <c r="L2" s="3">
        <f>IFERROR(SUMIFS('Customizable Reference'!I:I, 'Customizable Reference'!A:A, A2, 'Customizable Reference'!D:D, H2), "")</f>
        <v>0</v>
      </c>
      <c r="M2" s="2">
        <f>IF(I2&lt;&gt;"", (E2-I2)*J2, "")</f>
        <v>0</v>
      </c>
    </row>
    <row r="3" spans="1:13" x14ac:dyDescent="0.25">
      <c r="A3">
        <v>2</v>
      </c>
      <c r="B3" t="str">
        <f>IFERROR(VLOOKUP(A3, 'Customizable Reference'!A:B, 2, FALSE), "")</f>
        <v>A</v>
      </c>
      <c r="C3" t="s">
        <v>18</v>
      </c>
      <c r="D3" t="s">
        <v>19</v>
      </c>
      <c r="E3" s="2">
        <v>0.98</v>
      </c>
      <c r="F3" s="3">
        <v>3001110</v>
      </c>
      <c r="G3" s="2">
        <f>E3*F3</f>
        <v>2941087.8</v>
      </c>
      <c r="H3" t="str">
        <f>IFERROR(INDEX('Scenario Converter'!$B$2:$H$6, MATCH(A3, 'Scenario Converter'!$A$2:$A$6, 0), MATCH('Scenario Reports'!$A$1, 'Scenario Converter'!$B$1:$H$1, 0)), "")</f>
        <v/>
      </c>
      <c r="I3" s="2">
        <f>IFERROR(SUMIFS('Customizable Reference'!J:J, 'Customizable Reference'!A:A, A3, 'Customizable Reference'!D:D, H3), "")</f>
        <v>0</v>
      </c>
      <c r="J3" s="3">
        <f>IF(F3="", "", MIN(F3, L3))</f>
        <v>0</v>
      </c>
      <c r="K3" s="2">
        <f>IF(I3&lt;&gt;"", I3*J3, "")</f>
        <v>0</v>
      </c>
      <c r="L3" s="3">
        <f>IFERROR(SUMIFS('Customizable Reference'!I:I, 'Customizable Reference'!A:A, A3, 'Customizable Reference'!D:D, H3), "")</f>
        <v>0</v>
      </c>
      <c r="M3" s="2">
        <f>IF(I3&lt;&gt;"", (E3-I3)*J3, "")</f>
        <v>0</v>
      </c>
    </row>
    <row r="4" spans="1:13" x14ac:dyDescent="0.25">
      <c r="A4">
        <v>3</v>
      </c>
      <c r="B4" t="str">
        <f>IFERROR(VLOOKUP(A4, 'Customizable Reference'!A:B, 2, FALSE), "")</f>
        <v>A</v>
      </c>
      <c r="C4" t="s">
        <v>21</v>
      </c>
      <c r="D4" t="s">
        <v>22</v>
      </c>
      <c r="E4" s="2">
        <v>0.85</v>
      </c>
      <c r="F4" s="3">
        <v>24000</v>
      </c>
      <c r="G4" s="2">
        <f>E4*F4</f>
        <v>20400</v>
      </c>
      <c r="H4" t="str">
        <f>IFERROR(INDEX('Scenario Converter'!$B$2:$H$6, MATCH(A4, 'Scenario Converter'!$A$2:$A$6, 0), MATCH('Scenario Reports'!$A$1, 'Scenario Converter'!$B$1:$H$1, 0)), "")</f>
        <v/>
      </c>
      <c r="I4" s="2">
        <f>IFERROR(SUMIFS('Customizable Reference'!J:J, 'Customizable Reference'!A:A, A4, 'Customizable Reference'!D:D, H4), "")</f>
        <v>0</v>
      </c>
      <c r="J4" s="3">
        <f>IF(F4="", "", MIN(F4, L4))</f>
        <v>0</v>
      </c>
      <c r="K4" s="2">
        <f>IF(I4&lt;&gt;"", I4*J4, "")</f>
        <v>0</v>
      </c>
      <c r="L4" s="3">
        <f>IFERROR(SUMIFS('Customizable Reference'!I:I, 'Customizable Reference'!A:A, A4, 'Customizable Reference'!D:D, H4), "")</f>
        <v>0</v>
      </c>
      <c r="M4" s="2">
        <f>IF(I4&lt;&gt;"", (E4-I4)*J4, "")</f>
        <v>0</v>
      </c>
    </row>
    <row r="5" spans="1:13" x14ac:dyDescent="0.25">
      <c r="A5">
        <v>4</v>
      </c>
      <c r="B5" t="str">
        <f>IFERROR(VLOOKUP(A5, 'Customizable Reference'!A:B, 2, FALSE), "")</f>
        <v>B</v>
      </c>
      <c r="C5" t="s">
        <v>23</v>
      </c>
      <c r="D5" t="s">
        <v>24</v>
      </c>
      <c r="E5" s="2">
        <v>1.25</v>
      </c>
      <c r="F5" s="3">
        <v>357800</v>
      </c>
      <c r="G5" s="2">
        <f>E5*F5</f>
        <v>447250</v>
      </c>
      <c r="H5" t="str">
        <f>IFERROR(INDEX('Scenario Converter'!$B$2:$H$6, MATCH(A5, 'Scenario Converter'!$A$2:$A$6, 0), MATCH('Scenario Reports'!$A$1, 'Scenario Converter'!$B$1:$H$1, 0)), "")</f>
        <v/>
      </c>
      <c r="I5" s="2">
        <f>IFERROR(SUMIFS('Customizable Reference'!J:J, 'Customizable Reference'!A:A, A5, 'Customizable Reference'!D:D, H5), "")</f>
        <v>0</v>
      </c>
      <c r="J5" s="3">
        <f>IF(F5="", "", MIN(F5, L5))</f>
        <v>0</v>
      </c>
      <c r="K5" s="2">
        <f>IF(I5&lt;&gt;"", I5*J5, "")</f>
        <v>0</v>
      </c>
      <c r="L5" s="3">
        <f>IFERROR(SUMIFS('Customizable Reference'!I:I, 'Customizable Reference'!A:A, A5, 'Customizable Reference'!D:D, H5), "")</f>
        <v>0</v>
      </c>
      <c r="M5" s="2">
        <f>IF(I5&lt;&gt;"", (E5-I5)*J5, "")</f>
        <v>0</v>
      </c>
    </row>
    <row r="6" spans="1:13" x14ac:dyDescent="0.25">
      <c r="A6">
        <v>5</v>
      </c>
      <c r="B6" t="str">
        <f>IFERROR(VLOOKUP(A6, 'Customizable Reference'!A:B, 2, FALSE), "")</f>
        <v>B</v>
      </c>
      <c r="C6" t="s">
        <v>25</v>
      </c>
      <c r="D6" t="s">
        <v>26</v>
      </c>
      <c r="E6" s="2">
        <v>0.34</v>
      </c>
      <c r="F6" s="3">
        <v>45000</v>
      </c>
      <c r="G6" s="2">
        <f>E6*F6</f>
        <v>15300.000000000002</v>
      </c>
      <c r="H6" t="str">
        <f>IFERROR(INDEX('Scenario Converter'!$B$2:$H$6, MATCH(A6, 'Scenario Converter'!$A$2:$A$6, 0), MATCH('Scenario Reports'!$A$1, 'Scenario Converter'!$B$1:$H$1, 0)), "")</f>
        <v/>
      </c>
      <c r="I6" s="2">
        <f>IFERROR(SUMIFS('Customizable Reference'!J:J, 'Customizable Reference'!A:A, A6, 'Customizable Reference'!D:D, H6), "")</f>
        <v>0</v>
      </c>
      <c r="J6" s="3">
        <f>IF(F6="", "", MIN(F6, L6))</f>
        <v>0</v>
      </c>
      <c r="K6" s="2">
        <f>IF(I6&lt;&gt;"", I6*J6, "")</f>
        <v>0</v>
      </c>
      <c r="L6" s="3">
        <f>IFERROR(SUMIFS('Customizable Reference'!I:I, 'Customizable Reference'!A:A, A6, 'Customizable Reference'!D:D, H6), "")</f>
        <v>0</v>
      </c>
      <c r="M6" s="2">
        <f>IF(I6&lt;&gt;"", (E6-I6)*J6, "")</f>
        <v>0</v>
      </c>
    </row>
  </sheetData>
  <pageMargins left="0.75" right="0.75" top="1" bottom="1" header="0.5" footer="0.5"/>
  <customProperties>
    <customPr name="GU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G21"/>
  <sheetViews>
    <sheetView workbookViewId="0"/>
  </sheetViews>
  <sheetFormatPr defaultRowHeight="15" x14ac:dyDescent="0.25"/>
  <sheetData>
    <row r="4" spans="1:7" x14ac:dyDescent="0.25">
      <c r="A4" s="4" t="s">
        <v>15</v>
      </c>
    </row>
    <row r="5" spans="1:7" x14ac:dyDescent="0.25">
      <c r="A5" s="4" t="s">
        <v>48</v>
      </c>
      <c r="B5" s="4" t="s">
        <v>10</v>
      </c>
      <c r="C5" s="4" t="s">
        <v>91</v>
      </c>
      <c r="D5" s="4" t="s">
        <v>92</v>
      </c>
      <c r="E5" s="4" t="s">
        <v>93</v>
      </c>
      <c r="F5" s="4" t="s">
        <v>94</v>
      </c>
      <c r="G5" s="4" t="s">
        <v>95</v>
      </c>
    </row>
    <row r="6" spans="1:7" x14ac:dyDescent="0.25">
      <c r="A6" t="s">
        <v>96</v>
      </c>
      <c r="B6">
        <f>IF(A6="", "", SUMIFS('Scenario Selector'!$J:$J, 'Scenario Selector'!$B:$B, 'Scenario Reports'!$A$4, 'Scenario Selector'!$H:$H, A6))</f>
        <v>0</v>
      </c>
      <c r="C6" t="str">
        <f>IF(B6=0, "", B6/SUMIFS('Scenario Selector'!$J:$J, 'Scenario Selector'!$B:$B, 'Scenario Reports'!$A$4))</f>
        <v/>
      </c>
      <c r="D6" t="e">
        <f>IF(A6="", "", AVERAGEIFS('Scenario Selector'!$E:E, 'Scenario Selector'!$B:$B, 'Scenario Reports'!$A$4, 'Scenario Selector'!$H:$H, A6))</f>
        <v>#DIV/0!</v>
      </c>
      <c r="E6" t="e">
        <f>IF(A6="", "", AVERAGEIFS('Scenario Selector'!$I:I, 'Scenario Selector'!$B:$B, 'Scenario Reports'!$A$4, 'Scenario Selector'!$H:$H, A6))</f>
        <v>#DIV/0!</v>
      </c>
      <c r="F6" t="e">
        <f>IF(AND(D6&gt;0, E6&gt;0), (D6-E6)/D6, "")</f>
        <v>#DIV/0!</v>
      </c>
      <c r="G6">
        <f>IFERROR(IF(A6="", "", SUMIFS('Scenario Selector'!$M:$M, 'Scenario Selector'!$B:$B, 'Scenario Reports'!$A$4, 'Scenario Selector'!$H:$H, A6)),"")</f>
        <v>0</v>
      </c>
    </row>
    <row r="19" spans="1:7" x14ac:dyDescent="0.25">
      <c r="A19" s="4" t="s">
        <v>38</v>
      </c>
    </row>
    <row r="20" spans="1:7" x14ac:dyDescent="0.25">
      <c r="A20" s="4" t="s">
        <v>48</v>
      </c>
      <c r="B20" s="4" t="s">
        <v>10</v>
      </c>
      <c r="C20" s="4" t="s">
        <v>91</v>
      </c>
      <c r="D20" s="4" t="s">
        <v>92</v>
      </c>
      <c r="E20" s="4" t="s">
        <v>93</v>
      </c>
      <c r="F20" s="4" t="s">
        <v>94</v>
      </c>
      <c r="G20" s="4" t="s">
        <v>95</v>
      </c>
    </row>
    <row r="21" spans="1:7" x14ac:dyDescent="0.25">
      <c r="A21" t="s">
        <v>97</v>
      </c>
      <c r="B21">
        <f>IF(A21="", "", SUMIFS('Scenario Selector'!$J:$J, 'Scenario Selector'!$B:$B, 'Scenario Reports'!$A$19, 'Scenario Selector'!$H:$H, A21))</f>
        <v>0</v>
      </c>
      <c r="C21" t="str">
        <f>IF(B21=0, "", B21/SUMIFS('Scenario Selector'!$J:$J, 'Scenario Selector'!$B:$B, 'Scenario Reports'!$A$19))</f>
        <v/>
      </c>
      <c r="D21" t="e">
        <f>IF(A21="", "", AVERAGEIFS('Scenario Selector'!$E:E, 'Scenario Selector'!$B:$B, 'Scenario Reports'!$A$19, 'Scenario Selector'!$H:$H, A21))</f>
        <v>#DIV/0!</v>
      </c>
      <c r="E21" t="e">
        <f>IF(A21="", "", AVERAGEIFS('Scenario Selector'!$I:I, 'Scenario Selector'!$B:$B, 'Scenario Reports'!$A$19, 'Scenario Selector'!$H:$H, A21))</f>
        <v>#DIV/0!</v>
      </c>
      <c r="F21" t="e">
        <f>IF(AND(D21&gt;0, E21&gt;0), (D21-E21)/D21, "")</f>
        <v>#DIV/0!</v>
      </c>
      <c r="G21">
        <f>IFERROR(IF(A21="", "", SUMIFS('Scenario Selector'!$M:$M, 'Scenario Selector'!$B:$B, 'Scenario Reports'!$A$19, 'Scenario Selector'!$H:$H, A21)),"")</f>
        <v>0</v>
      </c>
    </row>
  </sheetData>
  <pageMargins left="0.75" right="0.75" top="1" bottom="1" header="0.5" footer="0.5"/>
  <customProperties>
    <customPr name="GUID" r:id="rId1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'Scenario Converter'!$B$1:$H$1</xm:f>
          </x14:formula1>
          <xm:sqref>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17</v>
      </c>
      <c r="E2">
        <v>0.14499999999999999</v>
      </c>
      <c r="F2">
        <v>0.105</v>
      </c>
      <c r="G2">
        <v>3437457</v>
      </c>
      <c r="H2">
        <v>498431.26500000001</v>
      </c>
      <c r="I2" t="s">
        <v>27</v>
      </c>
      <c r="J2">
        <v>1.6897028001271259E-2</v>
      </c>
      <c r="K2">
        <v>3437457</v>
      </c>
      <c r="L2">
        <v>58082.807182165903</v>
      </c>
      <c r="M2">
        <v>10000000</v>
      </c>
      <c r="N2">
        <v>440348.45781783399</v>
      </c>
      <c r="O2">
        <v>302850.17781783408</v>
      </c>
    </row>
    <row r="3" spans="1:15" x14ac:dyDescent="0.25">
      <c r="A3">
        <v>2</v>
      </c>
      <c r="B3" t="s">
        <v>15</v>
      </c>
      <c r="C3" t="s">
        <v>18</v>
      </c>
      <c r="D3" t="s">
        <v>19</v>
      </c>
      <c r="E3">
        <v>0.98</v>
      </c>
      <c r="F3">
        <v>1.0289999999999999</v>
      </c>
      <c r="G3">
        <v>3001110</v>
      </c>
      <c r="H3">
        <v>2941087.8</v>
      </c>
      <c r="I3" t="s">
        <v>22</v>
      </c>
      <c r="J3">
        <v>0.96352612656699033</v>
      </c>
      <c r="K3">
        <v>3001110</v>
      </c>
      <c r="L3">
        <v>2891647.8937014602</v>
      </c>
      <c r="M3">
        <v>10000000</v>
      </c>
      <c r="N3">
        <v>49439.906298539601</v>
      </c>
      <c r="O3">
        <v>196494.29629853941</v>
      </c>
    </row>
    <row r="4" spans="1:15" x14ac:dyDescent="0.25">
      <c r="A4">
        <v>3</v>
      </c>
      <c r="B4" t="s">
        <v>15</v>
      </c>
      <c r="C4" t="s">
        <v>21</v>
      </c>
      <c r="D4" t="s">
        <v>22</v>
      </c>
      <c r="E4">
        <v>0.85</v>
      </c>
      <c r="F4">
        <v>0.89249999999999996</v>
      </c>
      <c r="G4">
        <v>24000</v>
      </c>
      <c r="H4">
        <v>20400</v>
      </c>
      <c r="I4" t="s">
        <v>17</v>
      </c>
      <c r="J4">
        <v>0.80197197492137406</v>
      </c>
      <c r="K4">
        <v>24000</v>
      </c>
      <c r="L4">
        <v>19247.327398112979</v>
      </c>
      <c r="M4">
        <v>10000000</v>
      </c>
      <c r="N4">
        <v>1152.6726018870211</v>
      </c>
      <c r="O4">
        <v>2172.6726018870208</v>
      </c>
    </row>
    <row r="5" spans="1:15" x14ac:dyDescent="0.25">
      <c r="A5">
        <v>4</v>
      </c>
      <c r="B5" t="s">
        <v>15</v>
      </c>
      <c r="C5" t="s">
        <v>23</v>
      </c>
      <c r="D5" t="s">
        <v>24</v>
      </c>
      <c r="E5">
        <v>1.25</v>
      </c>
      <c r="F5">
        <v>1.3125</v>
      </c>
      <c r="G5">
        <v>357800</v>
      </c>
      <c r="H5">
        <v>447250</v>
      </c>
      <c r="I5" t="s">
        <v>27</v>
      </c>
      <c r="J5">
        <v>1.425115038430556</v>
      </c>
      <c r="K5">
        <v>357800</v>
      </c>
      <c r="L5">
        <v>509906.16075045301</v>
      </c>
      <c r="M5">
        <v>10000000</v>
      </c>
      <c r="N5">
        <v>-62656.160750453011</v>
      </c>
      <c r="O5">
        <v>-40293.660750453011</v>
      </c>
    </row>
    <row r="6" spans="1:15" x14ac:dyDescent="0.25">
      <c r="A6">
        <v>5</v>
      </c>
      <c r="B6" t="s">
        <v>15</v>
      </c>
      <c r="C6" t="s">
        <v>25</v>
      </c>
      <c r="D6" t="s">
        <v>26</v>
      </c>
      <c r="E6">
        <v>0.34</v>
      </c>
      <c r="F6">
        <v>0.35699999999999998</v>
      </c>
      <c r="G6">
        <v>45000</v>
      </c>
      <c r="H6">
        <v>15300</v>
      </c>
      <c r="I6" t="s">
        <v>17</v>
      </c>
      <c r="J6">
        <v>0.36439431543408712</v>
      </c>
      <c r="K6">
        <v>45000</v>
      </c>
      <c r="L6">
        <v>16397.74419453392</v>
      </c>
      <c r="M6">
        <v>10000000</v>
      </c>
      <c r="N6">
        <v>-1097.7441945339181</v>
      </c>
      <c r="O6">
        <v>-332.7441945339163</v>
      </c>
    </row>
  </sheetData>
  <pageMargins left="0.75" right="0.75" top="1" bottom="1" header="0.5" footer="0.5"/>
  <customProperties>
    <customPr name="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17</v>
      </c>
      <c r="E2">
        <v>0.14499999999999999</v>
      </c>
      <c r="F2">
        <v>0.105</v>
      </c>
      <c r="G2">
        <v>3437457</v>
      </c>
      <c r="H2">
        <v>498431.26500000001</v>
      </c>
      <c r="I2" t="s">
        <v>27</v>
      </c>
      <c r="J2">
        <v>1.68970280012712E-2</v>
      </c>
      <c r="K2">
        <v>3437457</v>
      </c>
      <c r="L2">
        <v>58082.807182165692</v>
      </c>
      <c r="M2">
        <v>10000000</v>
      </c>
      <c r="N2">
        <v>440348.45781783428</v>
      </c>
      <c r="O2">
        <v>302850.17781783431</v>
      </c>
    </row>
    <row r="3" spans="1:15" x14ac:dyDescent="0.25">
      <c r="A3">
        <v>2</v>
      </c>
      <c r="B3" t="s">
        <v>15</v>
      </c>
      <c r="C3" t="s">
        <v>18</v>
      </c>
      <c r="D3" t="s">
        <v>19</v>
      </c>
      <c r="E3">
        <v>0.98</v>
      </c>
      <c r="F3">
        <v>1.0289999999999999</v>
      </c>
      <c r="G3">
        <v>3001110</v>
      </c>
      <c r="H3">
        <v>2941087.8</v>
      </c>
      <c r="I3" t="s">
        <v>22</v>
      </c>
      <c r="J3">
        <v>0.96352612656699044</v>
      </c>
      <c r="K3">
        <v>3001110</v>
      </c>
      <c r="L3">
        <v>2891647.8937014611</v>
      </c>
      <c r="M3">
        <v>10000000</v>
      </c>
      <c r="N3">
        <v>49439.906298539143</v>
      </c>
      <c r="O3">
        <v>196494.29629853909</v>
      </c>
    </row>
    <row r="4" spans="1:15" x14ac:dyDescent="0.25">
      <c r="A4">
        <v>3</v>
      </c>
      <c r="B4" t="s">
        <v>15</v>
      </c>
      <c r="C4" t="s">
        <v>21</v>
      </c>
      <c r="D4" t="s">
        <v>22</v>
      </c>
      <c r="E4">
        <v>0.85</v>
      </c>
      <c r="F4">
        <v>0.89249999999999996</v>
      </c>
      <c r="G4">
        <v>24000</v>
      </c>
      <c r="H4">
        <v>20400</v>
      </c>
      <c r="I4" t="s">
        <v>17</v>
      </c>
      <c r="J4">
        <v>0.80197197492137406</v>
      </c>
      <c r="K4">
        <v>24000</v>
      </c>
      <c r="L4">
        <v>19247.327398112979</v>
      </c>
      <c r="M4">
        <v>10000000</v>
      </c>
      <c r="N4">
        <v>1152.6726018870211</v>
      </c>
      <c r="O4">
        <v>2172.6726018870208</v>
      </c>
    </row>
    <row r="5" spans="1:15" x14ac:dyDescent="0.25">
      <c r="A5">
        <v>4</v>
      </c>
      <c r="B5" t="s">
        <v>15</v>
      </c>
      <c r="C5" t="s">
        <v>23</v>
      </c>
      <c r="D5" t="s">
        <v>24</v>
      </c>
      <c r="E5">
        <v>1.25</v>
      </c>
      <c r="F5">
        <v>1.3125</v>
      </c>
      <c r="G5">
        <v>357800</v>
      </c>
      <c r="H5">
        <v>447250</v>
      </c>
      <c r="I5" t="s">
        <v>27</v>
      </c>
      <c r="J5">
        <v>1.425115038430556</v>
      </c>
      <c r="K5">
        <v>357800</v>
      </c>
      <c r="L5">
        <v>509906.16075045301</v>
      </c>
      <c r="M5">
        <v>10000000</v>
      </c>
      <c r="N5">
        <v>-62656.160750453011</v>
      </c>
      <c r="O5">
        <v>-40293.660750453011</v>
      </c>
    </row>
    <row r="6" spans="1:15" x14ac:dyDescent="0.25">
      <c r="A6">
        <v>5</v>
      </c>
      <c r="B6" t="s">
        <v>15</v>
      </c>
      <c r="C6" t="s">
        <v>25</v>
      </c>
      <c r="D6" t="s">
        <v>26</v>
      </c>
      <c r="E6">
        <v>0.34</v>
      </c>
      <c r="F6">
        <v>0.35699999999999998</v>
      </c>
      <c r="G6">
        <v>45000</v>
      </c>
      <c r="H6">
        <v>15300</v>
      </c>
      <c r="I6" t="s">
        <v>17</v>
      </c>
      <c r="J6">
        <v>0.36439431543408701</v>
      </c>
      <c r="K6">
        <v>45000</v>
      </c>
      <c r="L6">
        <v>16397.74419453392</v>
      </c>
      <c r="M6">
        <v>10000000</v>
      </c>
      <c r="N6">
        <v>-1097.744194533914</v>
      </c>
      <c r="O6">
        <v>-332.7441945339163</v>
      </c>
    </row>
  </sheetData>
  <pageMargins left="0.75" right="0.75" top="1" bottom="1" header="0.5" footer="0.5"/>
  <customProperties>
    <customPr name="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17</v>
      </c>
      <c r="E2">
        <v>0.14499999999999999</v>
      </c>
      <c r="F2">
        <v>0.105</v>
      </c>
      <c r="G2">
        <v>3437457</v>
      </c>
      <c r="H2">
        <v>498431.26500000001</v>
      </c>
      <c r="I2" t="s">
        <v>17</v>
      </c>
      <c r="J2">
        <v>0.05</v>
      </c>
      <c r="K2">
        <v>3437457</v>
      </c>
      <c r="L2">
        <v>171872.85</v>
      </c>
      <c r="M2">
        <v>10000000</v>
      </c>
      <c r="N2">
        <v>326558.41499999992</v>
      </c>
      <c r="O2">
        <v>189060.13500000001</v>
      </c>
    </row>
    <row r="3" spans="1:15" x14ac:dyDescent="0.25">
      <c r="A3">
        <v>2</v>
      </c>
      <c r="B3" t="s">
        <v>15</v>
      </c>
      <c r="C3" t="s">
        <v>18</v>
      </c>
      <c r="D3" t="s">
        <v>19</v>
      </c>
      <c r="E3">
        <v>0.98</v>
      </c>
      <c r="G3">
        <v>3001110</v>
      </c>
      <c r="H3">
        <v>2941087.8</v>
      </c>
      <c r="I3" t="s">
        <v>28</v>
      </c>
      <c r="K3">
        <v>3001110</v>
      </c>
    </row>
    <row r="4" spans="1:15" x14ac:dyDescent="0.25">
      <c r="A4">
        <v>3</v>
      </c>
      <c r="B4" t="s">
        <v>15</v>
      </c>
      <c r="C4" t="s">
        <v>21</v>
      </c>
      <c r="D4" t="s">
        <v>22</v>
      </c>
      <c r="E4">
        <v>0.85</v>
      </c>
      <c r="F4">
        <v>0.89249999999999996</v>
      </c>
      <c r="G4">
        <v>24000</v>
      </c>
      <c r="H4">
        <v>20400</v>
      </c>
      <c r="I4" t="s">
        <v>22</v>
      </c>
      <c r="J4">
        <v>0.812129340958895</v>
      </c>
      <c r="K4">
        <v>24000</v>
      </c>
      <c r="L4">
        <v>19491.104183013482</v>
      </c>
      <c r="M4">
        <v>10000000</v>
      </c>
      <c r="N4">
        <v>908.89581698652182</v>
      </c>
      <c r="O4">
        <v>1928.8958169865191</v>
      </c>
    </row>
    <row r="5" spans="1:15" x14ac:dyDescent="0.25">
      <c r="A5">
        <v>4</v>
      </c>
      <c r="B5" t="s">
        <v>15</v>
      </c>
      <c r="C5" t="s">
        <v>23</v>
      </c>
      <c r="D5" t="s">
        <v>24</v>
      </c>
      <c r="E5">
        <v>1.25</v>
      </c>
      <c r="F5">
        <v>1.3125</v>
      </c>
      <c r="G5">
        <v>357800</v>
      </c>
      <c r="H5">
        <v>447250</v>
      </c>
      <c r="I5" t="s">
        <v>24</v>
      </c>
      <c r="J5">
        <v>1.445442132754102</v>
      </c>
      <c r="K5">
        <v>357800</v>
      </c>
      <c r="L5">
        <v>517179.19509941788</v>
      </c>
      <c r="M5">
        <v>10000000</v>
      </c>
      <c r="N5">
        <v>-69929.195099417877</v>
      </c>
      <c r="O5">
        <v>-47566.69509941787</v>
      </c>
    </row>
    <row r="6" spans="1:15" x14ac:dyDescent="0.25">
      <c r="A6">
        <v>5</v>
      </c>
      <c r="B6" t="s">
        <v>15</v>
      </c>
      <c r="C6" t="s">
        <v>25</v>
      </c>
      <c r="D6" t="s">
        <v>26</v>
      </c>
      <c r="E6">
        <v>0.34</v>
      </c>
      <c r="G6">
        <v>45000</v>
      </c>
      <c r="H6">
        <v>15300</v>
      </c>
      <c r="I6" t="s">
        <v>28</v>
      </c>
      <c r="K6">
        <v>45000</v>
      </c>
    </row>
  </sheetData>
  <pageMargins left="0.75" right="0.75" top="1" bottom="1" header="0.5" footer="0.5"/>
  <customProperties>
    <customPr name="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defaultRowHeight="15" x14ac:dyDescent="0.25"/>
  <sheetData>
    <row r="1" spans="1:7" x14ac:dyDescent="0.25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</row>
    <row r="2" spans="1:7" x14ac:dyDescent="0.25">
      <c r="A2" t="s">
        <v>15</v>
      </c>
      <c r="B2">
        <v>15</v>
      </c>
      <c r="C2">
        <v>15</v>
      </c>
      <c r="D2">
        <v>0</v>
      </c>
      <c r="E2" t="s">
        <v>36</v>
      </c>
      <c r="F2">
        <v>1</v>
      </c>
      <c r="G2" t="s">
        <v>37</v>
      </c>
    </row>
    <row r="3" spans="1:7" x14ac:dyDescent="0.25">
      <c r="A3" t="s">
        <v>38</v>
      </c>
      <c r="B3">
        <v>10</v>
      </c>
      <c r="C3">
        <v>10</v>
      </c>
      <c r="D3">
        <v>0</v>
      </c>
      <c r="E3" t="s">
        <v>36</v>
      </c>
      <c r="F3">
        <v>1</v>
      </c>
      <c r="G3" t="s">
        <v>39</v>
      </c>
    </row>
  </sheetData>
  <pageMargins left="0.75" right="0.75" top="1" bottom="1" header="0.5" footer="0.5"/>
  <customProperties>
    <customPr name="GU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workbookViewId="0"/>
  </sheetViews>
  <sheetFormatPr defaultRowHeight="15" x14ac:dyDescent="0.25"/>
  <sheetData>
    <row r="1" spans="1:4" x14ac:dyDescent="0.25">
      <c r="A1" s="1" t="s">
        <v>40</v>
      </c>
      <c r="B1" s="1" t="s">
        <v>41</v>
      </c>
      <c r="C1" s="1" t="s">
        <v>42</v>
      </c>
      <c r="D1" s="1" t="s">
        <v>43</v>
      </c>
    </row>
    <row r="2" spans="1:4" x14ac:dyDescent="0.25">
      <c r="A2" t="s">
        <v>17</v>
      </c>
      <c r="B2">
        <v>5</v>
      </c>
      <c r="C2">
        <v>5</v>
      </c>
      <c r="D2" t="s">
        <v>36</v>
      </c>
    </row>
    <row r="3" spans="1:4" x14ac:dyDescent="0.25">
      <c r="A3" t="s">
        <v>24</v>
      </c>
      <c r="B3">
        <v>5</v>
      </c>
      <c r="C3">
        <v>5</v>
      </c>
      <c r="D3" t="s">
        <v>36</v>
      </c>
    </row>
    <row r="4" spans="1:4" x14ac:dyDescent="0.25">
      <c r="A4" t="s">
        <v>44</v>
      </c>
      <c r="B4">
        <v>5</v>
      </c>
      <c r="C4">
        <v>5</v>
      </c>
      <c r="D4" t="s">
        <v>36</v>
      </c>
    </row>
    <row r="5" spans="1:4" x14ac:dyDescent="0.25">
      <c r="A5" t="s">
        <v>22</v>
      </c>
      <c r="B5">
        <v>5</v>
      </c>
      <c r="C5">
        <v>5</v>
      </c>
      <c r="D5" t="s">
        <v>36</v>
      </c>
    </row>
    <row r="6" spans="1:4" x14ac:dyDescent="0.25">
      <c r="A6" t="s">
        <v>27</v>
      </c>
      <c r="B6">
        <v>5</v>
      </c>
      <c r="C6">
        <v>5</v>
      </c>
      <c r="D6" t="s">
        <v>36</v>
      </c>
    </row>
    <row r="8" spans="1:4" x14ac:dyDescent="0.25">
      <c r="A8" t="s">
        <v>45</v>
      </c>
    </row>
    <row r="9" spans="1:4" x14ac:dyDescent="0.25">
      <c r="A9" s="1" t="s">
        <v>40</v>
      </c>
      <c r="B9" s="1" t="s">
        <v>41</v>
      </c>
      <c r="C9" s="1" t="s">
        <v>42</v>
      </c>
      <c r="D9" s="1" t="s">
        <v>43</v>
      </c>
    </row>
    <row r="10" spans="1:4" x14ac:dyDescent="0.25">
      <c r="A10" t="s">
        <v>17</v>
      </c>
      <c r="B10">
        <v>3</v>
      </c>
      <c r="C10">
        <v>3</v>
      </c>
      <c r="D10" t="s">
        <v>36</v>
      </c>
    </row>
    <row r="11" spans="1:4" x14ac:dyDescent="0.25">
      <c r="A11" t="s">
        <v>24</v>
      </c>
      <c r="B11">
        <v>3</v>
      </c>
      <c r="C11">
        <v>3</v>
      </c>
      <c r="D11" t="s">
        <v>36</v>
      </c>
    </row>
    <row r="12" spans="1:4" x14ac:dyDescent="0.25">
      <c r="A12" t="s">
        <v>44</v>
      </c>
      <c r="B12">
        <v>3</v>
      </c>
      <c r="C12">
        <v>3</v>
      </c>
      <c r="D12" t="s">
        <v>36</v>
      </c>
    </row>
    <row r="13" spans="1:4" x14ac:dyDescent="0.25">
      <c r="A13" t="s">
        <v>22</v>
      </c>
      <c r="B13">
        <v>3</v>
      </c>
      <c r="C13">
        <v>3</v>
      </c>
      <c r="D13" t="s">
        <v>36</v>
      </c>
    </row>
    <row r="14" spans="1:4" x14ac:dyDescent="0.25">
      <c r="A14" t="s">
        <v>27</v>
      </c>
      <c r="B14">
        <v>3</v>
      </c>
      <c r="C14">
        <v>3</v>
      </c>
      <c r="D14" t="s">
        <v>36</v>
      </c>
    </row>
    <row r="16" spans="1:4" x14ac:dyDescent="0.25">
      <c r="A16" t="s">
        <v>46</v>
      </c>
    </row>
    <row r="17" spans="1:4" x14ac:dyDescent="0.25">
      <c r="A17" s="1" t="s">
        <v>40</v>
      </c>
      <c r="B17" s="1" t="s">
        <v>41</v>
      </c>
      <c r="C17" s="1" t="s">
        <v>42</v>
      </c>
      <c r="D17" s="1" t="s">
        <v>43</v>
      </c>
    </row>
    <row r="18" spans="1:4" x14ac:dyDescent="0.25">
      <c r="A18" t="s">
        <v>17</v>
      </c>
      <c r="B18">
        <v>2</v>
      </c>
      <c r="C18">
        <v>2</v>
      </c>
      <c r="D18" t="s">
        <v>36</v>
      </c>
    </row>
    <row r="19" spans="1:4" x14ac:dyDescent="0.25">
      <c r="A19" t="s">
        <v>24</v>
      </c>
      <c r="B19">
        <v>2</v>
      </c>
      <c r="C19">
        <v>2</v>
      </c>
      <c r="D19" t="s">
        <v>36</v>
      </c>
    </row>
    <row r="20" spans="1:4" x14ac:dyDescent="0.25">
      <c r="A20" t="s">
        <v>44</v>
      </c>
      <c r="B20">
        <v>2</v>
      </c>
      <c r="C20">
        <v>2</v>
      </c>
      <c r="D20" t="s">
        <v>36</v>
      </c>
    </row>
    <row r="21" spans="1:4" x14ac:dyDescent="0.25">
      <c r="A21" t="s">
        <v>22</v>
      </c>
      <c r="B21">
        <v>2</v>
      </c>
      <c r="C21">
        <v>2</v>
      </c>
      <c r="D21" t="s">
        <v>36</v>
      </c>
    </row>
    <row r="22" spans="1:4" x14ac:dyDescent="0.25">
      <c r="A22" t="s">
        <v>27</v>
      </c>
      <c r="B22">
        <v>2</v>
      </c>
      <c r="C22">
        <v>2</v>
      </c>
      <c r="D22" t="s">
        <v>36</v>
      </c>
    </row>
  </sheetData>
  <pageMargins left="0.75" right="0.75" top="1" bottom="1" header="0.5" footer="0.5"/>
  <customProperties>
    <customPr name="GU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/>
  </sheetViews>
  <sheetFormatPr defaultRowHeight="15" x14ac:dyDescent="0.25"/>
  <sheetData>
    <row r="1" spans="1:6" x14ac:dyDescent="0.25">
      <c r="A1" s="1" t="s">
        <v>40</v>
      </c>
      <c r="B1" s="1" t="s">
        <v>16</v>
      </c>
      <c r="C1" s="1" t="s">
        <v>18</v>
      </c>
      <c r="D1" s="1" t="s">
        <v>21</v>
      </c>
      <c r="E1" s="1" t="s">
        <v>23</v>
      </c>
      <c r="F1" s="1" t="s">
        <v>25</v>
      </c>
    </row>
    <row r="2" spans="1:6" x14ac:dyDescent="0.25">
      <c r="A2" t="s">
        <v>17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6" x14ac:dyDescent="0.25">
      <c r="A3" t="s">
        <v>24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6" x14ac:dyDescent="0.25">
      <c r="A4" t="s">
        <v>44</v>
      </c>
      <c r="B4">
        <v>100</v>
      </c>
      <c r="C4">
        <v>100</v>
      </c>
      <c r="D4">
        <v>100</v>
      </c>
      <c r="E4">
        <v>100</v>
      </c>
      <c r="F4">
        <v>100</v>
      </c>
    </row>
    <row r="5" spans="1:6" x14ac:dyDescent="0.25">
      <c r="A5" t="s">
        <v>22</v>
      </c>
      <c r="B5">
        <v>100</v>
      </c>
      <c r="C5">
        <v>100</v>
      </c>
      <c r="D5">
        <v>100</v>
      </c>
      <c r="E5">
        <v>100</v>
      </c>
      <c r="F5">
        <v>100</v>
      </c>
    </row>
    <row r="6" spans="1:6" x14ac:dyDescent="0.25">
      <c r="A6" t="s">
        <v>27</v>
      </c>
      <c r="B6">
        <v>100</v>
      </c>
      <c r="C6">
        <v>100</v>
      </c>
      <c r="D6">
        <v>100</v>
      </c>
      <c r="E6">
        <v>100</v>
      </c>
      <c r="F6">
        <v>100</v>
      </c>
    </row>
  </sheetData>
  <pageMargins left="0.75" right="0.75" top="1" bottom="1" header="0.5" footer="0.5"/>
  <customProperties>
    <customPr name="GU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47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48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49</v>
      </c>
    </row>
    <row r="2" spans="1:14" x14ac:dyDescent="0.25">
      <c r="A2">
        <v>1</v>
      </c>
      <c r="B2" t="str">
        <f>IFERROR(VLOOKUP(A2, 'Customizable Reference'!A:B, 2, FALSE), "")</f>
        <v>A</v>
      </c>
      <c r="C2" t="s">
        <v>16</v>
      </c>
      <c r="D2" t="s">
        <v>17</v>
      </c>
      <c r="E2" s="2">
        <v>0.14499999999999999</v>
      </c>
      <c r="F2" s="3">
        <v>3437457</v>
      </c>
      <c r="G2" s="2">
        <f>E2*F2</f>
        <v>498431.26499999996</v>
      </c>
      <c r="I2" t="str">
        <f>IF(H2&lt;&gt;"", LEFT(H2, FIND("(", H2) - 2), "")</f>
        <v/>
      </c>
      <c r="J2" s="2">
        <f>IFERROR(SUMIFS('Customizable Reference'!J:J, 'Customizable Reference'!A:A, A2, 'Customizable Reference'!D:D, I2), "")</f>
        <v>0</v>
      </c>
      <c r="K2" s="3">
        <f>IFERROR(MIN(F2, M2), "")</f>
        <v>0</v>
      </c>
      <c r="L2" s="2">
        <f>IF(J2&lt;&gt;"", J2*K2, "")</f>
        <v>0</v>
      </c>
      <c r="M2" s="3">
        <f>IFERROR(SUMIFS('Customizable Reference'!I:I, 'Customizable Reference'!A:A, A2, 'Customizable Reference'!D:D, I2), "")</f>
        <v>0</v>
      </c>
      <c r="N2" s="2">
        <f>IF(J2&lt;&gt;"", (E2-J2)*K2, "")</f>
        <v>0</v>
      </c>
    </row>
    <row r="3" spans="1:14" x14ac:dyDescent="0.25">
      <c r="A3">
        <v>2</v>
      </c>
      <c r="B3" t="str">
        <f>IFERROR(VLOOKUP(A3, 'Customizable Reference'!A:B, 2, FALSE), "")</f>
        <v>A</v>
      </c>
      <c r="C3" t="s">
        <v>18</v>
      </c>
      <c r="D3" t="s">
        <v>19</v>
      </c>
      <c r="E3" s="2">
        <v>0.98</v>
      </c>
      <c r="F3" s="3">
        <v>3001110</v>
      </c>
      <c r="G3" s="2">
        <f>E3*F3</f>
        <v>2941087.8</v>
      </c>
      <c r="I3" t="str">
        <f>IF(H3&lt;&gt;"", LEFT(H3, FIND("(", H3) - 2), "")</f>
        <v/>
      </c>
      <c r="J3" s="2">
        <f>IFERROR(SUMIFS('Customizable Reference'!J:J, 'Customizable Reference'!A:A, A3, 'Customizable Reference'!D:D, I3), "")</f>
        <v>0</v>
      </c>
      <c r="K3" s="3">
        <f>IFERROR(MIN(F3, M3), "")</f>
        <v>0</v>
      </c>
      <c r="L3" s="2">
        <f>IF(J3&lt;&gt;"", J3*K3, "")</f>
        <v>0</v>
      </c>
      <c r="M3" s="3">
        <f>IFERROR(SUMIFS('Customizable Reference'!I:I, 'Customizable Reference'!A:A, A3, 'Customizable Reference'!D:D, I3), "")</f>
        <v>0</v>
      </c>
      <c r="N3" s="2">
        <f>IF(J3&lt;&gt;"", (E3-J3)*K3, "")</f>
        <v>0</v>
      </c>
    </row>
    <row r="4" spans="1:14" x14ac:dyDescent="0.25">
      <c r="A4">
        <v>3</v>
      </c>
      <c r="B4" t="str">
        <f>IFERROR(VLOOKUP(A4, 'Customizable Reference'!A:B, 2, FALSE), "")</f>
        <v>A</v>
      </c>
      <c r="C4" t="s">
        <v>21</v>
      </c>
      <c r="D4" t="s">
        <v>22</v>
      </c>
      <c r="E4" s="2">
        <v>0.85</v>
      </c>
      <c r="F4" s="3">
        <v>24000</v>
      </c>
      <c r="G4" s="2">
        <f>E4*F4</f>
        <v>20400</v>
      </c>
      <c r="I4" t="str">
        <f>IF(H4&lt;&gt;"", LEFT(H4, FIND("(", H4) - 2), "")</f>
        <v/>
      </c>
      <c r="J4" s="2">
        <f>IFERROR(SUMIFS('Customizable Reference'!J:J, 'Customizable Reference'!A:A, A4, 'Customizable Reference'!D:D, I4), "")</f>
        <v>0</v>
      </c>
      <c r="K4" s="3">
        <f>IFERROR(MIN(F4, M4), "")</f>
        <v>0</v>
      </c>
      <c r="L4" s="2">
        <f>IF(J4&lt;&gt;"", J4*K4, "")</f>
        <v>0</v>
      </c>
      <c r="M4" s="3">
        <f>IFERROR(SUMIFS('Customizable Reference'!I:I, 'Customizable Reference'!A:A, A4, 'Customizable Reference'!D:D, I4), "")</f>
        <v>0</v>
      </c>
      <c r="N4" s="2">
        <f>IF(J4&lt;&gt;"", (E4-J4)*K4, "")</f>
        <v>0</v>
      </c>
    </row>
    <row r="5" spans="1:14" x14ac:dyDescent="0.25">
      <c r="A5">
        <v>4</v>
      </c>
      <c r="B5" t="str">
        <f>IFERROR(VLOOKUP(A5, 'Customizable Reference'!A:B, 2, FALSE), "")</f>
        <v>B</v>
      </c>
      <c r="C5" t="s">
        <v>23</v>
      </c>
      <c r="D5" t="s">
        <v>24</v>
      </c>
      <c r="E5" s="2">
        <v>1.25</v>
      </c>
      <c r="F5" s="3">
        <v>357800</v>
      </c>
      <c r="G5" s="2">
        <f>E5*F5</f>
        <v>447250</v>
      </c>
      <c r="I5" t="str">
        <f>IF(H5&lt;&gt;"", LEFT(H5, FIND("(", H5) - 2), "")</f>
        <v/>
      </c>
      <c r="J5" s="2">
        <f>IFERROR(SUMIFS('Customizable Reference'!J:J, 'Customizable Reference'!A:A, A5, 'Customizable Reference'!D:D, I5), "")</f>
        <v>0</v>
      </c>
      <c r="K5" s="3">
        <f>IFERROR(MIN(F5, M5), "")</f>
        <v>0</v>
      </c>
      <c r="L5" s="2">
        <f>IF(J5&lt;&gt;"", J5*K5, "")</f>
        <v>0</v>
      </c>
      <c r="M5" s="3">
        <f>IFERROR(SUMIFS('Customizable Reference'!I:I, 'Customizable Reference'!A:A, A5, 'Customizable Reference'!D:D, I5), "")</f>
        <v>0</v>
      </c>
      <c r="N5" s="2">
        <f>IF(J5&lt;&gt;"", (E5-J5)*K5, "")</f>
        <v>0</v>
      </c>
    </row>
    <row r="6" spans="1:14" x14ac:dyDescent="0.25">
      <c r="A6">
        <v>5</v>
      </c>
      <c r="B6" t="str">
        <f>IFERROR(VLOOKUP(A6, 'Customizable Reference'!A:B, 2, FALSE), "")</f>
        <v>B</v>
      </c>
      <c r="C6" t="s">
        <v>25</v>
      </c>
      <c r="D6" t="s">
        <v>26</v>
      </c>
      <c r="E6" s="2">
        <v>0.34</v>
      </c>
      <c r="F6" s="3">
        <v>45000</v>
      </c>
      <c r="G6" s="2">
        <f>E6*F6</f>
        <v>15300.000000000002</v>
      </c>
      <c r="I6" t="str">
        <f>IF(H6&lt;&gt;"", LEFT(H6, FIND("(", H6) - 2), "")</f>
        <v/>
      </c>
      <c r="J6" s="2">
        <f>IFERROR(SUMIFS('Customizable Reference'!J:J, 'Customizable Reference'!A:A, A6, 'Customizable Reference'!D:D, I6), "")</f>
        <v>0</v>
      </c>
      <c r="K6" s="3">
        <f>IFERROR(MIN(F6, M6), "")</f>
        <v>0</v>
      </c>
      <c r="L6" s="2">
        <f>IF(J6&lt;&gt;"", J6*K6, "")</f>
        <v>0</v>
      </c>
      <c r="M6" s="3">
        <f>IFERROR(SUMIFS('Customizable Reference'!I:I, 'Customizable Reference'!A:A, A6, 'Customizable Reference'!D:D, I6), "")</f>
        <v>0</v>
      </c>
      <c r="N6" s="2">
        <f>IF(J6&lt;&gt;"", (E6-J6)*K6, "")</f>
        <v>0</v>
      </c>
    </row>
  </sheetData>
  <pageMargins left="0.75" right="0.75" top="1" bottom="1" header="0.5" footer="0.5"/>
  <customProperties>
    <customPr name="GUID" r:id="rId1"/>
  </customPropertie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SupplierLists!$A$1:$A$5</xm:f>
          </x14:formula1>
          <xm:sqref>H2</xm:sqref>
        </x14:dataValidation>
        <x14:dataValidation type="list" allowBlank="1" xr:uid="{00000000-0002-0000-0700-000001000000}">
          <x14:formula1>
            <xm:f>SupplierLists!$A$7:$A$11</xm:f>
          </x14:formula1>
          <xm:sqref>H3</xm:sqref>
        </x14:dataValidation>
        <x14:dataValidation type="list" allowBlank="1" xr:uid="{00000000-0002-0000-0700-000002000000}">
          <x14:formula1>
            <xm:f>SupplierLists!$A$13:$A$17</xm:f>
          </x14:formula1>
          <xm:sqref>H4</xm:sqref>
        </x14:dataValidation>
        <x14:dataValidation type="list" allowBlank="1" xr:uid="{00000000-0002-0000-0700-000003000000}">
          <x14:formula1>
            <xm:f>SupplierLists!$A$19:$A$23</xm:f>
          </x14:formula1>
          <xm:sqref>H5</xm:sqref>
        </x14:dataValidation>
        <x14:dataValidation type="list" allowBlank="1" xr:uid="{00000000-0002-0000-0700-000004000000}">
          <x14:formula1>
            <xm:f>SupplierLists!$A$25:$A$29</xm:f>
          </x14:formula1>
          <xm:sqref>H6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6"/>
  <sheetViews>
    <sheetView workbookViewId="0"/>
  </sheetViews>
  <sheetFormatPr defaultRowHeight="15" x14ac:dyDescent="0.25"/>
  <sheetData>
    <row r="1" spans="1:16" x14ac:dyDescent="0.25">
      <c r="A1" s="1" t="s">
        <v>0</v>
      </c>
      <c r="B1" s="1" t="s">
        <v>47</v>
      </c>
      <c r="C1" s="1" t="s">
        <v>50</v>
      </c>
      <c r="D1" s="1" t="s">
        <v>51</v>
      </c>
      <c r="E1" s="1" t="s">
        <v>6</v>
      </c>
      <c r="F1" s="1" t="s">
        <v>4</v>
      </c>
      <c r="G1" s="1" t="s">
        <v>5</v>
      </c>
      <c r="H1" s="1" t="s">
        <v>3</v>
      </c>
      <c r="I1" s="1" t="s">
        <v>52</v>
      </c>
      <c r="J1" s="1" t="s">
        <v>53</v>
      </c>
      <c r="K1" s="1" t="s">
        <v>2</v>
      </c>
      <c r="L1" s="1" t="s">
        <v>8</v>
      </c>
      <c r="M1" s="1" t="s">
        <v>7</v>
      </c>
      <c r="N1" s="1" t="s">
        <v>54</v>
      </c>
      <c r="O1" s="1" t="s">
        <v>49</v>
      </c>
      <c r="P1" s="1" t="s">
        <v>55</v>
      </c>
    </row>
    <row r="2" spans="1:16" x14ac:dyDescent="0.25">
      <c r="A2">
        <v>1</v>
      </c>
      <c r="B2" t="s">
        <v>15</v>
      </c>
      <c r="C2" t="s">
        <v>56</v>
      </c>
      <c r="D2" t="s">
        <v>17</v>
      </c>
      <c r="E2" s="3">
        <v>3437457</v>
      </c>
      <c r="F2" s="2">
        <v>0.14499999999999999</v>
      </c>
      <c r="G2">
        <v>0.105</v>
      </c>
      <c r="H2" t="s">
        <v>17</v>
      </c>
      <c r="I2" s="3">
        <v>10000000</v>
      </c>
      <c r="J2" s="2">
        <v>0.05</v>
      </c>
      <c r="K2" t="s">
        <v>16</v>
      </c>
      <c r="L2" t="s">
        <v>17</v>
      </c>
      <c r="M2" s="2">
        <v>498431.26500000001</v>
      </c>
      <c r="N2" t="b">
        <v>1</v>
      </c>
      <c r="O2" s="2">
        <v>326558.41499999998</v>
      </c>
      <c r="P2" t="s">
        <v>57</v>
      </c>
    </row>
    <row r="3" spans="1:16" x14ac:dyDescent="0.25">
      <c r="A3">
        <v>2</v>
      </c>
      <c r="B3" t="s">
        <v>15</v>
      </c>
      <c r="C3" t="s">
        <v>56</v>
      </c>
      <c r="D3" t="s">
        <v>17</v>
      </c>
      <c r="E3" s="3">
        <v>3001110</v>
      </c>
      <c r="F3" s="2">
        <v>0.98</v>
      </c>
      <c r="G3">
        <v>1.0289999999999999</v>
      </c>
      <c r="H3" t="s">
        <v>19</v>
      </c>
      <c r="I3" s="3">
        <v>10000000</v>
      </c>
      <c r="J3" s="2">
        <v>1.1982124563104639</v>
      </c>
      <c r="K3" t="s">
        <v>18</v>
      </c>
      <c r="L3" t="s">
        <v>17</v>
      </c>
      <c r="M3" s="2">
        <v>2941087.8</v>
      </c>
      <c r="N3" t="b">
        <v>1</v>
      </c>
      <c r="O3" s="2">
        <v>-654879.58475789637</v>
      </c>
      <c r="P3" t="s">
        <v>58</v>
      </c>
    </row>
    <row r="4" spans="1:16" x14ac:dyDescent="0.25">
      <c r="A4">
        <v>3</v>
      </c>
      <c r="B4" t="s">
        <v>15</v>
      </c>
      <c r="C4" t="s">
        <v>59</v>
      </c>
      <c r="D4" t="s">
        <v>17</v>
      </c>
      <c r="E4" s="3">
        <v>24000</v>
      </c>
      <c r="F4" s="2">
        <v>0.85</v>
      </c>
      <c r="G4">
        <v>0.89249999999999996</v>
      </c>
      <c r="H4" t="s">
        <v>22</v>
      </c>
      <c r="I4" s="3">
        <v>10000000</v>
      </c>
      <c r="J4" s="2">
        <v>0.80197197492137406</v>
      </c>
      <c r="K4" t="s">
        <v>21</v>
      </c>
      <c r="L4" t="s">
        <v>17</v>
      </c>
      <c r="M4" s="2">
        <v>20400</v>
      </c>
      <c r="N4" t="b">
        <v>1</v>
      </c>
      <c r="O4" s="2">
        <v>1152.672601887022</v>
      </c>
      <c r="P4" t="s">
        <v>60</v>
      </c>
    </row>
    <row r="5" spans="1:16" x14ac:dyDescent="0.25">
      <c r="A5">
        <v>4</v>
      </c>
      <c r="B5" t="s">
        <v>38</v>
      </c>
      <c r="C5" t="s">
        <v>59</v>
      </c>
      <c r="D5" t="s">
        <v>17</v>
      </c>
      <c r="E5" s="3">
        <v>357800</v>
      </c>
      <c r="F5" s="2">
        <v>1.25</v>
      </c>
      <c r="G5">
        <v>1.3125</v>
      </c>
      <c r="H5" t="s">
        <v>24</v>
      </c>
      <c r="I5" s="3">
        <v>10000000</v>
      </c>
      <c r="J5" s="2">
        <v>1.4546193605527691</v>
      </c>
      <c r="K5" t="s">
        <v>23</v>
      </c>
      <c r="L5" t="s">
        <v>17</v>
      </c>
      <c r="M5" s="2">
        <v>447250</v>
      </c>
      <c r="N5" t="b">
        <v>1</v>
      </c>
      <c r="O5" s="2">
        <v>-73212.80720578086</v>
      </c>
      <c r="P5" t="s">
        <v>61</v>
      </c>
    </row>
    <row r="6" spans="1:16" x14ac:dyDescent="0.25">
      <c r="A6">
        <v>5</v>
      </c>
      <c r="B6" t="s">
        <v>38</v>
      </c>
      <c r="C6" t="s">
        <v>62</v>
      </c>
      <c r="D6" t="s">
        <v>17</v>
      </c>
      <c r="E6" s="3">
        <v>45000</v>
      </c>
      <c r="F6" s="2">
        <v>0.34</v>
      </c>
      <c r="G6">
        <v>0.35699999999999998</v>
      </c>
      <c r="H6" t="s">
        <v>26</v>
      </c>
      <c r="I6" s="3">
        <v>10000000</v>
      </c>
      <c r="J6" s="2">
        <v>0.36439431543408701</v>
      </c>
      <c r="K6" t="s">
        <v>25</v>
      </c>
      <c r="L6" t="s">
        <v>17</v>
      </c>
      <c r="M6" s="2">
        <v>15300</v>
      </c>
      <c r="N6" t="b">
        <v>1</v>
      </c>
      <c r="O6" s="2">
        <v>-1097.744194533914</v>
      </c>
      <c r="P6" t="s">
        <v>63</v>
      </c>
    </row>
    <row r="7" spans="1:16" x14ac:dyDescent="0.25">
      <c r="A7">
        <v>1</v>
      </c>
      <c r="B7" t="s">
        <v>15</v>
      </c>
      <c r="C7" t="s">
        <v>56</v>
      </c>
      <c r="D7" t="s">
        <v>24</v>
      </c>
      <c r="E7" s="3">
        <v>3437457</v>
      </c>
      <c r="F7" s="2">
        <v>0.14499999999999999</v>
      </c>
      <c r="G7">
        <v>0.105</v>
      </c>
      <c r="H7" t="s">
        <v>17</v>
      </c>
      <c r="I7" s="3">
        <v>10000000</v>
      </c>
      <c r="J7" s="2">
        <v>2.9684239536279799E-2</v>
      </c>
      <c r="K7" t="s">
        <v>16</v>
      </c>
      <c r="L7" t="s">
        <v>24</v>
      </c>
      <c r="M7" s="2">
        <v>498431.26500000001</v>
      </c>
      <c r="N7" t="b">
        <v>1</v>
      </c>
      <c r="O7" s="2">
        <v>396392.96801633819</v>
      </c>
      <c r="P7" t="s">
        <v>64</v>
      </c>
    </row>
    <row r="8" spans="1:16" x14ac:dyDescent="0.25">
      <c r="A8">
        <v>2</v>
      </c>
      <c r="B8" t="s">
        <v>15</v>
      </c>
      <c r="C8" t="s">
        <v>56</v>
      </c>
      <c r="D8" t="s">
        <v>24</v>
      </c>
      <c r="E8" s="3">
        <v>3001110</v>
      </c>
      <c r="F8" s="2">
        <v>0.98</v>
      </c>
      <c r="G8">
        <v>1.0289999999999999</v>
      </c>
      <c r="H8" t="s">
        <v>19</v>
      </c>
      <c r="I8" s="3">
        <v>10000000</v>
      </c>
      <c r="J8" s="2">
        <v>1.170383365317758</v>
      </c>
      <c r="K8" t="s">
        <v>18</v>
      </c>
      <c r="L8" t="s">
        <v>24</v>
      </c>
      <c r="M8" s="2">
        <v>2941087.8</v>
      </c>
      <c r="N8" t="b">
        <v>1</v>
      </c>
      <c r="O8" s="2">
        <v>-571361.4214887768</v>
      </c>
      <c r="P8" t="s">
        <v>65</v>
      </c>
    </row>
    <row r="9" spans="1:16" x14ac:dyDescent="0.25">
      <c r="A9">
        <v>3</v>
      </c>
      <c r="B9" t="s">
        <v>15</v>
      </c>
      <c r="C9" t="s">
        <v>59</v>
      </c>
      <c r="D9" t="s">
        <v>24</v>
      </c>
      <c r="E9" s="3">
        <v>24000</v>
      </c>
      <c r="F9" s="2">
        <v>0.85</v>
      </c>
      <c r="G9">
        <v>0.89249999999999996</v>
      </c>
      <c r="H9" t="s">
        <v>22</v>
      </c>
      <c r="I9" s="3">
        <v>10000000</v>
      </c>
      <c r="J9" s="2">
        <v>0.80299446114729811</v>
      </c>
      <c r="K9" t="s">
        <v>21</v>
      </c>
      <c r="L9" t="s">
        <v>24</v>
      </c>
      <c r="M9" s="2">
        <v>20400</v>
      </c>
      <c r="N9" t="b">
        <v>1</v>
      </c>
      <c r="O9" s="2">
        <v>1128.132932464845</v>
      </c>
      <c r="P9" t="s">
        <v>66</v>
      </c>
    </row>
    <row r="10" spans="1:16" x14ac:dyDescent="0.25">
      <c r="A10">
        <v>4</v>
      </c>
      <c r="B10" t="s">
        <v>38</v>
      </c>
      <c r="C10" t="s">
        <v>59</v>
      </c>
      <c r="D10" t="s">
        <v>24</v>
      </c>
      <c r="E10" s="3">
        <v>357800</v>
      </c>
      <c r="F10" s="2">
        <v>1.25</v>
      </c>
      <c r="G10">
        <v>1.3125</v>
      </c>
      <c r="H10" t="s">
        <v>24</v>
      </c>
      <c r="I10" s="3">
        <v>10000000</v>
      </c>
      <c r="J10" s="2">
        <v>1.445442132754102</v>
      </c>
      <c r="K10" t="s">
        <v>23</v>
      </c>
      <c r="L10" t="s">
        <v>24</v>
      </c>
      <c r="M10" s="2">
        <v>447250</v>
      </c>
      <c r="N10" t="b">
        <v>1</v>
      </c>
      <c r="O10" s="2">
        <v>-69929.195099417877</v>
      </c>
      <c r="P10" t="s">
        <v>67</v>
      </c>
    </row>
    <row r="11" spans="1:16" x14ac:dyDescent="0.25">
      <c r="A11">
        <v>5</v>
      </c>
      <c r="B11" t="s">
        <v>38</v>
      </c>
      <c r="C11" t="s">
        <v>62</v>
      </c>
      <c r="D11" t="s">
        <v>24</v>
      </c>
      <c r="E11" s="3">
        <v>45000</v>
      </c>
      <c r="F11" s="2">
        <v>0.34</v>
      </c>
      <c r="G11">
        <v>0.35699999999999998</v>
      </c>
      <c r="H11" t="s">
        <v>26</v>
      </c>
      <c r="I11" s="3">
        <v>10000000</v>
      </c>
      <c r="J11" s="2">
        <v>0.37582883593462929</v>
      </c>
      <c r="K11" t="s">
        <v>25</v>
      </c>
      <c r="L11" t="s">
        <v>24</v>
      </c>
      <c r="M11" s="2">
        <v>15300</v>
      </c>
      <c r="N11" t="b">
        <v>1</v>
      </c>
      <c r="O11" s="2">
        <v>-1612.297617058317</v>
      </c>
      <c r="P11" t="s">
        <v>68</v>
      </c>
    </row>
    <row r="12" spans="1:16" x14ac:dyDescent="0.25">
      <c r="A12">
        <v>1</v>
      </c>
      <c r="B12" t="s">
        <v>15</v>
      </c>
      <c r="C12" t="s">
        <v>56</v>
      </c>
      <c r="D12" t="s">
        <v>44</v>
      </c>
      <c r="E12" s="3">
        <v>3437457</v>
      </c>
      <c r="F12" s="2">
        <v>0.14499999999999999</v>
      </c>
      <c r="G12">
        <v>0.105</v>
      </c>
      <c r="H12" t="s">
        <v>17</v>
      </c>
      <c r="I12" s="3">
        <v>10000000</v>
      </c>
      <c r="J12" s="2">
        <v>1.9684239536279801E-2</v>
      </c>
      <c r="K12" t="s">
        <v>16</v>
      </c>
      <c r="L12" t="s">
        <v>44</v>
      </c>
      <c r="M12" s="2">
        <v>498431.26500000001</v>
      </c>
      <c r="N12" t="b">
        <v>1</v>
      </c>
      <c r="O12" s="2">
        <v>430767.53801633831</v>
      </c>
      <c r="P12" t="s">
        <v>69</v>
      </c>
    </row>
    <row r="13" spans="1:16" x14ac:dyDescent="0.25">
      <c r="A13">
        <v>2</v>
      </c>
      <c r="B13" t="s">
        <v>15</v>
      </c>
      <c r="C13" t="s">
        <v>56</v>
      </c>
      <c r="D13" t="s">
        <v>44</v>
      </c>
      <c r="E13" s="3">
        <v>3001110</v>
      </c>
      <c r="F13" s="2">
        <v>0.98</v>
      </c>
      <c r="G13">
        <v>1.0289999999999999</v>
      </c>
      <c r="H13" t="s">
        <v>19</v>
      </c>
      <c r="I13" s="3">
        <v>10000000</v>
      </c>
      <c r="J13" s="2">
        <v>1.1804660909493969</v>
      </c>
      <c r="K13" t="s">
        <v>18</v>
      </c>
      <c r="L13" t="s">
        <v>44</v>
      </c>
      <c r="M13" s="2">
        <v>2941087.8</v>
      </c>
      <c r="N13" t="b">
        <v>1</v>
      </c>
      <c r="O13" s="2">
        <v>-601620.79020914529</v>
      </c>
      <c r="P13" t="s">
        <v>70</v>
      </c>
    </row>
    <row r="14" spans="1:16" x14ac:dyDescent="0.25">
      <c r="A14">
        <v>3</v>
      </c>
      <c r="B14" t="s">
        <v>15</v>
      </c>
      <c r="C14" t="s">
        <v>59</v>
      </c>
      <c r="D14" t="s">
        <v>44</v>
      </c>
      <c r="E14" s="3">
        <v>24000</v>
      </c>
      <c r="F14" s="2">
        <v>0.85</v>
      </c>
      <c r="G14">
        <v>0.89249999999999996</v>
      </c>
      <c r="H14" t="s">
        <v>22</v>
      </c>
      <c r="I14" s="3">
        <v>10000000</v>
      </c>
      <c r="J14" s="2">
        <v>0.8146364874478671</v>
      </c>
      <c r="K14" t="s">
        <v>21</v>
      </c>
      <c r="L14" t="s">
        <v>44</v>
      </c>
      <c r="M14" s="2">
        <v>20400</v>
      </c>
      <c r="N14" t="b">
        <v>1</v>
      </c>
      <c r="O14" s="2">
        <v>848.7243012511891</v>
      </c>
      <c r="P14" t="s">
        <v>71</v>
      </c>
    </row>
    <row r="15" spans="1:16" x14ac:dyDescent="0.25">
      <c r="A15">
        <v>4</v>
      </c>
      <c r="B15" t="s">
        <v>38</v>
      </c>
      <c r="C15" t="s">
        <v>59</v>
      </c>
      <c r="D15" t="s">
        <v>44</v>
      </c>
      <c r="E15" s="3">
        <v>357800</v>
      </c>
      <c r="F15" s="2">
        <v>1.25</v>
      </c>
      <c r="G15">
        <v>1.3125</v>
      </c>
      <c r="H15" t="s">
        <v>24</v>
      </c>
      <c r="I15" s="3">
        <v>10000000</v>
      </c>
      <c r="J15" s="2">
        <v>1.441797096265707</v>
      </c>
      <c r="K15" t="s">
        <v>23</v>
      </c>
      <c r="L15" t="s">
        <v>44</v>
      </c>
      <c r="M15" s="2">
        <v>447250</v>
      </c>
      <c r="N15" t="b">
        <v>1</v>
      </c>
      <c r="O15" s="2">
        <v>-68625.001043869866</v>
      </c>
      <c r="P15" t="s">
        <v>72</v>
      </c>
    </row>
    <row r="16" spans="1:16" x14ac:dyDescent="0.25">
      <c r="A16">
        <v>5</v>
      </c>
      <c r="B16" t="s">
        <v>38</v>
      </c>
      <c r="C16" t="s">
        <v>62</v>
      </c>
      <c r="D16" t="s">
        <v>44</v>
      </c>
      <c r="E16" s="3">
        <v>45000</v>
      </c>
      <c r="F16" s="2">
        <v>0.34</v>
      </c>
      <c r="G16">
        <v>0.35699999999999998</v>
      </c>
      <c r="H16" t="s">
        <v>26</v>
      </c>
      <c r="I16" s="3">
        <v>10000000</v>
      </c>
      <c r="J16" s="2">
        <v>0.36702377197544811</v>
      </c>
      <c r="K16" t="s">
        <v>25</v>
      </c>
      <c r="L16" t="s">
        <v>44</v>
      </c>
      <c r="M16" s="2">
        <v>15300</v>
      </c>
      <c r="N16" t="b">
        <v>1</v>
      </c>
      <c r="O16" s="2">
        <v>-1216.0697388951639</v>
      </c>
      <c r="P16" t="s">
        <v>73</v>
      </c>
    </row>
    <row r="17" spans="1:16" x14ac:dyDescent="0.25">
      <c r="A17">
        <v>1</v>
      </c>
      <c r="B17" t="s">
        <v>15</v>
      </c>
      <c r="C17" t="s">
        <v>56</v>
      </c>
      <c r="D17" t="s">
        <v>22</v>
      </c>
      <c r="E17" s="3">
        <v>3437457</v>
      </c>
      <c r="F17" s="2">
        <v>0.14499999999999999</v>
      </c>
      <c r="G17">
        <v>0.105</v>
      </c>
      <c r="H17" t="s">
        <v>17</v>
      </c>
      <c r="I17" s="3">
        <v>10000000</v>
      </c>
      <c r="J17" s="2">
        <v>0.23792059927489831</v>
      </c>
      <c r="K17" t="s">
        <v>16</v>
      </c>
      <c r="L17" t="s">
        <v>22</v>
      </c>
      <c r="M17" s="2">
        <v>498431.26500000001</v>
      </c>
      <c r="N17" t="b">
        <v>1</v>
      </c>
      <c r="O17" s="2">
        <v>-319410.56442169409</v>
      </c>
      <c r="P17" t="s">
        <v>74</v>
      </c>
    </row>
    <row r="18" spans="1:16" x14ac:dyDescent="0.25">
      <c r="A18">
        <v>2</v>
      </c>
      <c r="B18" t="s">
        <v>15</v>
      </c>
      <c r="C18" t="s">
        <v>56</v>
      </c>
      <c r="D18" t="s">
        <v>22</v>
      </c>
      <c r="E18" s="3">
        <v>3001110</v>
      </c>
      <c r="F18" s="2">
        <v>0.98</v>
      </c>
      <c r="G18">
        <v>1.0289999999999999</v>
      </c>
      <c r="H18" t="s">
        <v>19</v>
      </c>
      <c r="I18" s="3">
        <v>10000000</v>
      </c>
      <c r="J18" s="2">
        <v>0.96352612656699044</v>
      </c>
      <c r="K18" t="s">
        <v>18</v>
      </c>
      <c r="L18" t="s">
        <v>22</v>
      </c>
      <c r="M18" s="2">
        <v>2941087.8</v>
      </c>
      <c r="N18" t="b">
        <v>1</v>
      </c>
      <c r="O18" s="2">
        <v>49439.906298539267</v>
      </c>
      <c r="P18" t="s">
        <v>75</v>
      </c>
    </row>
    <row r="19" spans="1:16" x14ac:dyDescent="0.25">
      <c r="A19">
        <v>3</v>
      </c>
      <c r="B19" t="s">
        <v>15</v>
      </c>
      <c r="C19" t="s">
        <v>59</v>
      </c>
      <c r="D19" t="s">
        <v>22</v>
      </c>
      <c r="E19" s="3">
        <v>24000</v>
      </c>
      <c r="F19" s="2">
        <v>0.85</v>
      </c>
      <c r="G19">
        <v>0.89249999999999996</v>
      </c>
      <c r="H19" t="s">
        <v>22</v>
      </c>
      <c r="I19" s="3">
        <v>10000000</v>
      </c>
      <c r="J19" s="2">
        <v>0.812129340958895</v>
      </c>
      <c r="K19" t="s">
        <v>21</v>
      </c>
      <c r="L19" t="s">
        <v>22</v>
      </c>
      <c r="M19" s="2">
        <v>20400</v>
      </c>
      <c r="N19" t="b">
        <v>1</v>
      </c>
      <c r="O19" s="2">
        <v>908.89581698651955</v>
      </c>
      <c r="P19" t="s">
        <v>76</v>
      </c>
    </row>
    <row r="20" spans="1:16" x14ac:dyDescent="0.25">
      <c r="A20">
        <v>4</v>
      </c>
      <c r="B20" t="s">
        <v>38</v>
      </c>
      <c r="C20" t="s">
        <v>59</v>
      </c>
      <c r="D20" t="s">
        <v>22</v>
      </c>
      <c r="E20" s="3">
        <v>357800</v>
      </c>
      <c r="F20" s="2">
        <v>1.25</v>
      </c>
      <c r="G20">
        <v>1.3125</v>
      </c>
      <c r="H20" t="s">
        <v>24</v>
      </c>
      <c r="I20" s="3">
        <v>10000000</v>
      </c>
      <c r="J20" s="2">
        <v>1.4407637142680829</v>
      </c>
      <c r="K20" t="s">
        <v>23</v>
      </c>
      <c r="L20" t="s">
        <v>22</v>
      </c>
      <c r="M20" s="2">
        <v>447250</v>
      </c>
      <c r="N20" t="b">
        <v>1</v>
      </c>
      <c r="O20" s="2">
        <v>-68255.256965120061</v>
      </c>
      <c r="P20" t="s">
        <v>77</v>
      </c>
    </row>
    <row r="21" spans="1:16" x14ac:dyDescent="0.25">
      <c r="A21">
        <v>5</v>
      </c>
      <c r="B21" t="s">
        <v>38</v>
      </c>
      <c r="C21" t="s">
        <v>62</v>
      </c>
      <c r="D21" t="s">
        <v>22</v>
      </c>
      <c r="E21" s="3">
        <v>45000</v>
      </c>
      <c r="F21" s="2">
        <v>0.34</v>
      </c>
      <c r="G21">
        <v>0.35699999999999998</v>
      </c>
      <c r="H21" t="s">
        <v>26</v>
      </c>
      <c r="I21" s="3">
        <v>10000000</v>
      </c>
      <c r="J21" s="2">
        <v>0.45905772765551361</v>
      </c>
      <c r="K21" t="s">
        <v>25</v>
      </c>
      <c r="L21" t="s">
        <v>22</v>
      </c>
      <c r="M21" s="2">
        <v>15300</v>
      </c>
      <c r="N21" t="b">
        <v>1</v>
      </c>
      <c r="O21" s="2">
        <v>-5357.5977444981118</v>
      </c>
      <c r="P21" t="s">
        <v>78</v>
      </c>
    </row>
    <row r="22" spans="1:16" x14ac:dyDescent="0.25">
      <c r="A22">
        <v>1</v>
      </c>
      <c r="B22" t="s">
        <v>15</v>
      </c>
      <c r="C22" t="s">
        <v>56</v>
      </c>
      <c r="D22" t="s">
        <v>27</v>
      </c>
      <c r="E22" s="3">
        <v>3437457</v>
      </c>
      <c r="F22" s="2">
        <v>0.14499999999999999</v>
      </c>
      <c r="G22">
        <v>0.105</v>
      </c>
      <c r="H22" t="s">
        <v>17</v>
      </c>
      <c r="I22" s="3">
        <v>10000000</v>
      </c>
      <c r="J22" s="2">
        <v>1.68970280012712E-2</v>
      </c>
      <c r="K22" t="s">
        <v>16</v>
      </c>
      <c r="L22" t="s">
        <v>27</v>
      </c>
      <c r="M22" s="2">
        <v>498431.26500000001</v>
      </c>
      <c r="N22" t="b">
        <v>1</v>
      </c>
      <c r="O22" s="2">
        <v>440348.45781783422</v>
      </c>
      <c r="P22" t="s">
        <v>79</v>
      </c>
    </row>
    <row r="23" spans="1:16" x14ac:dyDescent="0.25">
      <c r="A23">
        <v>2</v>
      </c>
      <c r="B23" t="s">
        <v>15</v>
      </c>
      <c r="C23" t="s">
        <v>56</v>
      </c>
      <c r="D23" t="s">
        <v>27</v>
      </c>
      <c r="E23" s="3">
        <v>3001110</v>
      </c>
      <c r="F23" s="2">
        <v>0.98</v>
      </c>
      <c r="G23">
        <v>1.0289999999999999</v>
      </c>
      <c r="H23" t="s">
        <v>19</v>
      </c>
      <c r="I23" s="3">
        <v>10000000</v>
      </c>
      <c r="J23" s="2">
        <v>1.1832348724880919</v>
      </c>
      <c r="K23" t="s">
        <v>18</v>
      </c>
      <c r="L23" t="s">
        <v>27</v>
      </c>
      <c r="M23" s="2">
        <v>2941087.8</v>
      </c>
      <c r="N23" t="b">
        <v>1</v>
      </c>
      <c r="O23" s="2">
        <v>-609930.20817273681</v>
      </c>
      <c r="P23" t="s">
        <v>80</v>
      </c>
    </row>
    <row r="24" spans="1:16" x14ac:dyDescent="0.25">
      <c r="A24">
        <v>3</v>
      </c>
      <c r="B24" t="s">
        <v>15</v>
      </c>
      <c r="C24" t="s">
        <v>59</v>
      </c>
      <c r="D24" t="s">
        <v>27</v>
      </c>
      <c r="E24" s="3">
        <v>24000</v>
      </c>
      <c r="F24" s="2">
        <v>0.85</v>
      </c>
      <c r="G24">
        <v>0.89249999999999996</v>
      </c>
      <c r="H24" t="s">
        <v>22</v>
      </c>
      <c r="I24" s="3">
        <v>10000000</v>
      </c>
      <c r="J24" s="2">
        <v>0.81295867768683094</v>
      </c>
      <c r="K24" t="s">
        <v>21</v>
      </c>
      <c r="L24" t="s">
        <v>27</v>
      </c>
      <c r="M24" s="2">
        <v>20400</v>
      </c>
      <c r="N24" t="b">
        <v>1</v>
      </c>
      <c r="O24" s="2">
        <v>888.99173551605679</v>
      </c>
      <c r="P24" t="s">
        <v>81</v>
      </c>
    </row>
    <row r="25" spans="1:16" x14ac:dyDescent="0.25">
      <c r="A25">
        <v>4</v>
      </c>
      <c r="B25" t="s">
        <v>38</v>
      </c>
      <c r="C25" t="s">
        <v>59</v>
      </c>
      <c r="D25" t="s">
        <v>27</v>
      </c>
      <c r="E25" s="3">
        <v>357800</v>
      </c>
      <c r="F25" s="2">
        <v>1.25</v>
      </c>
      <c r="G25">
        <v>1.3125</v>
      </c>
      <c r="H25" t="s">
        <v>24</v>
      </c>
      <c r="I25" s="3">
        <v>10000000</v>
      </c>
      <c r="J25" s="2">
        <v>1.425115038430556</v>
      </c>
      <c r="K25" t="s">
        <v>23</v>
      </c>
      <c r="L25" t="s">
        <v>27</v>
      </c>
      <c r="M25" s="2">
        <v>447250</v>
      </c>
      <c r="N25" t="b">
        <v>1</v>
      </c>
      <c r="O25" s="2">
        <v>-62656.160750453011</v>
      </c>
      <c r="P25" t="s">
        <v>82</v>
      </c>
    </row>
    <row r="26" spans="1:16" x14ac:dyDescent="0.25">
      <c r="A26">
        <v>5</v>
      </c>
      <c r="B26" t="s">
        <v>38</v>
      </c>
      <c r="C26" t="s">
        <v>62</v>
      </c>
      <c r="D26" t="s">
        <v>27</v>
      </c>
      <c r="E26" s="3">
        <v>45000</v>
      </c>
      <c r="F26" s="2">
        <v>0.34</v>
      </c>
      <c r="G26">
        <v>0.35699999999999998</v>
      </c>
      <c r="H26" t="s">
        <v>26</v>
      </c>
      <c r="I26" s="3">
        <v>10000000</v>
      </c>
      <c r="J26" s="2">
        <v>0.39429110701209741</v>
      </c>
      <c r="K26" t="s">
        <v>25</v>
      </c>
      <c r="L26" t="s">
        <v>27</v>
      </c>
      <c r="M26" s="2">
        <v>15300</v>
      </c>
      <c r="N26" t="b">
        <v>1</v>
      </c>
      <c r="O26" s="2">
        <v>-2443.0998155443822</v>
      </c>
      <c r="P26" t="s">
        <v>83</v>
      </c>
    </row>
  </sheetData>
  <pageMargins left="0.75" right="0.75" top="1" bottom="1" header="0.5" footer="0.5"/>
  <customProperties>
    <customPr name="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#As-Is</vt:lpstr>
      <vt:lpstr>#Best of Best</vt:lpstr>
      <vt:lpstr>#BOB Excl Suppliers</vt:lpstr>
      <vt:lpstr>#As-Is Excl Suppliers</vt:lpstr>
      <vt:lpstr>Competitiveness_Report</vt:lpstr>
      <vt:lpstr>Supplier Coverage</vt:lpstr>
      <vt:lpstr>Facility_Coverage</vt:lpstr>
      <vt:lpstr>Customizable Template</vt:lpstr>
      <vt:lpstr>Customizable Reference</vt:lpstr>
      <vt:lpstr>Scenario Converter</vt:lpstr>
      <vt:lpstr>SupplierLists</vt:lpstr>
      <vt:lpstr>Scenario Selector</vt:lpstr>
      <vt:lpstr>Scenario 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Wates, Peyton H</cp:lastModifiedBy>
  <dcterms:created xsi:type="dcterms:W3CDTF">2025-01-09T20:55:02Z</dcterms:created>
  <dcterms:modified xsi:type="dcterms:W3CDTF">2025-01-09T20:56:47Z</dcterms:modified>
</cp:coreProperties>
</file>