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feliciano/Documents/"/>
    </mc:Choice>
  </mc:AlternateContent>
  <xr:revisionPtr revIDLastSave="0" documentId="13_ncr:1_{D776D2C5-0C56-814B-A2AB-29581ADF0206}" xr6:coauthVersionLast="46" xr6:coauthVersionMax="46" xr10:uidLastSave="{00000000-0000-0000-0000-000000000000}"/>
  <bookViews>
    <workbookView xWindow="0" yWindow="500" windowWidth="28140" windowHeight="16280" activeTab="3" xr2:uid="{00000000-000D-0000-FFFF-FFFF00000000}"/>
  </bookViews>
  <sheets>
    <sheet name="Sheet1(RawData)" sheetId="1" r:id="rId1"/>
    <sheet name="Data1" sheetId="2" r:id="rId2"/>
    <sheet name="Data2" sheetId="9" r:id="rId3"/>
    <sheet name="Backers stats" sheetId="17" r:id="rId4"/>
    <sheet name="state-Cat PTable" sheetId="6" r:id="rId5"/>
    <sheet name="state-SubCat PTable" sheetId="7" r:id="rId6"/>
    <sheet name="state-Date Created PTable" sheetId="8" r:id="rId7"/>
  </sheets>
  <definedNames>
    <definedName name="_xlnm._FilterDatabase" localSheetId="1" hidden="1">Data1!$A$1:$T$1</definedName>
  </definedNames>
  <calcPr calcId="191029"/>
  <pivotCaches>
    <pivotCache cacheId="48" r:id="rId8"/>
    <pivotCache cacheId="4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7" l="1"/>
  <c r="C2" i="17"/>
  <c r="B2" i="17"/>
  <c r="D7" i="17"/>
  <c r="C7" i="17"/>
  <c r="B7" i="17"/>
  <c r="D6" i="17"/>
  <c r="C6" i="17"/>
  <c r="B6" i="17"/>
  <c r="D5" i="17"/>
  <c r="C5" i="17"/>
  <c r="B5" i="17"/>
  <c r="D4" i="17"/>
  <c r="C4" i="17"/>
  <c r="B4" i="17"/>
  <c r="D3" i="17"/>
  <c r="C3" i="17"/>
  <c r="B3" i="17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2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B2" i="9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</calcChain>
</file>

<file path=xl/sharedStrings.xml><?xml version="1.0" encoding="utf-8"?>
<sst xmlns="http://schemas.openxmlformats.org/spreadsheetml/2006/main" count="57758" uniqueCount="8416">
  <si>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</si>
  <si>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</si>
  <si>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</si>
  <si>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</si>
  <si>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</si>
  <si>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</si>
  <si>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</si>
  <si>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</si>
  <si>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</si>
  <si>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</si>
  <si>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</si>
  <si>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</si>
  <si>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</si>
  <si>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</si>
  <si>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</si>
  <si>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</si>
  <si>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</si>
  <si>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</si>
  <si>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</si>
  <si>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</si>
  <si>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</si>
  <si>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</si>
  <si>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</si>
  <si>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</si>
  <si>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</si>
  <si>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</si>
  <si>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</si>
  <si>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</si>
  <si>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</si>
  <si>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</si>
  <si>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</si>
  <si>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</si>
  <si>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</si>
  <si>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</si>
  <si>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</si>
  <si>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</si>
  <si>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</si>
  <si>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</si>
  <si>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</si>
  <si>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</si>
  <si>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</si>
  <si>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</si>
  <si>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</si>
  <si>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</si>
  <si>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</si>
  <si>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</si>
  <si>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</si>
  <si>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</si>
  <si>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</si>
  <si>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</si>
  <si>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</si>
  <si>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</si>
  <si>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</si>
  <si>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</si>
  <si>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</si>
  <si>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</si>
  <si>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</si>
  <si>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</si>
  <si>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</si>
  <si>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</si>
  <si>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</si>
  <si>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</si>
  <si>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</si>
  <si>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</si>
  <si>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</si>
  <si>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</si>
  <si>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</si>
  <si>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</si>
  <si>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</si>
  <si>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</si>
  <si>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</si>
  <si>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</si>
  <si>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</si>
  <si>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</si>
  <si>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</si>
  <si>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</si>
  <si>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</si>
  <si>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</si>
  <si>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</si>
  <si>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</si>
  <si>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</si>
  <si>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</si>
  <si>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</si>
  <si>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</si>
  <si>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</si>
  <si>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</si>
  <si>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</si>
  <si>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</si>
  <si>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</si>
  <si>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</si>
  <si>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</si>
  <si>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</si>
  <si>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</si>
  <si>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</si>
  <si>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</si>
  <si>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</si>
  <si>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</si>
  <si>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</si>
  <si>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</si>
  <si>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</si>
  <si>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</si>
  <si>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</si>
  <si>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</si>
  <si>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</si>
  <si>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</si>
  <si>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</si>
  <si>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</si>
  <si>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</si>
  <si>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</si>
  <si>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</si>
  <si>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</si>
  <si>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</si>
  <si>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</si>
  <si>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</si>
  <si>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</si>
  <si>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</si>
  <si>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</si>
  <si>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</si>
  <si>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</si>
  <si>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</si>
  <si>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</si>
  <si>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</si>
  <si>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</si>
  <si>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</si>
  <si>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</si>
  <si>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</si>
  <si>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</si>
  <si>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</si>
  <si>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</si>
  <si>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</si>
  <si>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</si>
  <si>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</si>
  <si>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</si>
  <si>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</si>
  <si>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</si>
  <si>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</si>
  <si>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</si>
  <si>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</si>
  <si>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</si>
  <si>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</si>
  <si>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</si>
  <si>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</si>
  <si>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</si>
  <si>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</si>
  <si>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</si>
  <si>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</si>
  <si>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</si>
  <si>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</si>
  <si>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</si>
  <si>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</si>
  <si>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</si>
  <si>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</si>
  <si>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</si>
  <si>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</si>
  <si>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</si>
  <si>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</si>
  <si>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</si>
  <si>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</si>
  <si>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</si>
  <si>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</si>
  <si>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</si>
  <si>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</si>
  <si>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</si>
  <si>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</si>
  <si>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</si>
  <si>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</si>
  <si>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</si>
  <si>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</si>
  <si>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</si>
  <si>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</si>
  <si>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</si>
  <si>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</si>
  <si>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</si>
  <si>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</si>
  <si>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</si>
  <si>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</si>
  <si>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</si>
  <si>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</si>
  <si>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</si>
  <si>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</si>
  <si>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</si>
  <si>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</si>
  <si>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</si>
  <si>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</si>
  <si>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</si>
  <si>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</si>
  <si>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</si>
  <si>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</si>
  <si>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</si>
  <si>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</si>
  <si>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</si>
  <si>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</si>
  <si>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</si>
  <si>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</si>
  <si>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</si>
  <si>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</si>
  <si>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</si>
  <si>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</si>
  <si>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</si>
  <si>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</si>
  <si>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</si>
  <si>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</si>
  <si>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</si>
  <si>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</si>
  <si>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</si>
  <si>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</si>
  <si>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</si>
  <si>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</si>
  <si>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</si>
  <si>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</si>
  <si>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</si>
  <si>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</si>
  <si>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</si>
  <si>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</si>
  <si>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</si>
  <si>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</si>
  <si>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</si>
  <si>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</si>
  <si>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</si>
  <si>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</si>
  <si>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</si>
  <si>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</si>
  <si>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</si>
  <si>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</si>
  <si>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</si>
  <si>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</si>
  <si>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</si>
  <si>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</si>
  <si>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</si>
  <si>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</si>
  <si>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</si>
  <si>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</si>
  <si>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</si>
  <si>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</si>
  <si>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</si>
  <si>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</si>
  <si>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</si>
  <si>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</si>
  <si>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</si>
  <si>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</si>
  <si>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</si>
  <si>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</si>
  <si>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</si>
  <si>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</si>
  <si>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</si>
  <si>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</si>
  <si>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</si>
  <si>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</si>
  <si>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</si>
  <si>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</si>
  <si>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</si>
  <si>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</si>
  <si>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</si>
  <si>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</si>
  <si>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</si>
  <si>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</si>
  <si>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</si>
  <si>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</si>
  <si>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</si>
  <si>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</si>
  <si>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</si>
  <si>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</si>
  <si>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</si>
  <si>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</si>
  <si>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</si>
  <si>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</si>
  <si>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</si>
  <si>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</si>
  <si>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</si>
  <si>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</si>
  <si>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</si>
  <si>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</si>
  <si>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</si>
  <si>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</si>
  <si>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</si>
  <si>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</si>
  <si>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</si>
  <si>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</si>
  <si>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</si>
  <si>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</si>
  <si>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</si>
  <si>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</si>
  <si>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</si>
  <si>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</si>
  <si>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</si>
  <si>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</si>
  <si>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</si>
  <si>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</si>
  <si>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</si>
  <si>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</si>
  <si>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</si>
  <si>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</si>
  <si>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</si>
  <si>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</si>
  <si>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</si>
  <si>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</si>
  <si>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</si>
  <si>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</si>
  <si>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</si>
  <si>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</si>
  <si>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</si>
  <si>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</si>
  <si>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</si>
  <si>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</si>
  <si>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</si>
  <si>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</si>
  <si>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</si>
  <si>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</si>
  <si>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</si>
  <si>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</si>
  <si>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</si>
  <si>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</si>
  <si>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</si>
  <si>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</si>
  <si>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</si>
  <si>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</si>
  <si>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</si>
  <si>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</si>
  <si>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</si>
  <si>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</si>
  <si>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</si>
  <si>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</si>
  <si>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</si>
  <si>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</si>
  <si>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</si>
  <si>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</si>
  <si>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</si>
  <si>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</si>
  <si>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</si>
  <si>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</si>
  <si>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</si>
  <si>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</si>
  <si>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</si>
  <si>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</si>
  <si>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</si>
  <si>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</si>
  <si>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</si>
  <si>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</si>
  <si>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</si>
  <si>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</si>
  <si>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</si>
  <si>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</si>
  <si>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</si>
  <si>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</si>
  <si>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</si>
  <si>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</si>
  <si>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</si>
  <si>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</si>
  <si>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</si>
  <si>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</si>
  <si>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</si>
  <si>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</si>
  <si>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</si>
  <si>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</si>
  <si>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</si>
  <si>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</si>
  <si>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</si>
  <si>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</si>
  <si>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</si>
  <si>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</si>
  <si>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</si>
  <si>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</si>
  <si>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</si>
  <si>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</si>
  <si>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</si>
  <si>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</si>
  <si>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</si>
  <si>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</si>
  <si>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</si>
  <si>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</si>
  <si>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</si>
  <si>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</si>
  <si>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</si>
  <si>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</si>
  <si>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</si>
  <si>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</si>
  <si>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</si>
  <si>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</si>
  <si>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</si>
  <si>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</si>
  <si>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</si>
  <si>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</si>
  <si>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</si>
  <si>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</si>
  <si>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</si>
  <si>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</si>
  <si>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</si>
  <si>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</si>
  <si>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</si>
  <si>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</si>
  <si>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</si>
  <si>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</si>
  <si>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</si>
  <si>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</si>
  <si>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</si>
  <si>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</si>
  <si>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</si>
  <si>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</si>
  <si>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</si>
  <si>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</si>
  <si>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</si>
  <si>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</si>
  <si>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</si>
  <si>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</si>
  <si>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</si>
  <si>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</si>
  <si>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</si>
  <si>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</si>
  <si>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</si>
  <si>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</si>
  <si>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</si>
  <si>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</si>
  <si>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</si>
  <si>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</si>
  <si>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</si>
  <si>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</si>
  <si>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</si>
  <si>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</si>
  <si>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</si>
  <si>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</si>
  <si>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</si>
  <si>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</si>
  <si>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</si>
  <si>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</si>
  <si>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</si>
  <si>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</si>
  <si>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</si>
  <si>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</si>
  <si>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</si>
  <si>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</si>
  <si>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</si>
  <si>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</si>
  <si>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</si>
  <si>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</si>
  <si>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</si>
  <si>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</si>
  <si>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</si>
  <si>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</si>
  <si>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</si>
  <si>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</si>
  <si>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</si>
  <si>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</si>
  <si>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</si>
  <si>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</si>
  <si>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</si>
  <si>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</si>
  <si>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</si>
  <si>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</si>
  <si>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</si>
  <si>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</si>
  <si>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</si>
  <si>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</si>
  <si>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</si>
  <si>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</si>
  <si>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</si>
  <si>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</si>
  <si>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</si>
  <si>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</si>
  <si>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</si>
  <si>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</si>
  <si>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</si>
  <si>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</si>
  <si>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</si>
  <si>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</si>
  <si>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</si>
  <si>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</si>
  <si>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</si>
  <si>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</si>
  <si>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</si>
  <si>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</si>
  <si>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</si>
  <si>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</si>
  <si>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</si>
  <si>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</si>
  <si>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</si>
  <si>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</si>
  <si>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</si>
  <si>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</si>
  <si>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</si>
  <si>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</si>
  <si>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</si>
  <si>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</si>
  <si>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</si>
  <si>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</si>
  <si>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</si>
  <si>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</si>
  <si>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</si>
  <si>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</si>
  <si>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</si>
  <si>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</si>
  <si>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</si>
  <si>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</si>
  <si>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</si>
  <si>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</si>
  <si>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</si>
  <si>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</si>
  <si>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</si>
  <si>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</si>
  <si>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</si>
  <si>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</si>
  <si>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</si>
  <si>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</si>
  <si>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</si>
  <si>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</si>
  <si>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</si>
  <si>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</si>
  <si>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</si>
  <si>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</si>
  <si>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</si>
  <si>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</si>
  <si>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</si>
  <si>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</si>
  <si>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</si>
  <si>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</si>
  <si>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</si>
  <si>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</si>
  <si>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</si>
  <si>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</si>
  <si>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</si>
  <si>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</si>
  <si>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</si>
  <si>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</si>
  <si>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</si>
  <si>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</si>
  <si>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</si>
  <si>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</si>
  <si>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</si>
  <si>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</si>
  <si>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</si>
  <si>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</si>
  <si>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</si>
  <si>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</si>
  <si>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</si>
  <si>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</si>
  <si>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</si>
  <si>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</si>
  <si>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</si>
  <si>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</si>
  <si>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</si>
  <si>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</si>
  <si>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</si>
  <si>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</si>
  <si>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</si>
  <si>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</si>
  <si>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</si>
  <si>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</si>
  <si>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</si>
  <si>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</si>
  <si>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</si>
  <si>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</si>
  <si>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</si>
  <si>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</si>
  <si>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</si>
  <si>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</si>
  <si>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</si>
  <si>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</si>
  <si>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</si>
  <si>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</si>
  <si>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</si>
  <si>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</si>
  <si>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</si>
  <si>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</si>
  <si>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</si>
  <si>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</si>
  <si>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</si>
  <si>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</si>
  <si>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</si>
  <si>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</si>
  <si>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</si>
  <si>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</si>
  <si>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</si>
  <si>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</si>
  <si>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</si>
  <si>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</si>
  <si>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</si>
  <si>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</si>
  <si>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</si>
  <si>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</si>
  <si>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</si>
  <si>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</si>
  <si>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</si>
  <si>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</si>
  <si>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</si>
  <si>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</si>
  <si>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</si>
  <si>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</si>
  <si>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</si>
  <si>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</si>
  <si>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</si>
  <si>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</si>
  <si>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</si>
  <si>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</si>
  <si>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</si>
  <si>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</si>
  <si>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</si>
  <si>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</si>
  <si>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</si>
  <si>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</si>
  <si>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</si>
  <si>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</si>
  <si>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</si>
  <si>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</si>
  <si>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</si>
  <si>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</si>
  <si>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</si>
  <si>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</si>
  <si>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</si>
  <si>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</si>
  <si>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</si>
  <si>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</si>
  <si>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</si>
  <si>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</si>
  <si>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</si>
  <si>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</si>
  <si>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</si>
  <si>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</si>
  <si>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</si>
  <si>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</si>
  <si>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</si>
  <si>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</si>
  <si>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</si>
  <si>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</si>
  <si>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</si>
  <si>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</si>
  <si>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</si>
  <si>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</si>
  <si>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</si>
  <si>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</si>
  <si>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</si>
  <si>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</si>
  <si>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</si>
  <si>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</si>
  <si>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</si>
  <si>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</si>
  <si>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</si>
  <si>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</si>
  <si>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</si>
  <si>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</si>
  <si>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</si>
  <si>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</si>
  <si>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</si>
  <si>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</si>
  <si>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</si>
  <si>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</si>
  <si>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</si>
  <si>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</si>
  <si>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</si>
  <si>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</si>
  <si>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</si>
  <si>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</si>
  <si>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</si>
  <si>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</si>
  <si>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</si>
  <si>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</si>
  <si>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</si>
  <si>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</si>
  <si>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</si>
  <si>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</si>
  <si>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</si>
  <si>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</si>
  <si>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</si>
  <si>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</si>
  <si>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</si>
  <si>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</si>
  <si>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</si>
  <si>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</si>
  <si>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</si>
  <si>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</si>
  <si>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</si>
  <si>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</si>
  <si>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</si>
  <si>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</si>
  <si>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</si>
  <si>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</si>
  <si>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</si>
  <si>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</si>
  <si>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</si>
  <si>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</si>
  <si>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</si>
  <si>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</si>
  <si>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</si>
  <si>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</si>
  <si>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</si>
  <si>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</si>
  <si>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</si>
  <si>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</si>
  <si>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</si>
  <si>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</si>
  <si>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</si>
  <si>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</si>
  <si>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</si>
  <si>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</si>
  <si>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</si>
  <si>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</si>
  <si>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</si>
  <si>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</si>
  <si>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</si>
  <si>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</si>
  <si>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</si>
  <si>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</si>
  <si>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</si>
  <si>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</si>
  <si>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</si>
  <si>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</si>
  <si>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</si>
  <si>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</si>
  <si>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</si>
  <si>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</si>
  <si>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</si>
  <si>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</si>
  <si>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</si>
  <si>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</si>
  <si>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</si>
  <si>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</si>
  <si>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</si>
  <si>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</si>
  <si>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</si>
  <si>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</si>
  <si>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</si>
  <si>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</si>
  <si>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</si>
  <si>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</si>
  <si>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</si>
  <si>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</si>
  <si>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</si>
  <si>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</si>
  <si>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</si>
  <si>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</si>
  <si>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</si>
  <si>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</si>
  <si>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</si>
  <si>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</si>
  <si>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</si>
  <si>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</si>
  <si>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</si>
  <si>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</si>
  <si>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</si>
  <si>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</si>
  <si>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</si>
  <si>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</si>
  <si>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</si>
  <si>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</si>
  <si>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</si>
  <si>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</si>
  <si>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</si>
  <si>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</si>
  <si>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</si>
  <si>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</si>
  <si>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</si>
  <si>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</si>
  <si>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</si>
  <si>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</si>
  <si>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</si>
  <si>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</si>
  <si>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</si>
  <si>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</si>
  <si>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</si>
  <si>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</si>
  <si>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</si>
  <si>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</si>
  <si>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</si>
  <si>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</si>
  <si>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</si>
  <si>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</si>
  <si>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</si>
  <si>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</si>
  <si>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</si>
  <si>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</si>
  <si>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</si>
  <si>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</si>
  <si>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</si>
  <si>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</si>
  <si>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</si>
  <si>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</si>
  <si>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</si>
  <si>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</si>
  <si>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</si>
  <si>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</si>
  <si>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</si>
  <si>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</si>
  <si>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</si>
  <si>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</si>
  <si>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</si>
  <si>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</si>
  <si>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</si>
  <si>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</si>
  <si>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</si>
  <si>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</si>
  <si>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</si>
  <si>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</si>
  <si>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</si>
  <si>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</si>
  <si>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</si>
  <si>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</si>
  <si>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</si>
  <si>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</si>
  <si>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</si>
  <si>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</si>
  <si>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</si>
  <si>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</si>
  <si>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</si>
  <si>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</si>
  <si>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</si>
  <si>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</si>
  <si>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</si>
  <si>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</si>
  <si>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</si>
  <si>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</si>
  <si>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</si>
  <si>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</si>
  <si>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</si>
  <si>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</si>
  <si>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</si>
  <si>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</si>
  <si>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</si>
  <si>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</si>
  <si>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</si>
  <si>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</si>
  <si>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</si>
  <si>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</si>
  <si>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</si>
  <si>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</si>
  <si>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</si>
  <si>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</si>
  <si>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</si>
  <si>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</si>
  <si>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</si>
  <si>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</si>
  <si>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</si>
  <si>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</si>
  <si>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</si>
  <si>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</si>
  <si>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</si>
  <si>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</si>
  <si>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</si>
  <si>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</si>
  <si>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</si>
  <si>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</si>
  <si>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</si>
  <si>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</si>
  <si>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</si>
  <si>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</si>
  <si>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</si>
  <si>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</si>
  <si>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</si>
  <si>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</si>
  <si>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</si>
  <si>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</si>
  <si>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</si>
  <si>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</si>
  <si>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</si>
  <si>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</si>
  <si>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</si>
  <si>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</si>
  <si>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</si>
  <si>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</si>
  <si>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</si>
  <si>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</si>
  <si>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</si>
  <si>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</si>
  <si>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</si>
  <si>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</si>
  <si>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</si>
  <si>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</si>
  <si>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</si>
  <si>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</si>
  <si>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</si>
  <si>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</si>
  <si>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</si>
  <si>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</si>
  <si>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</si>
  <si>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</si>
  <si>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</si>
  <si>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</si>
  <si>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</si>
  <si>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</si>
  <si>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</si>
  <si>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</si>
  <si>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</si>
  <si>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</si>
  <si>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</si>
  <si>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</si>
  <si>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</si>
  <si>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</si>
  <si>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</si>
  <si>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</si>
  <si>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</si>
  <si>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</si>
  <si>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</si>
  <si>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</si>
  <si>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</si>
  <si>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</si>
  <si>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</si>
  <si>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</si>
  <si>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</si>
  <si>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</si>
  <si>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</si>
  <si>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</si>
  <si>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</si>
  <si>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</si>
  <si>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</si>
  <si>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</si>
  <si>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</si>
  <si>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</si>
  <si>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</si>
  <si>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</si>
  <si>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</si>
  <si>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</si>
  <si>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</si>
  <si>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</si>
  <si>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</si>
  <si>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</si>
  <si>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</si>
  <si>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</si>
  <si>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</si>
  <si>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</si>
  <si>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</si>
  <si>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</si>
  <si>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</si>
  <si>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</si>
  <si>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</si>
  <si>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</si>
  <si>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</si>
  <si>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</si>
  <si>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</si>
  <si>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</si>
  <si>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</si>
  <si>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</si>
  <si>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</si>
  <si>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</si>
  <si>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</si>
  <si>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</si>
  <si>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</si>
  <si>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</si>
  <si>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</si>
  <si>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</si>
  <si>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</si>
  <si>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</si>
  <si>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</si>
  <si>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</si>
  <si>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</si>
  <si>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</si>
  <si>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</si>
  <si>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</si>
  <si>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</si>
  <si>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</si>
  <si>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</si>
  <si>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</si>
  <si>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</si>
  <si>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</si>
  <si>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</si>
  <si>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</si>
  <si>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</si>
  <si>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</si>
  <si>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</si>
  <si>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</si>
  <si>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</si>
  <si>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</si>
  <si>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</si>
  <si>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</si>
  <si>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</si>
  <si>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</si>
  <si>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</si>
  <si>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</si>
  <si>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</si>
  <si>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</si>
  <si>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</si>
  <si>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</si>
  <si>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</si>
  <si>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</si>
  <si>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</si>
  <si>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</si>
  <si>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</si>
  <si>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</si>
  <si>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</si>
  <si>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</si>
  <si>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</si>
  <si>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</si>
  <si>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</si>
  <si>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</si>
  <si>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</si>
  <si>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</si>
  <si>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</si>
  <si>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</si>
  <si>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</si>
  <si>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</si>
  <si>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</si>
  <si>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</si>
  <si>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</si>
  <si>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</si>
  <si>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</si>
  <si>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</si>
  <si>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</si>
  <si>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</si>
  <si>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</si>
  <si>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</si>
  <si>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</si>
  <si>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</si>
  <si>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</si>
  <si>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</si>
  <si>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</si>
  <si>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</si>
  <si>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</si>
  <si>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</si>
  <si>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</si>
  <si>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</si>
  <si>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</si>
  <si>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</si>
  <si>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</si>
  <si>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</si>
  <si>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</si>
  <si>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</si>
  <si>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</si>
  <si>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</si>
  <si>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</si>
  <si>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</si>
  <si>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</si>
  <si>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</si>
  <si>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</si>
  <si>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</si>
  <si>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</si>
  <si>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</si>
  <si>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</si>
  <si>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</si>
  <si>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</si>
  <si>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</si>
  <si>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</si>
  <si>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</si>
  <si>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</si>
  <si>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</si>
  <si>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</si>
  <si>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</si>
  <si>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</si>
  <si>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</si>
  <si>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</si>
  <si>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</si>
  <si>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</si>
  <si>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</si>
  <si>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</si>
  <si>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</si>
  <si>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</si>
  <si>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</si>
  <si>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</si>
  <si>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</si>
  <si>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</si>
  <si>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</si>
  <si>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</si>
  <si>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</si>
  <si>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</si>
  <si>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</si>
  <si>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</si>
  <si>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</si>
  <si>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</si>
  <si>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</si>
  <si>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</si>
  <si>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</si>
  <si>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</si>
  <si>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</si>
  <si>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</si>
  <si>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</si>
  <si>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</si>
  <si>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</si>
  <si>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</si>
  <si>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</si>
  <si>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</si>
  <si>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</si>
  <si>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</si>
  <si>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</si>
  <si>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</si>
  <si>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</si>
  <si>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</si>
  <si>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</si>
  <si>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</si>
  <si>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</si>
  <si>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</si>
  <si>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</si>
  <si>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</si>
  <si>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</si>
  <si>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</si>
  <si>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</si>
  <si>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</si>
  <si>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</si>
  <si>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</si>
  <si>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</si>
  <si>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</si>
  <si>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</si>
  <si>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</si>
  <si>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</si>
  <si>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</si>
  <si>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</si>
  <si>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</si>
  <si>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</si>
  <si>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</si>
  <si>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</si>
  <si>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</si>
  <si>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</si>
  <si>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</si>
  <si>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</si>
  <si>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</si>
  <si>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</si>
  <si>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</si>
  <si>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</si>
  <si>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</si>
  <si>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</si>
  <si>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</si>
  <si>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</si>
  <si>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</si>
  <si>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</si>
  <si>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</si>
  <si>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</si>
  <si>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</si>
  <si>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</si>
  <si>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</si>
  <si>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</si>
  <si>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</si>
  <si>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</si>
  <si>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</si>
  <si>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</si>
  <si>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</si>
  <si>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</si>
  <si>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</si>
  <si>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</si>
  <si>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</si>
  <si>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</si>
  <si>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</si>
  <si>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</si>
  <si>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</si>
  <si>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</si>
  <si>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</si>
  <si>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</si>
  <si>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</si>
  <si>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</si>
  <si>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</si>
  <si>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</si>
  <si>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</si>
  <si>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</si>
  <si>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</si>
  <si>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</si>
  <si>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</si>
  <si>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</si>
  <si>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</si>
  <si>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</si>
  <si>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</si>
  <si>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</si>
  <si>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</si>
  <si>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</si>
  <si>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</si>
  <si>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</si>
  <si>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</si>
  <si>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</si>
  <si>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</si>
  <si>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</si>
  <si>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</si>
  <si>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</si>
  <si>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</si>
  <si>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</si>
  <si>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</si>
  <si>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</si>
  <si>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</si>
  <si>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</si>
  <si>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</si>
  <si>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</si>
  <si>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</si>
  <si>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</si>
  <si>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</si>
  <si>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</si>
  <si>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</si>
  <si>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</si>
  <si>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</si>
  <si>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</si>
  <si>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</si>
  <si>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</si>
  <si>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</si>
  <si>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</si>
  <si>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</si>
  <si>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</si>
  <si>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</si>
  <si>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</si>
  <si>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</si>
  <si>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</si>
  <si>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</si>
  <si>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</si>
  <si>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</si>
  <si>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</si>
  <si>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</si>
  <si>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</si>
  <si>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</si>
  <si>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</si>
  <si>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</si>
  <si>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</si>
  <si>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</si>
  <si>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</si>
  <si>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</si>
  <si>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</si>
  <si>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</si>
  <si>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</si>
  <si>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</si>
  <si>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</si>
  <si>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</si>
  <si>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</si>
  <si>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</si>
  <si>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</si>
  <si>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</si>
  <si>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</si>
  <si>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</si>
  <si>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</si>
  <si>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</si>
  <si>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</si>
  <si>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</si>
  <si>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</si>
  <si>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</si>
  <si>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</si>
  <si>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</si>
  <si>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</si>
  <si>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</si>
  <si>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</si>
  <si>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</si>
  <si>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</si>
  <si>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</si>
  <si>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</si>
  <si>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</si>
  <si>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</si>
  <si>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</si>
  <si>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</si>
  <si>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</si>
  <si>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</si>
  <si>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</si>
  <si>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</si>
  <si>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</si>
  <si>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</si>
  <si>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</si>
  <si>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</si>
  <si>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</si>
  <si>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</si>
  <si>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</si>
  <si>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</si>
  <si>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</si>
  <si>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</si>
  <si>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</si>
  <si>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</si>
  <si>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</si>
  <si>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</si>
  <si>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</si>
  <si>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</si>
  <si>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</si>
  <si>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</si>
  <si>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</si>
  <si>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</si>
  <si>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</si>
  <si>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</si>
  <si>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</si>
  <si>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</si>
  <si>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</si>
  <si>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</si>
  <si>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</si>
  <si>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</si>
  <si>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</si>
  <si>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</si>
  <si>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</si>
  <si>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</si>
  <si>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</si>
  <si>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</si>
  <si>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</si>
  <si>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</si>
  <si>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</si>
  <si>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</si>
  <si>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</si>
  <si>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</si>
  <si>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</si>
  <si>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</si>
  <si>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</si>
  <si>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</si>
  <si>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</si>
  <si>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</si>
  <si>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</si>
  <si>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</si>
  <si>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</si>
  <si>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</si>
  <si>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</si>
  <si>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</si>
  <si>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</si>
  <si>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</si>
  <si>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</si>
  <si>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</si>
  <si>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</si>
  <si>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</si>
  <si>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</si>
  <si>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</si>
  <si>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</si>
  <si>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</si>
  <si>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</si>
  <si>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</si>
  <si>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</si>
  <si>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</si>
  <si>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</si>
  <si>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</si>
  <si>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</si>
  <si>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</si>
  <si>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</si>
  <si>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</si>
  <si>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</si>
  <si>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</si>
  <si>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</si>
  <si>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</si>
  <si>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</si>
  <si>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</si>
  <si>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</si>
  <si>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</si>
  <si>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</si>
  <si>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</si>
  <si>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</si>
  <si>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</si>
  <si>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</si>
  <si>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</si>
  <si>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</si>
  <si>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</si>
  <si>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</si>
  <si>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</si>
  <si>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</si>
  <si>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</si>
  <si>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</si>
  <si>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</si>
  <si>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</si>
  <si>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</si>
  <si>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</si>
  <si>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</si>
  <si>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</si>
  <si>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</si>
  <si>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</si>
  <si>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</si>
  <si>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</si>
  <si>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</si>
  <si>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</si>
  <si>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</si>
  <si>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</si>
  <si>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</si>
  <si>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</si>
  <si>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</si>
  <si>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</si>
  <si>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</si>
  <si>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</si>
  <si>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</si>
  <si>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</si>
  <si>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</si>
  <si>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</si>
  <si>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</si>
  <si>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</si>
  <si>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</si>
  <si>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</si>
  <si>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</si>
  <si>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</si>
  <si>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</si>
  <si>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</si>
  <si>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</si>
  <si>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</si>
  <si>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</si>
  <si>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</si>
  <si>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</si>
  <si>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</si>
  <si>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</si>
  <si>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</si>
  <si>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</si>
  <si>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</si>
  <si>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</si>
  <si>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</si>
  <si>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</si>
  <si>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</si>
  <si>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</si>
  <si>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</si>
  <si>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</si>
  <si>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</si>
  <si>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</si>
  <si>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</si>
  <si>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</si>
  <si>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</si>
  <si>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</si>
  <si>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</si>
  <si>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</si>
  <si>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</si>
  <si>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</si>
  <si>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</si>
  <si>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</si>
  <si>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</si>
  <si>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</si>
  <si>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</si>
  <si>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</si>
  <si>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</si>
  <si>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</si>
  <si>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</si>
  <si>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</si>
  <si>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</si>
  <si>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</si>
  <si>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</si>
  <si>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</si>
  <si>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</si>
  <si>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</si>
  <si>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</si>
  <si>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</si>
  <si>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</si>
  <si>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</si>
  <si>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</si>
  <si>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</si>
  <si>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</si>
  <si>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</si>
  <si>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</si>
  <si>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</si>
  <si>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</si>
  <si>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</si>
  <si>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</si>
  <si>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</si>
  <si>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</si>
  <si>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</si>
  <si>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</si>
  <si>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</si>
  <si>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</si>
  <si>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</si>
  <si>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</si>
  <si>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</si>
  <si>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</si>
  <si>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</si>
  <si>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</si>
  <si>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</si>
  <si>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</si>
  <si>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</si>
  <si>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</si>
  <si>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</si>
  <si>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</si>
  <si>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</si>
  <si>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</si>
  <si>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</si>
  <si>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</si>
  <si>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</si>
  <si>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</si>
  <si>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</si>
  <si>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</si>
  <si>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</si>
  <si>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</si>
  <si>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</si>
  <si>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</si>
  <si>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</si>
  <si>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</si>
  <si>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</si>
  <si>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</si>
  <si>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</si>
  <si>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</si>
  <si>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</si>
  <si>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</si>
  <si>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</si>
  <si>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</si>
  <si>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</si>
  <si>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</si>
  <si>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</si>
  <si>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</si>
  <si>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</si>
  <si>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</si>
  <si>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</si>
  <si>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</si>
  <si>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</si>
  <si>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</si>
  <si>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</si>
  <si>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</si>
  <si>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</si>
  <si>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</si>
  <si>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</si>
  <si>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</si>
  <si>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</si>
  <si>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</si>
  <si>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</si>
  <si>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</si>
  <si>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</si>
  <si>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</si>
  <si>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</si>
  <si>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</si>
  <si>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</si>
  <si>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</si>
  <si>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</si>
  <si>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</si>
  <si>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</si>
  <si>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</si>
  <si>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</si>
  <si>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</si>
  <si>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</si>
  <si>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</si>
  <si>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</si>
  <si>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</si>
  <si>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</si>
  <si>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</si>
  <si>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</si>
  <si>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</si>
  <si>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</si>
  <si>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</si>
  <si>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</si>
  <si>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</si>
  <si>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</si>
  <si>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</si>
  <si>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</si>
  <si>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</si>
  <si>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</si>
  <si>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</si>
  <si>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</si>
  <si>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</si>
  <si>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</si>
  <si>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</si>
  <si>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</si>
  <si>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</si>
  <si>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</si>
  <si>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</si>
  <si>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</si>
  <si>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</si>
  <si>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</si>
  <si>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</si>
  <si>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</si>
  <si>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</si>
  <si>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</si>
  <si>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</si>
  <si>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</si>
  <si>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</si>
  <si>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</si>
  <si>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</si>
  <si>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</si>
  <si>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</si>
  <si>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</si>
  <si>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</si>
  <si>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</si>
  <si>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</si>
  <si>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</si>
  <si>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</si>
  <si>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</si>
  <si>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</si>
  <si>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</si>
  <si>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</si>
  <si>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</si>
  <si>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</si>
  <si>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</si>
  <si>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</si>
  <si>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</si>
  <si>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</si>
  <si>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</si>
  <si>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</si>
  <si>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</si>
  <si>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</si>
  <si>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</si>
  <si>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</si>
  <si>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</si>
  <si>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</si>
  <si>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</si>
  <si>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</si>
  <si>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</si>
  <si>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</si>
  <si>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</si>
  <si>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</si>
  <si>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</si>
  <si>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</si>
  <si>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</si>
  <si>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</si>
  <si>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</si>
  <si>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</si>
  <si>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</si>
  <si>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</si>
  <si>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</si>
  <si>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</si>
  <si>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</si>
  <si>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</si>
  <si>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</si>
  <si>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</si>
  <si>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</si>
  <si>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</si>
  <si>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</si>
  <si>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</si>
  <si>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</si>
  <si>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</si>
  <si>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</si>
  <si>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</si>
  <si>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</si>
  <si>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</si>
  <si>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</si>
  <si>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</si>
  <si>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</si>
  <si>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</si>
  <si>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</si>
  <si>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</si>
  <si>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</si>
  <si>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</si>
  <si>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</si>
  <si>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</si>
  <si>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</si>
  <si>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</si>
  <si>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</si>
  <si>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</si>
  <si>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</si>
  <si>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</si>
  <si>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</si>
  <si>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</si>
  <si>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</si>
  <si>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</si>
  <si>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</si>
  <si>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</si>
  <si>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</si>
  <si>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</si>
  <si>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</si>
  <si>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</si>
  <si>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</si>
  <si>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</si>
  <si>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</si>
  <si>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</si>
  <si>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</si>
  <si>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</si>
  <si>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</si>
  <si>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</si>
  <si>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</si>
  <si>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</si>
  <si>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</si>
  <si>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</si>
  <si>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</si>
  <si>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</si>
  <si>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</si>
  <si>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</si>
  <si>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</si>
  <si>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</si>
  <si>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</si>
  <si>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</si>
  <si>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</si>
  <si>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</si>
  <si>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</si>
  <si>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</si>
  <si>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</si>
  <si>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</si>
  <si>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</si>
  <si>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</si>
  <si>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</si>
  <si>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</si>
  <si>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</si>
  <si>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</si>
  <si>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</si>
  <si>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</si>
  <si>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</si>
  <si>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</si>
  <si>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</si>
  <si>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</si>
  <si>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</si>
  <si>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</si>
  <si>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</si>
  <si>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</si>
  <si>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</si>
  <si>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</si>
  <si>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</si>
  <si>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</si>
  <si>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</si>
  <si>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</si>
  <si>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</si>
  <si>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</si>
  <si>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</si>
  <si>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</si>
  <si>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</si>
  <si>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</si>
  <si>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</si>
  <si>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</si>
  <si>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</si>
  <si>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</si>
  <si>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</si>
  <si>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</si>
  <si>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</si>
  <si>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</si>
  <si>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</si>
  <si>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</si>
  <si>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</si>
  <si>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</si>
  <si>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</si>
  <si>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</si>
  <si>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</si>
  <si>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</si>
  <si>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</si>
  <si>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</si>
  <si>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</si>
  <si>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</si>
  <si>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</si>
  <si>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</si>
  <si>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</si>
  <si>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</si>
  <si>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</si>
  <si>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</si>
  <si>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</si>
  <si>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</si>
  <si>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</si>
  <si>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</si>
  <si>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</si>
  <si>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</si>
  <si>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</si>
  <si>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</si>
  <si>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</si>
  <si>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</si>
  <si>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</si>
  <si>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</si>
  <si>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</si>
  <si>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</si>
  <si>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</si>
  <si>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</si>
  <si>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</si>
  <si>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</si>
  <si>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</si>
  <si>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</si>
  <si>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</si>
  <si>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</si>
  <si>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</si>
  <si>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</si>
  <si>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</si>
  <si>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</si>
  <si>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</si>
  <si>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</si>
  <si>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</si>
  <si>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</si>
  <si>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</si>
  <si>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</si>
  <si>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</si>
  <si>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</si>
  <si>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</si>
  <si>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</si>
  <si>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</si>
  <si>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</si>
  <si>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</si>
  <si>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</si>
  <si>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</si>
  <si>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</si>
  <si>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</si>
  <si>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</si>
  <si>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</si>
  <si>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</si>
  <si>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</si>
  <si>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</si>
  <si>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</si>
  <si>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</si>
  <si>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</si>
  <si>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</si>
  <si>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</si>
  <si>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</si>
  <si>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</si>
  <si>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</si>
  <si>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</si>
  <si>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</si>
  <si>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</si>
  <si>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</si>
  <si>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</si>
  <si>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</si>
  <si>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</si>
  <si>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</si>
  <si>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</si>
  <si>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</si>
  <si>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</si>
  <si>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</si>
  <si>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</si>
  <si>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</si>
  <si>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</si>
  <si>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</si>
  <si>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</si>
  <si>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</si>
  <si>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</si>
  <si>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</si>
  <si>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</si>
  <si>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</si>
  <si>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</si>
  <si>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</si>
  <si>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</si>
  <si>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</si>
  <si>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</si>
  <si>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</si>
  <si>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</si>
  <si>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</si>
  <si>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</si>
  <si>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</si>
  <si>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</si>
  <si>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</si>
  <si>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</si>
  <si>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</si>
  <si>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</si>
  <si>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</si>
  <si>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</si>
  <si>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</si>
  <si>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</si>
  <si>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</si>
  <si>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</si>
  <si>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</si>
  <si>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</si>
  <si>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</si>
  <si>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</si>
  <si>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</si>
  <si>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</si>
  <si>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</si>
  <si>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</si>
  <si>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</si>
  <si>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</si>
  <si>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</si>
  <si>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</si>
  <si>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</si>
  <si>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</si>
  <si>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</si>
  <si>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</si>
  <si>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</si>
  <si>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</si>
  <si>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</si>
  <si>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</si>
  <si>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</si>
  <si>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</si>
  <si>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</si>
  <si>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</si>
  <si>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</si>
  <si>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</si>
  <si>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</si>
  <si>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</si>
  <si>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</si>
  <si>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</si>
  <si>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</si>
  <si>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</si>
  <si>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</si>
  <si>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</si>
  <si>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</si>
  <si>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</si>
  <si>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</si>
  <si>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</si>
  <si>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</si>
  <si>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</si>
  <si>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</si>
  <si>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</si>
  <si>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</si>
  <si>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</si>
  <si>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</si>
  <si>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</si>
  <si>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</si>
  <si>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</si>
  <si>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</si>
  <si>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</si>
  <si>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</si>
  <si>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</si>
  <si>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</si>
  <si>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</si>
  <si>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</si>
  <si>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</si>
  <si>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</si>
  <si>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</si>
  <si>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</si>
  <si>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</si>
  <si>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</si>
  <si>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</si>
  <si>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</si>
  <si>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</si>
  <si>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</si>
  <si>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</si>
  <si>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</si>
  <si>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</si>
  <si>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</si>
  <si>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</si>
  <si>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</si>
  <si>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</si>
  <si>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</si>
  <si>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</si>
  <si>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</si>
  <si>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</si>
  <si>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</si>
  <si>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</si>
  <si>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</si>
  <si>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</si>
  <si>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</si>
  <si>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</si>
  <si>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</si>
  <si>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</si>
  <si>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</si>
  <si>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</si>
  <si>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</si>
  <si>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</si>
  <si>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</si>
  <si>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</si>
  <si>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</si>
  <si>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</si>
  <si>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</si>
  <si>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</si>
  <si>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</si>
  <si>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</si>
  <si>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</si>
  <si>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</si>
  <si>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</si>
  <si>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</si>
  <si>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</si>
  <si>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</si>
  <si>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</si>
  <si>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</si>
  <si>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</si>
  <si>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</si>
  <si>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</si>
  <si>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</si>
  <si>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</si>
  <si>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</si>
  <si>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</si>
  <si>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</si>
  <si>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</si>
  <si>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</si>
  <si>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</si>
  <si>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</si>
  <si>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</si>
  <si>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</si>
  <si>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</si>
  <si>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</si>
  <si>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</si>
  <si>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</si>
  <si>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</si>
  <si>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</si>
  <si>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</si>
  <si>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</si>
  <si>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</si>
  <si>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</si>
  <si>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</si>
  <si>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</si>
  <si>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</si>
  <si>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</si>
  <si>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</si>
  <si>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</si>
  <si>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</si>
  <si>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</si>
  <si>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</si>
  <si>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</si>
  <si>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</si>
  <si>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</si>
  <si>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</si>
  <si>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</si>
  <si>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</si>
  <si>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</si>
  <si>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</si>
  <si>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</si>
  <si>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</si>
  <si>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</si>
  <si>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</si>
  <si>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</si>
  <si>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</si>
  <si>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</si>
  <si>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</si>
  <si>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</si>
  <si>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</si>
  <si>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</si>
  <si>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</si>
  <si>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</si>
  <si>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</si>
  <si>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</si>
  <si>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</si>
  <si>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</si>
  <si>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</si>
  <si>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</si>
  <si>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</si>
  <si>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</si>
  <si>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</si>
  <si>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</si>
  <si>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</si>
  <si>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</si>
  <si>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</si>
  <si>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</si>
  <si>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</si>
  <si>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</si>
  <si>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</si>
  <si>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</si>
  <si>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</si>
  <si>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</si>
  <si>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</si>
  <si>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</si>
  <si>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</si>
  <si>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</si>
  <si>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</si>
  <si>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</si>
  <si>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</si>
  <si>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</si>
  <si>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</si>
  <si>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</si>
  <si>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</si>
  <si>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</si>
  <si>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</si>
  <si>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</si>
  <si>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</si>
  <si>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</si>
  <si>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</si>
  <si>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</si>
  <si>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</si>
  <si>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</si>
  <si>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</si>
  <si>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</si>
  <si>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</si>
  <si>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</si>
  <si>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</si>
  <si>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</si>
  <si>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</si>
  <si>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</si>
  <si>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</si>
  <si>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</si>
  <si>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</si>
  <si>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</si>
  <si>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</si>
  <si>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</si>
  <si>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</si>
  <si>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</si>
  <si>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</si>
  <si>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</si>
  <si>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</si>
  <si>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</si>
  <si>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</si>
  <si>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</si>
  <si>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</si>
  <si>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</si>
  <si>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</si>
  <si>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</si>
  <si>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</si>
  <si>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</si>
  <si>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</si>
  <si>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</si>
  <si>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</si>
  <si>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</si>
  <si>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</si>
  <si>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</si>
  <si>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</si>
  <si>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</si>
  <si>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</si>
  <si>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</si>
  <si>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</si>
  <si>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</si>
  <si>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</si>
  <si>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</si>
  <si>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</si>
  <si>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</si>
  <si>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</si>
  <si>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</si>
  <si>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</si>
  <si>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</si>
  <si>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</si>
  <si>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</si>
  <si>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</si>
  <si>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</si>
  <si>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</si>
  <si>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</si>
  <si>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</si>
  <si>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</si>
  <si>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</si>
  <si>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</si>
  <si>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</si>
  <si>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</si>
  <si>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</si>
  <si>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</si>
  <si>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</si>
  <si>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</si>
  <si>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</si>
  <si>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</si>
  <si>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</si>
  <si>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</si>
  <si>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</si>
  <si>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</si>
  <si>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</si>
  <si>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</si>
  <si>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</si>
  <si>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</si>
  <si>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</si>
  <si>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</si>
  <si>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</si>
  <si>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</si>
  <si>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</si>
  <si>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</si>
  <si>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</si>
  <si>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</si>
  <si>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</si>
  <si>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</si>
  <si>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</si>
  <si>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</si>
  <si>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</si>
  <si>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</si>
  <si>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</si>
  <si>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</si>
  <si>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</si>
  <si>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</si>
  <si>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</si>
  <si>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</si>
  <si>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</si>
  <si>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</si>
  <si>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</si>
  <si>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</si>
  <si>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</si>
  <si>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</si>
  <si>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</si>
  <si>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</si>
  <si>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</si>
  <si>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</si>
  <si>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</si>
  <si>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</si>
  <si>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</si>
  <si>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</si>
  <si>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</si>
  <si>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</si>
  <si>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</si>
  <si>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</si>
  <si>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</si>
  <si>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</si>
  <si>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</si>
  <si>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</si>
  <si>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</si>
  <si>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</si>
  <si>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</si>
  <si>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</si>
  <si>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</si>
  <si>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</si>
  <si>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</si>
  <si>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</si>
  <si>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</si>
  <si>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</si>
  <si>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</si>
  <si>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</si>
  <si>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</si>
  <si>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</si>
  <si>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</si>
  <si>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</si>
  <si>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</si>
  <si>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</si>
  <si>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</si>
  <si>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</si>
  <si>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</si>
  <si>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</si>
  <si>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</si>
  <si>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</si>
  <si>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</si>
  <si>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</si>
  <si>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</si>
  <si>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</si>
  <si>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</si>
  <si>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</si>
  <si>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</si>
  <si>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</si>
  <si>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</si>
  <si>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</si>
  <si>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</si>
  <si>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</si>
  <si>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</si>
  <si>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</si>
  <si>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</si>
  <si>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</si>
  <si>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</si>
  <si>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</si>
  <si>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</si>
  <si>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</si>
  <si>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</si>
  <si>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</si>
  <si>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</si>
  <si>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</si>
  <si>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</si>
  <si>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</si>
  <si>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</si>
  <si>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</si>
  <si>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</si>
  <si>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</si>
  <si>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</si>
  <si>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</si>
  <si>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</si>
  <si>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</si>
  <si>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</si>
  <si>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</si>
  <si>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</si>
  <si>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</si>
  <si>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</si>
  <si>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</si>
  <si>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</si>
  <si>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</si>
  <si>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</si>
  <si>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</si>
  <si>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</si>
  <si>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</si>
  <si>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</si>
  <si>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</si>
  <si>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</si>
  <si>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</si>
  <si>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</si>
  <si>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</si>
  <si>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</si>
  <si>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</si>
  <si>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</si>
  <si>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</si>
  <si>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</si>
  <si>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</si>
  <si>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</si>
  <si>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</si>
  <si>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</si>
  <si>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</si>
  <si>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</si>
  <si>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</si>
  <si>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</si>
  <si>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</si>
  <si>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</si>
  <si>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</si>
  <si>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</si>
  <si>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</si>
  <si>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</si>
  <si>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</si>
  <si>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</si>
  <si>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</si>
  <si>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</si>
  <si>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</si>
  <si>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</si>
  <si>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</si>
  <si>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</si>
  <si>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</si>
  <si>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</si>
  <si>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</si>
  <si>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</si>
  <si>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</si>
  <si>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</si>
  <si>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</si>
  <si>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</si>
  <si>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</si>
  <si>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</si>
  <si>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</si>
  <si>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</si>
  <si>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</si>
  <si>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</si>
  <si>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</si>
  <si>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</si>
  <si>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</si>
  <si>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</si>
  <si>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</si>
  <si>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</si>
  <si>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</si>
  <si>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</si>
  <si>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</si>
  <si>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</si>
  <si>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</si>
  <si>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</si>
  <si>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</si>
  <si>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</si>
  <si>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</si>
  <si>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</si>
  <si>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</si>
  <si>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</si>
  <si>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</si>
  <si>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</si>
  <si>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</si>
  <si>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</si>
  <si>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</si>
  <si>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</si>
  <si>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</si>
  <si>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</si>
  <si>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</si>
  <si>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</si>
  <si>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</si>
  <si>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</si>
  <si>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</si>
  <si>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</si>
  <si>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</si>
  <si>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</si>
  <si>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</si>
  <si>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</si>
  <si>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</si>
  <si>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</si>
  <si>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</si>
  <si>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</si>
  <si>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</si>
  <si>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</si>
  <si>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</si>
  <si>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</si>
  <si>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</si>
  <si>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</si>
  <si>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</si>
  <si>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</si>
  <si>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</si>
  <si>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</si>
  <si>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</si>
  <si>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</si>
  <si>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</si>
  <si>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</si>
  <si>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</si>
  <si>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</si>
  <si>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</si>
  <si>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</si>
  <si>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</si>
  <si>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</si>
  <si>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</si>
  <si>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</si>
  <si>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</si>
  <si>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</si>
  <si>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</si>
  <si>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</si>
  <si>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</si>
  <si>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</si>
  <si>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</si>
  <si>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</si>
  <si>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</si>
  <si>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</si>
  <si>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</si>
  <si>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</si>
  <si>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</si>
  <si>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</si>
  <si>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</si>
  <si>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</si>
  <si>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</si>
  <si>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</si>
  <si>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</si>
  <si>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</si>
  <si>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</si>
  <si>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</si>
  <si>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</si>
  <si>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</si>
  <si>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</si>
  <si>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</si>
  <si>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</si>
  <si>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</si>
  <si>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</si>
  <si>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</si>
  <si>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</si>
  <si>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</si>
  <si>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</si>
  <si>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</si>
  <si>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</si>
  <si>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</si>
  <si>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</si>
  <si>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</si>
  <si>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</si>
  <si>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</si>
  <si>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</si>
  <si>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</si>
  <si>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</si>
  <si>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</si>
  <si>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</si>
  <si>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</si>
  <si>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</si>
  <si>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</si>
  <si>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</si>
  <si>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</si>
  <si>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</si>
  <si>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</si>
  <si>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</si>
  <si>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</si>
  <si>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</si>
  <si>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</si>
  <si>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</si>
  <si>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</si>
  <si>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</si>
  <si>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</si>
  <si>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</si>
  <si>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</si>
  <si>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</si>
  <si>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</si>
  <si>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</si>
  <si>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</si>
  <si>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</si>
  <si>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</si>
  <si>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</si>
  <si>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</si>
  <si>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</si>
  <si>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</si>
  <si>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</si>
  <si>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</si>
  <si>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</si>
  <si>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</si>
  <si>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</si>
  <si>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</si>
  <si>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</si>
  <si>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</si>
  <si>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</si>
  <si>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</si>
  <si>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</si>
  <si>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</si>
  <si>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</si>
  <si>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</si>
  <si>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</si>
  <si>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</si>
  <si>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</si>
  <si>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</si>
  <si>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</si>
  <si>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</si>
  <si>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</si>
  <si>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</si>
  <si>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</si>
  <si>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</si>
  <si>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</si>
  <si>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</si>
  <si>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</si>
  <si>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</si>
  <si>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</si>
  <si>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</si>
  <si>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</si>
  <si>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</si>
  <si>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</si>
  <si>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</si>
  <si>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</si>
  <si>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</si>
  <si>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</si>
  <si>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</si>
  <si>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</si>
  <si>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</si>
  <si>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</si>
  <si>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</si>
  <si>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</si>
  <si>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</si>
  <si>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</si>
  <si>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</si>
  <si>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</si>
  <si>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</si>
  <si>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</si>
  <si>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</si>
  <si>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</si>
  <si>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</si>
  <si>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</si>
  <si>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</si>
  <si>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</si>
  <si>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</si>
  <si>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</si>
  <si>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</si>
  <si>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</si>
  <si>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</si>
  <si>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</si>
  <si>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</si>
  <si>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</si>
  <si>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</si>
  <si>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</si>
  <si>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</si>
  <si>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</si>
  <si>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</si>
  <si>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</si>
  <si>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</si>
  <si>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</si>
  <si>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</si>
  <si>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</si>
  <si>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</si>
  <si>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</si>
  <si>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</si>
  <si>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</si>
  <si>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</si>
  <si>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</si>
  <si>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</si>
  <si>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</si>
  <si>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</si>
  <si>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</si>
  <si>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</si>
  <si>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</si>
  <si>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</si>
  <si>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</si>
  <si>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</si>
  <si>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</si>
  <si>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</si>
  <si>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</si>
  <si>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</si>
  <si>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</si>
  <si>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</si>
  <si>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</si>
  <si>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</si>
  <si>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</si>
  <si>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</si>
  <si>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</si>
  <si>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</si>
  <si>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</si>
  <si>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</si>
  <si>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</si>
  <si>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</si>
  <si>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</si>
  <si>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</si>
  <si>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</si>
  <si>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</si>
  <si>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</si>
  <si>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</si>
  <si>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</si>
  <si>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</si>
  <si>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</si>
  <si>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</si>
  <si>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</si>
  <si>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</si>
  <si>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</si>
  <si>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</si>
  <si>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</si>
  <si>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</si>
  <si>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</si>
  <si>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</si>
  <si>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</si>
  <si>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</si>
  <si>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</si>
  <si>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</si>
  <si>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</si>
  <si>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</si>
  <si>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</si>
  <si>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</si>
  <si>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</si>
  <si>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</si>
  <si>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</si>
  <si>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</si>
  <si>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</si>
  <si>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</si>
  <si>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</si>
  <si>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</si>
  <si>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</si>
  <si>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</si>
  <si>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</si>
  <si>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</si>
  <si>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</si>
  <si>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</si>
  <si>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</si>
  <si>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</si>
  <si>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</si>
  <si>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</si>
  <si>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</si>
  <si>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</si>
  <si>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</si>
  <si>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</si>
  <si>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</si>
  <si>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</si>
  <si>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</si>
  <si>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</si>
  <si>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</si>
  <si>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</si>
  <si>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</si>
  <si>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</si>
  <si>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</si>
  <si>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</si>
  <si>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</si>
  <si>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</si>
  <si>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</si>
  <si>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</si>
  <si>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</si>
  <si>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</si>
  <si>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</si>
  <si>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</si>
  <si>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</si>
  <si>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</si>
  <si>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</si>
  <si>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</si>
  <si>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</si>
  <si>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</si>
  <si>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</si>
  <si>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</si>
  <si>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</si>
  <si>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</si>
  <si>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</si>
  <si>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</si>
  <si>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</si>
  <si>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</si>
  <si>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</si>
  <si>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</si>
  <si>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</si>
  <si>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</si>
  <si>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</si>
  <si>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</si>
  <si>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</si>
  <si>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</si>
  <si>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</si>
  <si>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</si>
  <si>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</si>
  <si>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</si>
  <si>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</si>
  <si>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</si>
  <si>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</si>
  <si>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</si>
  <si>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</si>
  <si>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</si>
  <si>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</si>
  <si>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</si>
  <si>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</si>
  <si>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</si>
  <si>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</si>
  <si>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</si>
  <si>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</si>
  <si>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</si>
  <si>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</si>
  <si>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</si>
  <si>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</si>
  <si>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</si>
  <si>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</si>
  <si>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</si>
  <si>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</si>
  <si>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</si>
  <si>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</si>
  <si>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</si>
  <si>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</si>
  <si>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</si>
  <si>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</si>
  <si>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</si>
  <si>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</si>
  <si>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</si>
  <si>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</si>
  <si>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</si>
  <si>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</si>
  <si>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</si>
  <si>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</si>
  <si>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</si>
  <si>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</si>
  <si>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</si>
  <si>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</si>
  <si>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</si>
  <si>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</si>
  <si>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</si>
  <si>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</si>
  <si>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</si>
  <si>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</si>
  <si>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</si>
  <si>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</si>
  <si>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</si>
  <si>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</si>
  <si>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</si>
  <si>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</si>
  <si>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</si>
  <si>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</si>
  <si>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</si>
  <si>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</si>
  <si>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</si>
  <si>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</si>
  <si>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</si>
  <si>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</si>
  <si>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</si>
  <si>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</si>
  <si>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</si>
  <si>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</si>
  <si>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</si>
  <si>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</si>
  <si>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</si>
  <si>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</si>
  <si>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</si>
  <si>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</si>
  <si>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</si>
  <si>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</si>
  <si>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</si>
  <si>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</si>
  <si>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</si>
  <si>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</si>
  <si>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</si>
  <si>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</si>
  <si>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</si>
  <si>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</si>
  <si>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</si>
  <si>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</si>
  <si>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</si>
  <si>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</si>
  <si>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</si>
  <si>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</si>
  <si>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</si>
  <si>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</si>
  <si>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</si>
  <si>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</si>
  <si>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</si>
  <si>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</si>
  <si>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</si>
  <si>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</si>
  <si>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</si>
  <si>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</si>
  <si>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</si>
  <si>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</si>
  <si>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</si>
  <si>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</si>
  <si>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</si>
  <si>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</si>
  <si>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</si>
  <si>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</si>
  <si>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</si>
  <si>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</si>
  <si>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</si>
  <si>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</si>
  <si>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</si>
  <si>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</si>
  <si>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</si>
  <si>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</si>
  <si>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</si>
  <si>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</si>
  <si>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</si>
  <si>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</si>
  <si>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</si>
  <si>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</si>
  <si>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</si>
  <si>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</si>
  <si>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</si>
  <si>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</si>
  <si>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</si>
  <si>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</si>
  <si>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</si>
  <si>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</si>
  <si>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</si>
  <si>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</si>
  <si>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</si>
  <si>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</si>
  <si>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</si>
  <si>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</si>
  <si>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</si>
  <si>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</si>
  <si>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</si>
  <si>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</si>
  <si>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</si>
  <si>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</si>
  <si>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</si>
  <si>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</si>
  <si>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</si>
  <si>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</si>
  <si>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</si>
  <si>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</si>
  <si>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</si>
  <si>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</si>
  <si>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</si>
  <si>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</si>
  <si>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</si>
  <si>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</si>
  <si>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</si>
  <si>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</si>
  <si>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</si>
  <si>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</si>
  <si>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</si>
  <si>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</si>
  <si>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</si>
  <si>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</si>
  <si>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</si>
  <si>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</si>
  <si>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</si>
  <si>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</si>
  <si>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</si>
  <si>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</si>
  <si>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</si>
  <si>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</si>
  <si>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</si>
  <si>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</si>
  <si>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</si>
  <si>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</si>
  <si>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</si>
  <si>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</si>
  <si>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</si>
  <si>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</si>
  <si>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</si>
  <si>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</si>
  <si>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</si>
  <si>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</si>
  <si>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</si>
  <si>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</si>
  <si>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</si>
  <si>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</si>
  <si>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</si>
  <si>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</si>
  <si>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</si>
  <si>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</si>
  <si>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</si>
  <si>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</si>
  <si>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</si>
  <si>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</si>
  <si>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</si>
  <si>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</si>
  <si>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</si>
  <si>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</si>
  <si>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</si>
  <si>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</si>
  <si>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</si>
  <si>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</si>
  <si>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</si>
  <si>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</si>
  <si>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</si>
  <si>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</si>
  <si>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</si>
  <si>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</si>
  <si>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</si>
  <si>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</si>
  <si>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</si>
  <si>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</si>
  <si>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</si>
  <si>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</si>
  <si>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</si>
  <si>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</si>
  <si>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</si>
  <si>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</si>
  <si>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</si>
  <si>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</si>
  <si>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</si>
  <si>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</si>
  <si>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</si>
  <si>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</si>
  <si>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</si>
  <si>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</si>
  <si>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</si>
  <si>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</si>
  <si>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</si>
  <si>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</si>
  <si>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</si>
  <si>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</si>
  <si>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</si>
  <si>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</si>
  <si>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</si>
  <si>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</si>
  <si>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</si>
  <si>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</si>
  <si>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</si>
  <si>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</si>
  <si>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</si>
  <si>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</si>
  <si>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</si>
  <si>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</si>
  <si>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</si>
  <si>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</si>
  <si>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</si>
  <si>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</si>
  <si>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</si>
  <si>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</si>
  <si>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</si>
  <si>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</si>
  <si>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</si>
  <si>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</si>
  <si>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</si>
  <si>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</si>
  <si>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</si>
  <si>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</si>
  <si>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</si>
  <si>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</si>
  <si>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</si>
  <si>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</si>
  <si>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</si>
  <si>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</si>
  <si>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</si>
  <si>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</si>
  <si>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</si>
  <si>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</si>
  <si>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</si>
  <si>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</si>
  <si>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</si>
  <si>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</si>
  <si>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</si>
  <si>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</si>
  <si>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</si>
  <si>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</si>
  <si>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</si>
  <si>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</si>
  <si>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</si>
  <si>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</si>
  <si>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</si>
  <si>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</si>
  <si>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</si>
  <si>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</si>
  <si>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</si>
  <si>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</si>
  <si>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</si>
  <si>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</si>
  <si>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</si>
  <si>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</si>
  <si>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</si>
  <si>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</si>
  <si>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</si>
  <si>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</si>
  <si>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</si>
  <si>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</si>
  <si>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</si>
  <si>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</si>
  <si>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</si>
  <si>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</si>
  <si>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</si>
  <si>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</si>
  <si>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</si>
  <si>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</si>
  <si>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</si>
  <si>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</si>
  <si>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</si>
  <si>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</si>
  <si>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</si>
  <si>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</si>
  <si>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</si>
  <si>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</si>
  <si>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</si>
  <si>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</si>
  <si>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</si>
  <si>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</si>
  <si>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</si>
  <si>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</si>
  <si>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</si>
  <si>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</si>
  <si>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</si>
  <si>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</si>
  <si>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</si>
  <si>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</si>
  <si>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</si>
  <si>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</si>
  <si>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</si>
  <si>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</si>
  <si>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</si>
  <si>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</si>
  <si>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</si>
  <si>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</si>
  <si>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</si>
  <si>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</si>
  <si>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</si>
  <si>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</si>
  <si>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</si>
  <si>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</si>
  <si>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</si>
  <si>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</si>
  <si>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</si>
  <si>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</si>
  <si>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</si>
  <si>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</si>
  <si>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</si>
  <si>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</si>
  <si>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</si>
  <si>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</si>
  <si>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</si>
  <si>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</si>
  <si>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</si>
  <si>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</si>
  <si>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</si>
  <si>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</si>
  <si>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</si>
  <si>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</si>
  <si>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</si>
  <si>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</si>
  <si>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</si>
  <si>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</si>
  <si>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</si>
  <si>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</si>
  <si>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</si>
  <si>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</si>
  <si>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</si>
  <si>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</si>
  <si>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</si>
  <si>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</si>
  <si>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</si>
  <si>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</si>
  <si>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</si>
  <si>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</si>
  <si>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</si>
  <si>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</si>
  <si>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</si>
  <si>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</si>
  <si>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</si>
  <si>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</si>
  <si>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</si>
  <si>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</si>
  <si>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</si>
  <si>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</si>
  <si>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</si>
  <si>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</si>
  <si>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</si>
  <si>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</si>
  <si>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</si>
  <si>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</si>
  <si>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</si>
  <si>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</si>
  <si>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</si>
  <si>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</si>
  <si>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</si>
  <si>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</si>
  <si>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</si>
  <si>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</si>
  <si>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</si>
  <si>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</si>
  <si>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</si>
  <si>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</si>
  <si>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</si>
  <si>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</si>
  <si>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</si>
  <si>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</si>
  <si>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</si>
  <si>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</si>
  <si>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</si>
  <si>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</si>
  <si>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</si>
  <si>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</si>
  <si>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</si>
  <si>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</si>
  <si>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</si>
  <si>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</si>
  <si>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</si>
  <si>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</si>
  <si>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</si>
  <si>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</si>
  <si>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</si>
  <si>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</si>
  <si>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</si>
  <si>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</si>
  <si>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</si>
  <si>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</si>
  <si>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</si>
  <si>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</si>
  <si>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</si>
  <si>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</si>
  <si>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</si>
  <si>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</si>
  <si>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</si>
  <si>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</si>
  <si>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</si>
  <si>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</si>
  <si>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</si>
  <si>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</si>
  <si>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</si>
  <si>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</si>
  <si>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</si>
  <si>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</si>
  <si>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</si>
  <si>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</si>
  <si>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</si>
  <si>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</si>
  <si>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</si>
  <si>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</si>
  <si>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</si>
  <si>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</si>
  <si>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</si>
  <si>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</si>
  <si>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</si>
  <si>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</si>
  <si>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</si>
  <si>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</si>
  <si>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</si>
  <si>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</si>
  <si>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</si>
  <si>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</si>
  <si>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</si>
  <si>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</si>
  <si>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</si>
  <si>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</si>
  <si>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</si>
  <si>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</si>
  <si>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</si>
  <si>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</si>
  <si>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</si>
  <si>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</si>
  <si>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</si>
  <si>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</si>
  <si>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</si>
  <si>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</si>
  <si>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</si>
  <si>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</si>
  <si>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</si>
  <si>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</si>
  <si>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</si>
  <si>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</si>
  <si>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</si>
  <si>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</si>
  <si>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</si>
  <si>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</si>
  <si>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</si>
  <si>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</si>
  <si>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</si>
  <si>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</si>
  <si>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</si>
  <si>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</si>
  <si>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</si>
  <si>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</si>
  <si>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</si>
  <si>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</si>
  <si>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</si>
  <si>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</si>
  <si>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</si>
  <si>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</si>
  <si>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</si>
  <si>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</si>
  <si>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</si>
  <si>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</si>
  <si>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</si>
  <si>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</si>
  <si>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</si>
  <si>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</si>
  <si>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</si>
  <si>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</si>
  <si>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</si>
  <si>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</si>
  <si>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</si>
  <si>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</si>
  <si>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</si>
  <si>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</si>
  <si>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</si>
  <si>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</si>
  <si>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</si>
  <si>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</si>
  <si>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</si>
  <si>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</si>
  <si>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</si>
  <si>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</si>
  <si>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</si>
  <si>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</si>
  <si>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</si>
  <si>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</si>
  <si>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</si>
  <si>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</si>
  <si>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</si>
  <si>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</si>
  <si>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</si>
  <si>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</si>
  <si>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</si>
  <si>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</si>
  <si>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</si>
  <si>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</si>
  <si>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</si>
  <si>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</si>
  <si>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</si>
  <si>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</si>
  <si>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</si>
  <si>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</si>
  <si>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</si>
  <si>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</si>
  <si>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</si>
  <si>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</si>
  <si>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</si>
  <si>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</si>
  <si>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</si>
  <si>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</si>
  <si>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</si>
  <si>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</si>
  <si>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</si>
  <si>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</si>
  <si>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</si>
  <si>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</si>
  <si>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</si>
  <si>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</si>
  <si>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</si>
  <si>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</si>
  <si>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</si>
  <si>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</si>
  <si>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</si>
  <si>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</si>
  <si>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</si>
  <si>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</si>
  <si>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</si>
  <si>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</si>
  <si>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</si>
  <si>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</si>
  <si>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</si>
  <si>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</si>
  <si>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</si>
  <si>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</si>
  <si>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</si>
  <si>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</si>
  <si>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</si>
  <si>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</si>
  <si>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</si>
  <si>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</si>
  <si>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</si>
  <si>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</si>
  <si>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</si>
  <si>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</si>
  <si>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</si>
  <si>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</si>
  <si>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</si>
  <si>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</si>
  <si>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</si>
  <si>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</si>
  <si>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</si>
  <si>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</si>
  <si>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</si>
  <si>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</si>
  <si>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</si>
  <si>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</si>
  <si>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</si>
  <si>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</si>
  <si>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</si>
  <si>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</si>
  <si>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</si>
  <si>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</si>
  <si>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</si>
  <si>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</si>
  <si>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</si>
  <si>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</si>
  <si>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</si>
  <si>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</si>
  <si>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</si>
  <si>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</si>
  <si>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</si>
  <si>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</si>
  <si>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</si>
  <si>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</si>
  <si>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</si>
  <si>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</si>
  <si>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</si>
  <si>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</si>
  <si>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</si>
  <si>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</si>
  <si>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</si>
  <si>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</si>
  <si>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</si>
  <si>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</si>
  <si>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</si>
  <si>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</si>
  <si>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</si>
  <si>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</si>
  <si>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</si>
  <si>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</si>
  <si>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</si>
  <si>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</si>
  <si>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</si>
  <si>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</si>
  <si>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</si>
  <si>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</si>
  <si>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</si>
  <si>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</si>
  <si>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</si>
  <si>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</si>
  <si>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</si>
  <si>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</si>
  <si>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</si>
  <si>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</si>
  <si>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</si>
  <si>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</si>
  <si>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</si>
  <si>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</si>
  <si>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</si>
  <si>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</si>
  <si>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</si>
  <si>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</si>
  <si>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</si>
  <si>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</si>
  <si>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</si>
  <si>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</si>
  <si>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</si>
  <si>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</si>
  <si>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</si>
  <si>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</si>
  <si>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</si>
  <si>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</si>
  <si>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</si>
  <si>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</si>
  <si>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</si>
  <si>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</si>
  <si>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</si>
  <si>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</si>
  <si>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</si>
  <si>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</si>
  <si>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</si>
  <si>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</si>
  <si>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</si>
  <si>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</si>
  <si>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</si>
  <si>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</si>
  <si>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</si>
  <si>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</si>
  <si>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</si>
  <si>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</si>
  <si>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</si>
  <si>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</si>
  <si>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</si>
  <si>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</si>
  <si>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</si>
  <si>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</si>
  <si>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</si>
  <si>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</si>
  <si>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</si>
  <si>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</si>
  <si>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</si>
  <si>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</si>
  <si>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</si>
  <si>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</si>
  <si>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</si>
  <si>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</si>
  <si>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</si>
  <si>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</si>
  <si>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</si>
  <si>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</si>
  <si>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</si>
  <si>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</si>
  <si>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</si>
  <si>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</si>
  <si>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</si>
  <si>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</si>
  <si>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</si>
  <si>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</si>
  <si>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</si>
  <si>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</si>
  <si>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</si>
  <si>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</si>
  <si>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</si>
  <si>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</si>
  <si>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</si>
  <si>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</si>
  <si>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</si>
  <si>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</si>
  <si>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</si>
  <si>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</si>
  <si>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</si>
  <si>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</si>
  <si>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</si>
  <si>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</si>
  <si>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</si>
  <si>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</si>
  <si>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</si>
  <si>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</si>
  <si>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</si>
  <si>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</si>
  <si>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</si>
  <si>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</si>
  <si>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</si>
  <si>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</si>
  <si>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</si>
  <si>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</si>
  <si>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</si>
  <si>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</si>
  <si>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</si>
  <si>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</si>
  <si>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</si>
  <si>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</si>
  <si>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</si>
  <si>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</si>
  <si>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</si>
  <si>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</si>
  <si>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</si>
  <si>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</si>
  <si>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</si>
  <si>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</si>
  <si>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</si>
  <si>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</si>
  <si>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</si>
  <si>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</si>
  <si>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</si>
  <si>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</si>
  <si>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</si>
  <si>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</si>
  <si>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</si>
  <si>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</si>
  <si>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</si>
  <si>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</si>
  <si>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</si>
  <si>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</si>
  <si>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</si>
  <si>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</si>
  <si>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</si>
  <si>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</si>
  <si>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</si>
  <si>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</si>
  <si>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</si>
  <si>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</si>
  <si>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</si>
  <si>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</si>
  <si>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</si>
  <si>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</si>
  <si>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</si>
  <si>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</si>
  <si>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</si>
  <si>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</si>
  <si>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</si>
  <si>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</si>
  <si>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</si>
  <si>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</si>
  <si>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</si>
  <si>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</si>
  <si>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</si>
  <si>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</si>
  <si>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</si>
  <si>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</si>
  <si>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</si>
  <si>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</si>
  <si>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</si>
  <si>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</si>
  <si>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</si>
  <si>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</si>
  <si>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</si>
  <si>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</si>
  <si>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</si>
  <si>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</si>
  <si>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</si>
  <si>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</si>
  <si>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</si>
  <si>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</si>
  <si>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</si>
  <si>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</si>
  <si>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</si>
  <si>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</si>
  <si>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</si>
  <si>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</si>
  <si>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</si>
  <si>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</si>
  <si>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</si>
  <si>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</si>
  <si>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</si>
  <si>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</si>
  <si>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</si>
  <si>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</si>
  <si>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</si>
  <si>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</si>
  <si>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</si>
  <si>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</si>
  <si>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</si>
  <si>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</si>
  <si>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</si>
  <si>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</si>
  <si>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</si>
  <si>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</si>
  <si>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</si>
  <si>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</si>
  <si>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</si>
  <si>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</si>
  <si>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</si>
  <si>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</si>
  <si>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</si>
  <si>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</si>
  <si>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</si>
  <si>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</si>
  <si>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</si>
  <si>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</si>
  <si>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</si>
  <si>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</si>
  <si>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</si>
  <si>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</si>
  <si>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</si>
  <si>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</si>
  <si>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</si>
  <si>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</si>
  <si>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</si>
  <si>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</si>
  <si>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</si>
  <si>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</si>
  <si>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</si>
  <si>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</si>
  <si>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</si>
  <si>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</si>
  <si>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</si>
  <si>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</si>
  <si>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</si>
  <si>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</si>
  <si>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</si>
  <si>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</si>
  <si>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</si>
  <si>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</si>
  <si>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</si>
  <si>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</si>
  <si>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</si>
  <si>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</si>
  <si>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</si>
  <si>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</si>
  <si>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</si>
  <si>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</si>
  <si>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</si>
  <si>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</si>
  <si>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</si>
  <si>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</si>
  <si>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</si>
  <si>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</si>
  <si>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</si>
  <si>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</si>
  <si>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</si>
  <si>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</si>
  <si>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</si>
  <si>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</si>
  <si>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</si>
  <si>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</si>
  <si>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</si>
  <si>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</si>
  <si>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</si>
  <si>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</si>
  <si>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</si>
  <si>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</si>
  <si>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</si>
  <si>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</si>
  <si>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</si>
  <si>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</si>
  <si>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</si>
  <si>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</si>
  <si>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</si>
  <si>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</si>
  <si>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</si>
  <si>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</si>
  <si>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</si>
  <si>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</si>
  <si>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</si>
  <si>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</si>
  <si>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</si>
  <si>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</si>
  <si>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</si>
  <si>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</si>
  <si>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</si>
  <si>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</si>
  <si>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</si>
  <si>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</si>
  <si>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</si>
  <si>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</si>
  <si>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</si>
  <si>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</si>
  <si>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</si>
  <si>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</si>
  <si>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</si>
  <si>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</si>
  <si>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</si>
  <si>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</si>
  <si>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</si>
  <si>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</si>
  <si>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</si>
  <si>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</si>
  <si>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</si>
  <si>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</si>
  <si>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</si>
  <si>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</si>
  <si>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</si>
  <si>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</si>
  <si>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</si>
  <si>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</si>
  <si>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</si>
  <si>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</si>
  <si>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</si>
  <si>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</si>
  <si>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</si>
  <si>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</si>
  <si>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</si>
  <si>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</si>
  <si>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</si>
  <si>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</si>
  <si>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</si>
  <si>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</si>
  <si>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</si>
  <si>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</si>
  <si>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</si>
  <si>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</si>
  <si>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</si>
  <si>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</si>
  <si>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</si>
  <si>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</si>
  <si>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</si>
  <si>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</si>
  <si>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</si>
  <si>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</si>
  <si>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</si>
  <si>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</si>
  <si>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</si>
  <si>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</si>
  <si>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</si>
  <si>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</si>
  <si>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</si>
  <si>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</si>
  <si>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</si>
  <si>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</si>
  <si>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</si>
  <si>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</si>
  <si>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</si>
  <si>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</si>
  <si>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</si>
  <si>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</si>
  <si>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</si>
  <si>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</si>
  <si>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</si>
  <si>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</si>
  <si>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</si>
  <si>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</si>
  <si>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</si>
  <si>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</si>
  <si>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</si>
  <si>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</si>
  <si>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</si>
  <si>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</si>
  <si>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</si>
  <si>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</si>
  <si>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</si>
  <si>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</si>
  <si>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</si>
  <si>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</si>
  <si>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</si>
  <si>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</si>
  <si>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</si>
  <si>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</si>
  <si>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</si>
  <si>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</si>
  <si>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</si>
  <si>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</si>
  <si>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</si>
  <si>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</si>
  <si>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</si>
  <si>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</si>
  <si>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</si>
  <si>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</si>
  <si>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</si>
  <si>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</si>
  <si>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</si>
  <si>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</si>
  <si>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</si>
  <si>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</si>
  <si>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</si>
  <si>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</si>
  <si>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</si>
  <si>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</si>
  <si>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</si>
  <si>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</si>
  <si>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</si>
  <si>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</si>
  <si>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</si>
  <si>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</si>
  <si>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</si>
  <si>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</si>
  <si>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</si>
  <si>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</si>
  <si>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</si>
  <si>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</si>
  <si>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</si>
  <si>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</si>
  <si>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</si>
  <si>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</si>
  <si>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</si>
  <si>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</si>
  <si>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</si>
  <si>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</si>
  <si>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</si>
  <si>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</si>
  <si>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</si>
  <si>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</si>
  <si>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</si>
  <si>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</si>
  <si>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</si>
  <si>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</si>
  <si>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</si>
  <si>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</si>
  <si>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</si>
  <si>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</si>
  <si>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</si>
  <si>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</si>
  <si>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</si>
  <si>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</si>
  <si>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</si>
  <si>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</si>
  <si>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</si>
  <si>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</si>
  <si>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</si>
  <si>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</si>
  <si>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</si>
  <si>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</si>
  <si>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</si>
  <si>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</si>
  <si>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</si>
  <si>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</si>
  <si>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</si>
  <si>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</si>
  <si>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</si>
  <si>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</si>
  <si>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</si>
  <si>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</si>
  <si>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</si>
  <si>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</si>
  <si>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</si>
  <si>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</si>
  <si>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</si>
  <si>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</si>
  <si>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</si>
  <si>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</si>
  <si>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</si>
  <si>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</si>
  <si>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</si>
  <si>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</si>
  <si>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</si>
  <si>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</si>
  <si>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</si>
  <si>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</si>
  <si>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</si>
  <si>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</si>
  <si>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</si>
  <si>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</si>
  <si>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</si>
  <si>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</si>
  <si>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</si>
  <si>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</si>
  <si>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</si>
  <si>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</si>
  <si>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</si>
  <si>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</si>
  <si>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</si>
  <si>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</si>
  <si>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</si>
  <si>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</si>
  <si>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</si>
  <si>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</si>
  <si>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</si>
  <si>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</si>
  <si>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</si>
  <si>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</si>
  <si>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</si>
  <si>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</si>
  <si>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</si>
  <si>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</si>
  <si>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</si>
  <si>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</si>
  <si>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</si>
  <si>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</si>
  <si>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</si>
  <si>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</si>
  <si>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</si>
  <si>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</si>
  <si>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</si>
  <si>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</si>
  <si>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</si>
  <si>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</si>
  <si>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</si>
  <si>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</si>
  <si>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</si>
  <si>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</si>
  <si>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</si>
  <si>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</si>
  <si>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</si>
  <si>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</si>
  <si>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</si>
  <si>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</si>
  <si>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</si>
  <si>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</si>
  <si>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</si>
  <si>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</si>
  <si>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</si>
  <si>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</si>
  <si>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</si>
  <si>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</si>
  <si>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</si>
  <si>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</si>
  <si>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</si>
  <si>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</si>
  <si>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</si>
  <si>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</si>
  <si>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</si>
  <si>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</si>
  <si>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</si>
  <si>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</si>
  <si>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</si>
  <si>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</si>
  <si>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</si>
  <si>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</si>
  <si>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</si>
  <si>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</si>
  <si>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</si>
  <si>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</si>
  <si>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</si>
  <si>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</si>
  <si>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</si>
  <si>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</si>
  <si>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</si>
  <si>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</si>
  <si>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</si>
  <si>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</si>
  <si>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</si>
  <si>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</si>
  <si>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</si>
  <si>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</si>
  <si>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</si>
  <si>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</si>
  <si>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</si>
  <si>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</si>
  <si>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</si>
  <si>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</si>
  <si>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</si>
  <si>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</si>
  <si>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</si>
  <si>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</si>
  <si>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</si>
  <si>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</si>
  <si>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</si>
  <si>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</si>
  <si>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</si>
  <si>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</si>
  <si>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</si>
  <si>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</si>
  <si>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</si>
  <si>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</si>
  <si>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</si>
  <si>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</si>
  <si>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</si>
  <si>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</si>
  <si>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</si>
  <si>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</si>
  <si>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</si>
  <si>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</si>
  <si>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</si>
  <si>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</si>
  <si>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</si>
  <si>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</si>
  <si>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</si>
  <si>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</si>
  <si>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</si>
  <si>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</si>
  <si>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</si>
  <si>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</si>
  <si>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</si>
  <si>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</si>
  <si>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</si>
  <si>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</si>
  <si>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</si>
  <si>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</si>
  <si>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</si>
  <si>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</si>
  <si>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</si>
  <si>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</si>
  <si>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</si>
  <si>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</si>
  <si>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</si>
  <si>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</si>
  <si>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</si>
  <si>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</si>
  <si>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</si>
  <si>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</si>
  <si>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</si>
  <si>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</si>
  <si>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</si>
  <si>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</si>
  <si>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</si>
  <si>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</si>
  <si>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</si>
  <si>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</si>
  <si>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</si>
  <si>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</si>
  <si>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</si>
  <si>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</si>
  <si>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</si>
  <si>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</si>
  <si>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</si>
  <si>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</si>
  <si>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</si>
  <si>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</si>
  <si>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</si>
  <si>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</si>
  <si>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</si>
  <si>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</si>
  <si>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</si>
  <si>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</si>
  <si>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</si>
  <si>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</si>
  <si>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</si>
  <si>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</si>
  <si>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</si>
  <si>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</si>
  <si>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</si>
  <si>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</si>
  <si>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</si>
  <si>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</si>
  <si>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</si>
  <si>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</si>
  <si>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</si>
  <si>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</si>
  <si>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</si>
  <si>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</si>
  <si>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</si>
  <si>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</si>
  <si>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</si>
  <si>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</si>
  <si>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</si>
  <si>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</si>
  <si>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</si>
  <si>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</si>
  <si>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</si>
  <si>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</si>
  <si>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</si>
  <si>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</si>
  <si>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</si>
  <si>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</si>
  <si>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</si>
  <si>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</si>
  <si>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</si>
  <si>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</si>
  <si>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</si>
  <si>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</si>
  <si>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</si>
  <si>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</si>
  <si>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</si>
  <si>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</si>
  <si>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</si>
  <si>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</si>
  <si>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</si>
  <si>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</si>
  <si>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</si>
  <si>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</si>
  <si>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</si>
  <si>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</si>
  <si>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</si>
  <si>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</si>
  <si>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</si>
  <si>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</si>
  <si>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</si>
  <si>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</si>
  <si>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</si>
  <si>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</si>
  <si>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</si>
  <si>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</si>
  <si>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</si>
  <si>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</si>
  <si>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</si>
  <si>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</si>
  <si>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</si>
  <si>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</si>
  <si>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</si>
  <si>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</si>
  <si>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</si>
  <si>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</si>
  <si>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</si>
  <si>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</si>
  <si>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</si>
  <si>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</si>
  <si>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</si>
  <si>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</si>
  <si>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</si>
  <si>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</si>
  <si>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</si>
  <si>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</si>
  <si>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</si>
  <si>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</si>
  <si>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</si>
  <si>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</si>
  <si>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</si>
  <si>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</si>
  <si>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</si>
  <si>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</si>
  <si>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</si>
  <si>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</si>
  <si>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</si>
  <si>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</si>
  <si>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</si>
  <si>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</si>
  <si>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</si>
  <si>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</si>
  <si>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</si>
  <si>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</si>
  <si>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</si>
  <si>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</si>
  <si>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</si>
  <si>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</si>
  <si>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</si>
  <si>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</si>
  <si>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</si>
  <si>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</si>
  <si>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</si>
  <si>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</si>
  <si>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</si>
  <si>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</si>
  <si>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</si>
  <si>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</si>
  <si>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</si>
  <si>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</si>
  <si>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</si>
  <si>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</si>
  <si>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</si>
  <si>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</si>
  <si>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</si>
  <si>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</si>
  <si>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</si>
  <si>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</si>
  <si>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</si>
  <si>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</si>
  <si>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</si>
  <si>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</si>
  <si>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</si>
  <si>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</si>
  <si>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</si>
  <si>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</si>
  <si>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</si>
  <si>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</si>
  <si>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</si>
  <si>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</si>
  <si>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</si>
  <si>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</si>
  <si>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</si>
  <si>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</si>
  <si>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</si>
  <si>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</si>
  <si>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</si>
  <si>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</si>
  <si>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</si>
  <si>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</si>
  <si>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</si>
  <si>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</si>
  <si>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</si>
  <si>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</si>
  <si>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</si>
  <si>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</si>
  <si>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</si>
  <si>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</si>
  <si>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</si>
  <si>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</si>
  <si>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</si>
  <si>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</si>
  <si>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</si>
  <si>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</si>
  <si>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</si>
  <si>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</si>
  <si>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</si>
  <si>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</si>
  <si>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</si>
  <si>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</si>
  <si>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</si>
  <si>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</si>
  <si>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</si>
  <si>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</si>
  <si>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</si>
  <si>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</si>
  <si>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</si>
  <si>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</si>
  <si>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</si>
  <si>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</si>
  <si>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</si>
  <si>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</si>
  <si>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</si>
  <si>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</si>
  <si>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</si>
  <si>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</si>
  <si>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</si>
  <si>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</si>
  <si>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</si>
  <si>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</si>
  <si>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</si>
  <si>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</si>
  <si>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</si>
  <si>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</si>
  <si>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</si>
  <si>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</si>
  <si>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</si>
  <si>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</si>
  <si>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</si>
  <si>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</si>
  <si>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</si>
  <si>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</si>
  <si>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</si>
  <si>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</si>
  <si>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</si>
  <si>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</si>
  <si>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</si>
  <si>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</si>
  <si>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</si>
  <si>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</si>
  <si>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</si>
  <si>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</si>
  <si>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</si>
  <si>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</si>
  <si>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</si>
  <si>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</si>
  <si>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</si>
  <si>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</si>
  <si>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</si>
  <si>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</si>
  <si>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</si>
  <si>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</si>
  <si>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</si>
  <si>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</si>
  <si>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</si>
  <si>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</si>
  <si>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</si>
  <si>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</si>
  <si>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</si>
  <si>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</si>
  <si>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</si>
  <si>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</si>
  <si>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</si>
  <si>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</si>
  <si>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</si>
  <si>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</si>
  <si>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</si>
  <si>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</si>
  <si>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</si>
  <si>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</si>
  <si>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</si>
  <si>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</si>
  <si>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</si>
  <si>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</si>
  <si>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</si>
  <si>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</si>
  <si>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</si>
  <si>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</si>
  <si>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</si>
  <si>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</si>
  <si>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</si>
  <si>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</si>
  <si>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</si>
  <si>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</si>
  <si>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</si>
  <si>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</si>
  <si>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</si>
  <si>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</si>
  <si>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</si>
  <si>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</si>
  <si>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</si>
  <si>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</si>
  <si>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</si>
  <si>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</si>
  <si>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</si>
  <si>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</si>
  <si>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</si>
  <si>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</si>
  <si>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</si>
  <si>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</si>
  <si>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</si>
  <si>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</si>
  <si>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</si>
  <si>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</si>
  <si>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</si>
  <si>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</si>
  <si>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</si>
  <si>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</si>
  <si>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</si>
  <si>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</si>
  <si>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</si>
  <si>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</si>
  <si>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</si>
  <si>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</si>
  <si>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</si>
  <si>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</si>
  <si>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</si>
  <si>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</si>
  <si>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</si>
  <si>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</si>
  <si>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</si>
  <si>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</si>
  <si>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</si>
  <si>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</si>
  <si>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</si>
  <si>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</si>
  <si>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</si>
  <si>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</si>
  <si>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</si>
  <si>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</si>
  <si>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</si>
  <si>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</si>
  <si>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</si>
  <si>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</si>
  <si>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</si>
  <si>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</si>
  <si>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</si>
  <si>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</si>
  <si>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</si>
  <si>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</si>
  <si>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</si>
  <si>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</si>
  <si>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</si>
  <si>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</si>
  <si>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</si>
  <si>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</si>
  <si>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</si>
  <si>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</si>
  <si>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</si>
  <si>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</si>
  <si>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</si>
  <si>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</si>
  <si>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</si>
  <si>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</si>
  <si>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</si>
  <si>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</si>
  <si>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</si>
  <si>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</si>
  <si>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</si>
  <si>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</si>
  <si>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</si>
  <si>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</si>
  <si>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</si>
  <si>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</si>
  <si>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</si>
  <si>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</si>
  <si>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</si>
  <si>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</si>
  <si>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</si>
  <si>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</si>
  <si>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</si>
  <si>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</si>
  <si>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</si>
  <si>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</si>
  <si>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</si>
  <si>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</si>
  <si>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</si>
  <si>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</si>
  <si>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</si>
  <si>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</si>
  <si>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</si>
  <si>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</si>
  <si>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</si>
  <si>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</si>
  <si>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</si>
  <si>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</si>
  <si>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</si>
  <si>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</si>
  <si>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</si>
  <si>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</si>
  <si>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</si>
  <si>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</si>
  <si>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</si>
  <si>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</si>
  <si>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</si>
  <si>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</si>
  <si>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</si>
  <si>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</si>
  <si>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</si>
  <si>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</si>
  <si>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</si>
  <si>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</si>
  <si>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</si>
  <si>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</si>
  <si>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</si>
  <si>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</si>
  <si>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</si>
  <si>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</si>
  <si>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</si>
  <si>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</si>
  <si>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</si>
  <si>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</si>
  <si>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</si>
  <si>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</si>
  <si>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</si>
  <si>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</si>
  <si>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</si>
  <si>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</si>
  <si>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</si>
  <si>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</si>
  <si>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</si>
  <si>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</si>
  <si>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</si>
  <si>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</si>
  <si>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</si>
  <si>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</si>
  <si>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</si>
  <si>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</si>
  <si>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</si>
  <si>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</si>
  <si>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</si>
  <si>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</si>
  <si>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</si>
  <si>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</si>
  <si>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</si>
  <si>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</si>
  <si>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</si>
  <si>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</si>
  <si>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</si>
  <si>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</si>
  <si>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</si>
  <si>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</si>
  <si>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</si>
  <si>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</si>
  <si>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</si>
  <si>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</si>
  <si>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</si>
  <si>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</si>
  <si>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</si>
  <si>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</si>
  <si>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</si>
  <si>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</si>
  <si>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</si>
  <si>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</si>
  <si>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</si>
  <si>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</si>
  <si>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</si>
  <si>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</si>
  <si>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</si>
  <si>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</si>
  <si>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</si>
  <si>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</si>
  <si>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</si>
  <si>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</si>
  <si>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</si>
  <si>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</si>
  <si>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</si>
  <si>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</si>
  <si>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</si>
  <si>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</si>
  <si>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</si>
  <si>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</si>
  <si>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</si>
  <si>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</si>
  <si>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</si>
  <si>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</si>
  <si>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</si>
  <si>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</si>
  <si>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</si>
  <si>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</si>
  <si>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</si>
  <si>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</si>
  <si>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</si>
  <si>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</si>
  <si>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</si>
  <si>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</si>
  <si>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</si>
  <si>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</si>
  <si>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</si>
  <si>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</si>
  <si>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</si>
  <si>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</si>
  <si>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</si>
  <si>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</si>
  <si>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</si>
  <si>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</si>
  <si>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</si>
  <si>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</si>
  <si>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</si>
  <si>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</si>
  <si>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</si>
  <si>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</si>
  <si>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</si>
  <si>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</si>
  <si>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</si>
  <si>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</si>
  <si>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</si>
  <si>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</si>
  <si>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</si>
  <si>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</si>
  <si>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</si>
  <si>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</si>
  <si>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</si>
  <si>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</si>
  <si>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</si>
  <si>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</si>
  <si>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</si>
  <si>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</si>
  <si>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</si>
  <si>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</si>
  <si>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</si>
  <si>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</si>
  <si>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</si>
  <si>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</si>
  <si>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</si>
  <si>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</si>
  <si>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</si>
  <si>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</si>
  <si>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</si>
  <si>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</si>
  <si>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</si>
  <si>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</si>
  <si>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</si>
  <si>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</si>
  <si>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</si>
  <si>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</si>
  <si>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</si>
  <si>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</si>
  <si>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</si>
  <si>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</si>
  <si>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</si>
  <si>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</si>
  <si>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</si>
  <si>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</si>
  <si>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</si>
  <si>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</si>
  <si>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</si>
  <si>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</si>
  <si>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</si>
  <si>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</si>
  <si>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</si>
  <si>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</si>
  <si>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</si>
  <si>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</si>
  <si>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</si>
  <si>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</si>
  <si>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</si>
  <si>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</si>
  <si>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</si>
  <si>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</si>
  <si>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</si>
  <si>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</si>
  <si>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</si>
  <si>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</si>
  <si>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</si>
  <si>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</si>
  <si>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</si>
  <si>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</si>
  <si>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</si>
  <si>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</si>
  <si>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</si>
  <si>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</si>
  <si>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</si>
  <si>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</si>
  <si>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</si>
  <si>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</si>
  <si>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</si>
  <si>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</si>
  <si>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</si>
  <si>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</si>
  <si>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</si>
  <si>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</si>
  <si>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</si>
  <si>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</si>
  <si>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</si>
  <si>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</si>
  <si>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</si>
  <si>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</si>
  <si>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</si>
  <si>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</si>
  <si>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</si>
  <si>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</si>
  <si>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</si>
  <si>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</si>
  <si>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</si>
  <si>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</si>
  <si>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</si>
  <si>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</si>
  <si>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</si>
  <si>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</si>
  <si>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</si>
  <si>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</si>
  <si>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</si>
  <si>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</si>
  <si>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</si>
  <si>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</si>
  <si>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</si>
  <si>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</si>
  <si>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</si>
  <si>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</si>
  <si>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</si>
  <si>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</si>
  <si>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</si>
  <si>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</si>
  <si>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</si>
  <si>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</si>
  <si>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</si>
  <si>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</si>
  <si>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</si>
  <si>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</si>
  <si>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</si>
  <si>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</si>
  <si>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</si>
  <si>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</si>
  <si>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</si>
  <si>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</si>
  <si>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</si>
  <si>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</si>
  <si>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</si>
  <si>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</si>
  <si>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</si>
  <si>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</si>
  <si>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</si>
  <si>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</si>
  <si>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</si>
  <si>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</si>
  <si>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</si>
  <si>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</si>
  <si>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</si>
  <si>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</si>
  <si>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</si>
  <si>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</si>
  <si>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</si>
  <si>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</si>
  <si>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</si>
  <si>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</si>
  <si>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</si>
  <si>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</si>
  <si>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</si>
  <si>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</si>
  <si>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</si>
  <si>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</si>
  <si>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</si>
  <si>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</si>
  <si>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</si>
  <si>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</si>
  <si>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</si>
  <si>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</si>
  <si>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</si>
  <si>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</si>
  <si>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</si>
  <si>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</si>
  <si>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</si>
  <si>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</si>
  <si>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</si>
  <si>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</si>
  <si>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</si>
  <si>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</si>
  <si>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</si>
  <si>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</si>
  <si>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</si>
  <si>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</si>
  <si>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</si>
  <si>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</si>
  <si>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</si>
  <si>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</si>
  <si>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</si>
  <si>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</si>
  <si>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</si>
  <si>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</si>
  <si>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</si>
  <si>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</si>
  <si>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</si>
  <si>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</si>
  <si>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</si>
  <si>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</si>
  <si>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</si>
  <si>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</si>
  <si>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</si>
  <si>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</si>
  <si>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</si>
  <si>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</si>
  <si>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</si>
  <si>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</si>
  <si>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</si>
  <si>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</si>
  <si>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</si>
  <si>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</si>
  <si>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</si>
  <si>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</si>
  <si>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</si>
  <si>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</si>
  <si>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</si>
  <si>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</si>
  <si>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</si>
  <si>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</si>
  <si>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</si>
  <si>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</si>
  <si>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</si>
  <si>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</si>
  <si>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</si>
  <si>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</si>
  <si>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</si>
  <si>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</si>
  <si>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</si>
  <si>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</si>
  <si>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</si>
  <si>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</si>
  <si>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</si>
  <si>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</si>
  <si>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</si>
  <si>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</si>
  <si>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</si>
  <si>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</si>
  <si>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</si>
  <si>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</si>
  <si>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</si>
  <si>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</si>
  <si>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</si>
  <si>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</si>
  <si>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</si>
  <si>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</si>
  <si>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</si>
  <si>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</si>
  <si>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</si>
  <si>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</si>
  <si>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</si>
  <si>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</si>
  <si>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</si>
  <si>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</si>
  <si>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</si>
  <si>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</si>
  <si>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</si>
  <si>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</si>
  <si>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</si>
  <si>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</si>
  <si>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</si>
  <si>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</si>
  <si>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</si>
  <si>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</si>
  <si>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</si>
  <si>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</si>
  <si>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</si>
  <si>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</si>
  <si>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</si>
  <si>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</si>
  <si>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</si>
  <si>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</si>
  <si>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</si>
  <si>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</si>
  <si>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</si>
  <si>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</si>
  <si>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</si>
  <si>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</si>
  <si>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</si>
  <si>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</si>
  <si>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</si>
  <si>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</si>
  <si>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</si>
  <si>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</si>
  <si>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</si>
  <si>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</si>
  <si>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</si>
  <si>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</si>
  <si>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</si>
  <si>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</si>
  <si>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</si>
  <si>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</si>
  <si>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</si>
  <si>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</si>
  <si>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</si>
  <si>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</si>
  <si>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</si>
  <si>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</si>
  <si>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</si>
  <si>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</si>
  <si>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</si>
  <si>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</si>
  <si>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</si>
  <si>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</si>
  <si>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</si>
  <si>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</si>
  <si>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</si>
  <si>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</si>
  <si>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</si>
  <si>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</si>
  <si>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</si>
  <si>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</si>
  <si>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</si>
  <si>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</si>
  <si>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</si>
  <si>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</si>
  <si>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</si>
  <si>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</si>
  <si>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</si>
  <si>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</si>
  <si>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</si>
  <si>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</si>
  <si>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</si>
  <si>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</si>
  <si>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</si>
  <si>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</si>
  <si>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</si>
  <si>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</si>
  <si>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</si>
  <si>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</si>
  <si>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</si>
  <si>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</si>
  <si>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</si>
  <si>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</si>
  <si>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</si>
  <si>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</si>
  <si>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</si>
  <si>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</si>
  <si>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</si>
  <si>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</si>
  <si>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</si>
  <si>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</si>
  <si>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</si>
  <si>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</si>
  <si>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</si>
  <si>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</si>
  <si>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</si>
  <si>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</si>
  <si>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</si>
  <si>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</si>
  <si>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</si>
  <si>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</si>
  <si>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</si>
  <si>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</si>
  <si>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</si>
  <si>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</si>
  <si>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</si>
  <si>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</si>
  <si>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</si>
  <si>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</si>
  <si>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</si>
  <si>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</si>
  <si>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</si>
  <si>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</si>
  <si>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</si>
  <si>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</si>
  <si>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</si>
  <si>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</si>
  <si>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</si>
  <si>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</si>
  <si>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</si>
  <si>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</si>
  <si>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</si>
  <si>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</si>
  <si>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</si>
  <si>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</si>
  <si>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</si>
  <si>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</si>
  <si>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</si>
  <si>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</si>
  <si>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</si>
  <si>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</si>
  <si>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</si>
  <si>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</si>
  <si>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</si>
  <si>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</si>
  <si>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</si>
  <si>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</si>
  <si>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</si>
  <si>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</si>
  <si>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</si>
  <si>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</si>
  <si>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</si>
  <si>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</si>
  <si>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</si>
  <si>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</si>
  <si>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</si>
  <si>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</si>
  <si>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</si>
  <si>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</si>
  <si>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</si>
  <si>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</si>
  <si>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</si>
  <si>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</si>
  <si>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</si>
  <si>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</si>
  <si>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</si>
  <si>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</si>
  <si>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</si>
  <si>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</si>
  <si>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</si>
  <si>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</si>
  <si>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</si>
  <si>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</si>
  <si>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</si>
  <si>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</si>
  <si>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</si>
  <si>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</si>
  <si>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</si>
  <si>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</si>
  <si>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</si>
  <si>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</si>
  <si>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</si>
  <si>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</si>
  <si>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</si>
  <si>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</si>
  <si>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</si>
  <si>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</si>
  <si>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</si>
  <si>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</si>
  <si>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</si>
  <si>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</si>
  <si>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</si>
  <si>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</si>
  <si>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</si>
  <si>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</si>
  <si>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</si>
  <si>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</si>
  <si>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</si>
  <si>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</si>
  <si>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</si>
  <si>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</si>
  <si>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</si>
  <si>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</si>
  <si>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</si>
  <si>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</si>
  <si>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</si>
  <si>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</si>
  <si>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</si>
  <si>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</si>
  <si>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</si>
  <si>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</si>
  <si>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</si>
  <si>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</si>
  <si>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</si>
  <si>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</si>
  <si>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</si>
  <si>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</si>
  <si>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</si>
  <si>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</si>
  <si>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</si>
  <si>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</si>
  <si>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</si>
  <si>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</si>
  <si>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</si>
  <si>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</si>
  <si>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</si>
  <si>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</si>
  <si>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</si>
  <si>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</si>
  <si>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</si>
  <si>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</si>
  <si>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</si>
  <si>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</si>
  <si>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</si>
  <si>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</si>
  <si>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</si>
  <si>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</si>
  <si>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</si>
  <si>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</si>
  <si>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</si>
  <si>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</si>
  <si>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</si>
  <si>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</si>
  <si>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</si>
  <si>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</si>
  <si>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</si>
  <si>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</si>
  <si>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</si>
  <si>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</si>
  <si>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</si>
  <si>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</si>
  <si>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</si>
  <si>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</si>
  <si>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</si>
  <si>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</si>
  <si>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</si>
  <si>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</si>
  <si>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</si>
  <si>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</si>
  <si>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</si>
  <si>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</si>
  <si>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</si>
  <si>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</si>
  <si>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</si>
  <si>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</si>
  <si>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</si>
  <si>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</si>
  <si>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</si>
  <si>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</si>
  <si>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</si>
  <si>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</si>
  <si>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</si>
  <si>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</si>
  <si>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</si>
  <si>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</si>
  <si>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</si>
  <si>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</si>
  <si>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</si>
  <si>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</si>
  <si>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</si>
  <si>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</si>
  <si>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</si>
  <si>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</si>
  <si>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</si>
  <si>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</si>
  <si>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</si>
  <si>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</si>
  <si>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</si>
  <si>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</si>
  <si>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</si>
  <si>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</si>
  <si>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</si>
  <si>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</si>
  <si>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</si>
  <si>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</si>
  <si>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</si>
  <si>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</si>
  <si>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</si>
  <si>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</si>
  <si>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</si>
  <si>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</si>
  <si>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</si>
  <si>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</si>
  <si>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</si>
  <si>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</si>
  <si>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</si>
  <si>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</si>
  <si>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</si>
  <si>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</si>
  <si>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</si>
  <si>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</si>
  <si>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</si>
  <si>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</si>
  <si>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</si>
  <si>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</si>
  <si>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</si>
  <si>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</si>
  <si>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</si>
  <si>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</si>
  <si>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</si>
  <si>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</si>
  <si>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</si>
  <si>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</si>
  <si>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</si>
  <si>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</si>
  <si>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</si>
  <si>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</si>
  <si>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</si>
  <si>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</si>
  <si>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</si>
  <si>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</si>
  <si>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</si>
  <si>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</si>
  <si>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</si>
  <si>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</si>
  <si>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</si>
  <si>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</si>
  <si>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</si>
  <si>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</si>
  <si>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</si>
  <si>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</si>
  <si>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</si>
  <si>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</si>
  <si>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</si>
  <si>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</si>
  <si>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</si>
  <si>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</si>
  <si>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</si>
  <si>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</si>
  <si>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</si>
  <si>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</si>
  <si>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</si>
  <si>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</si>
  <si>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</si>
  <si>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</si>
  <si>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</si>
  <si>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</si>
  <si>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</si>
  <si>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</si>
  <si>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</si>
  <si>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</si>
  <si>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</si>
  <si>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</si>
  <si>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</si>
  <si>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</si>
  <si>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</si>
  <si>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</si>
  <si>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</si>
  <si>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</si>
  <si>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</si>
  <si>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</si>
  <si>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</si>
  <si>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</si>
  <si>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</si>
  <si>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</si>
  <si>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</si>
  <si>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</si>
  <si>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</si>
  <si>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</si>
  <si>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</si>
  <si>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</si>
  <si>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</si>
  <si>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</si>
  <si>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</si>
  <si>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</si>
  <si>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</si>
  <si>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</si>
  <si>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</si>
  <si>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</si>
  <si>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</si>
  <si>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</si>
  <si>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</si>
  <si>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</si>
  <si>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</si>
  <si>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</si>
  <si>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</si>
  <si>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</si>
  <si>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</si>
  <si>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</si>
  <si>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</si>
  <si>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</si>
  <si>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</si>
  <si>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</si>
  <si>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</si>
  <si>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</si>
  <si>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</si>
  <si>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</si>
  <si>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</si>
  <si>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</si>
  <si>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</si>
  <si>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</si>
  <si>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</si>
  <si>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</si>
  <si>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</si>
  <si>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</si>
  <si>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</si>
  <si>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</si>
  <si>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</si>
  <si>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</si>
  <si>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</si>
  <si>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</si>
  <si>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</si>
  <si>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</si>
  <si>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</si>
  <si>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</si>
  <si>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</si>
  <si>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</si>
  <si>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</si>
  <si>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</si>
  <si>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</si>
  <si>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</si>
  <si>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</si>
  <si>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</si>
  <si>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</si>
  <si>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</si>
  <si>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</si>
  <si>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</si>
  <si>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</si>
  <si>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</si>
  <si>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</si>
  <si>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</si>
  <si>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</si>
  <si>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</si>
  <si>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</si>
  <si>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</si>
  <si>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</si>
  <si>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</si>
  <si>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</si>
  <si>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</si>
  <si>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</si>
  <si>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</si>
  <si>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</si>
  <si>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</si>
  <si>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</si>
  <si>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</si>
  <si>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</si>
  <si>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</si>
  <si>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</si>
  <si>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</si>
  <si>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</si>
  <si>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</si>
  <si>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</si>
  <si>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</si>
  <si>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</si>
  <si>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</si>
  <si>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</si>
  <si>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</si>
  <si>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</si>
  <si>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</si>
  <si>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</si>
  <si>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</si>
  <si>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</si>
  <si>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</si>
  <si>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</si>
  <si>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</si>
  <si>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</si>
  <si>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</si>
  <si>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</si>
  <si>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</si>
  <si>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</si>
  <si>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</si>
  <si>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</si>
  <si>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</si>
  <si>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</si>
  <si>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</si>
  <si>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</si>
  <si>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</si>
  <si>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</si>
  <si>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</si>
  <si>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</si>
  <si>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</si>
  <si>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</si>
  <si>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</si>
  <si>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</si>
  <si>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</si>
  <si>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</si>
  <si>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</si>
  <si>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</si>
  <si>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</si>
  <si>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</si>
  <si>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</si>
  <si>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</si>
  <si>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</si>
  <si>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</si>
  <si>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</si>
  <si>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</si>
  <si>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</si>
  <si>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</si>
  <si>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</si>
  <si>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</si>
  <si>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</si>
  <si>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</si>
  <si>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</si>
  <si>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</si>
  <si>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</si>
  <si>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</si>
  <si>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</si>
  <si>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</si>
  <si>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</si>
  <si>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</si>
  <si>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</si>
  <si>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</si>
  <si>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</si>
  <si>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</si>
  <si>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</si>
  <si>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</si>
  <si>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</si>
  <si>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</si>
  <si>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</si>
  <si>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</si>
  <si>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</si>
  <si>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</si>
  <si>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</si>
  <si>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</si>
  <si>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</si>
  <si>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</si>
  <si>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</si>
  <si>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</si>
  <si>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</si>
  <si>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</si>
  <si>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</si>
  <si>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</si>
  <si>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</si>
  <si>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</si>
  <si>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</si>
  <si>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</si>
  <si>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</si>
  <si>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</si>
  <si>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</si>
  <si>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</si>
  <si>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</si>
  <si>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</si>
  <si>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</si>
  <si>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</si>
  <si>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</si>
  <si>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</si>
  <si>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</si>
  <si>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</si>
  <si>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</si>
  <si>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</si>
  <si>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</si>
  <si>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</si>
  <si>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</si>
  <si>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</si>
  <si>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</si>
  <si>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</si>
  <si>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</si>
  <si>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</si>
  <si>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</si>
  <si>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</si>
  <si>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</si>
  <si>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</si>
  <si>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</si>
  <si>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</si>
  <si>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</si>
  <si>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</si>
  <si>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</si>
  <si>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</si>
  <si>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</si>
  <si>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</si>
  <si>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</si>
  <si>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</si>
  <si>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</si>
  <si>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</si>
  <si>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</si>
  <si>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</si>
  <si>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</si>
  <si>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</si>
  <si>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</si>
  <si>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</si>
  <si>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</si>
  <si>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</si>
  <si>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</si>
  <si>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</si>
  <si>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</si>
  <si>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</si>
  <si>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</si>
  <si>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</si>
  <si>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</si>
  <si>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</si>
  <si>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</si>
  <si>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</si>
  <si>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</si>
  <si>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</si>
  <si>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</si>
  <si>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</si>
  <si>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</si>
  <si>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</si>
  <si>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</si>
  <si>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</si>
  <si>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</si>
  <si>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</si>
  <si>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</si>
  <si>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</si>
  <si>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</si>
  <si>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</si>
  <si>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</si>
  <si>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</si>
  <si>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</si>
  <si>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</si>
  <si>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</si>
  <si>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</si>
  <si>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</si>
  <si>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</si>
  <si>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</si>
  <si>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</si>
  <si>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</si>
  <si>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</si>
  <si>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</si>
  <si>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</si>
  <si>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</si>
  <si>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</si>
  <si>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</si>
  <si>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</si>
  <si>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</si>
  <si>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</si>
  <si>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</si>
  <si>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</si>
  <si>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</si>
  <si>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</si>
  <si>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</si>
  <si>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</si>
  <si>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</si>
  <si>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</si>
  <si>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</si>
  <si>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</si>
  <si>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</si>
  <si>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</si>
  <si>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</si>
  <si>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</si>
  <si>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</si>
  <si>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</si>
  <si>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</si>
  <si>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</si>
  <si>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</si>
  <si>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</si>
  <si>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</si>
  <si>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</si>
  <si>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</si>
  <si>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</si>
  <si>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</si>
  <si>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</si>
  <si>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</si>
  <si>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</si>
  <si>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</si>
  <si>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</si>
  <si>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</si>
  <si>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</si>
  <si>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</si>
  <si>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</si>
  <si>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</si>
  <si>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</si>
  <si>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</si>
  <si>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</si>
  <si>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</si>
  <si>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</si>
  <si>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</si>
  <si>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</si>
  <si>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</si>
  <si>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</si>
  <si>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</si>
  <si>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</si>
  <si>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</si>
  <si>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</si>
  <si>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</si>
  <si>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</si>
  <si>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</si>
  <si>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</si>
  <si>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</si>
  <si>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</si>
  <si>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</si>
  <si>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</si>
  <si>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</si>
  <si>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</si>
  <si>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</si>
  <si>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</si>
  <si>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</si>
  <si>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</si>
  <si>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</si>
  <si>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</si>
  <si>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</si>
  <si>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</si>
  <si>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</si>
  <si>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</si>
  <si>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</si>
  <si>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</si>
  <si>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</si>
  <si>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</si>
  <si>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</si>
  <si>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</si>
  <si>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</si>
  <si>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</si>
  <si>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</si>
  <si>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</si>
  <si>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</si>
  <si>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</si>
  <si>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</si>
  <si>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</si>
  <si>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</si>
  <si>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</si>
  <si>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</si>
  <si>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</si>
  <si>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</si>
  <si>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</si>
  <si>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</si>
  <si>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</si>
  <si>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</si>
  <si>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</si>
  <si>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</si>
  <si>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</si>
  <si>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</si>
  <si>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</si>
  <si>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</si>
  <si>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</si>
  <si>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</si>
  <si>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</si>
  <si>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</si>
  <si>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</si>
  <si>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</si>
  <si>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</si>
  <si>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</si>
  <si>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</si>
  <si>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</si>
  <si>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</si>
  <si>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</si>
  <si>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</si>
  <si>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</si>
  <si>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</si>
  <si>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</si>
  <si>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</si>
  <si>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</si>
  <si>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</si>
  <si>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</si>
  <si>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</si>
  <si>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</si>
  <si>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</si>
  <si>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</si>
  <si>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</si>
  <si>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</si>
  <si>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</si>
  <si>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</si>
  <si>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</si>
  <si>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</si>
  <si>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</si>
  <si>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</si>
  <si>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</si>
  <si>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</si>
  <si>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</si>
  <si>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</si>
  <si>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</si>
  <si>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</si>
  <si>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</si>
  <si>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</si>
  <si>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</si>
  <si>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</si>
  <si>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</si>
  <si>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</si>
  <si>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</si>
  <si>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</si>
  <si>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</si>
  <si>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</si>
  <si>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</si>
  <si>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</si>
  <si>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</si>
  <si>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</si>
  <si>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</si>
  <si>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</si>
  <si>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</si>
  <si>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</si>
  <si>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</si>
  <si>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</si>
  <si>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</si>
  <si>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</si>
  <si>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</si>
  <si>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</si>
  <si>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</si>
  <si>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</si>
  <si>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</si>
  <si>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</si>
  <si>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</si>
  <si>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</si>
  <si>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</si>
  <si>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</si>
  <si>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</si>
  <si>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</si>
  <si>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</si>
  <si>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</si>
  <si>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</si>
  <si>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</si>
  <si>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</si>
  <si>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</si>
  <si>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</si>
  <si>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</si>
  <si>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</si>
  <si>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</si>
  <si>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</si>
  <si>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</si>
  <si>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</si>
  <si>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</si>
  <si>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</si>
  <si>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</si>
  <si>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</si>
  <si>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</si>
  <si>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</si>
  <si>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</si>
  <si>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</si>
  <si>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</si>
  <si>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</si>
  <si>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</si>
  <si>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</si>
  <si>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</si>
  <si>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</si>
  <si>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</si>
  <si>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</si>
  <si>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</si>
  <si>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</si>
  <si>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</si>
  <si>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</si>
  <si>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</si>
  <si>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</si>
  <si>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</si>
  <si>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</si>
  <si>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</si>
  <si>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</si>
  <si>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</si>
  <si>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</si>
  <si>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</si>
  <si>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</si>
  <si>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</si>
  <si>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</si>
  <si>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</si>
  <si>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</si>
  <si>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</si>
  <si>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</si>
  <si>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</si>
  <si>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</si>
  <si>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</si>
  <si>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</si>
  <si>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</si>
  <si>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</si>
  <si>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</si>
  <si>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</si>
  <si>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</si>
  <si>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</si>
  <si>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</si>
  <si>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</si>
  <si>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</si>
  <si>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</si>
  <si>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</si>
  <si>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</si>
  <si>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</si>
  <si>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</si>
  <si>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</si>
  <si>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</si>
  <si>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</si>
  <si>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</si>
  <si>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</si>
  <si>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</si>
  <si>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</si>
  <si>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</si>
  <si>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</si>
  <si>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</si>
  <si>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</si>
  <si>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</si>
  <si>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</si>
  <si>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</si>
  <si>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</si>
  <si>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</si>
  <si>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</si>
  <si>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</si>
  <si>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</si>
  <si>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</si>
  <si>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</si>
  <si>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</si>
  <si>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</si>
  <si>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</si>
  <si>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</si>
  <si>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</si>
  <si>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</si>
  <si>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</si>
  <si>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</si>
  <si>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</si>
  <si>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</si>
  <si>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</si>
  <si>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</si>
  <si>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</si>
  <si>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</si>
  <si>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</si>
  <si>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</si>
  <si>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</si>
  <si>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</si>
  <si>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</si>
  <si>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</si>
  <si>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</si>
  <si>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</si>
  <si>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</si>
  <si>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</si>
  <si>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</si>
  <si>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</si>
  <si>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</si>
  <si>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</si>
  <si>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</si>
  <si>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</si>
  <si>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</si>
  <si>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</si>
  <si>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</si>
  <si>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</si>
  <si>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</si>
  <si>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</si>
  <si>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</si>
  <si>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</si>
  <si>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</si>
  <si>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</si>
  <si>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</si>
  <si>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</si>
  <si>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</si>
  <si>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</si>
  <si>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</si>
  <si>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</si>
  <si>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</si>
  <si>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</si>
  <si>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</si>
  <si>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</si>
  <si>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</si>
  <si>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</si>
  <si>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</si>
  <si>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</si>
  <si>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</si>
  <si>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</si>
  <si>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</si>
  <si>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</si>
  <si>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</si>
  <si>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</si>
  <si>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</si>
  <si>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</si>
  <si>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</si>
  <si>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</si>
  <si>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</si>
  <si>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</si>
  <si>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</si>
  <si>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</si>
  <si>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</si>
  <si>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</si>
  <si>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</si>
  <si>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</si>
  <si>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</si>
  <si>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</si>
  <si>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</si>
  <si>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</si>
  <si>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</si>
  <si>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</si>
  <si>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</si>
  <si>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</si>
  <si>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</si>
  <si>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</si>
  <si>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</si>
  <si>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</si>
  <si>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</si>
  <si>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</si>
  <si>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</si>
  <si>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</si>
  <si>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</si>
  <si>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</si>
  <si>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</si>
  <si>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</si>
  <si>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</si>
  <si>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</si>
  <si>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</si>
  <si>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</si>
  <si>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</si>
  <si>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</si>
  <si>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</si>
  <si>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</si>
  <si>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</si>
  <si>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</si>
  <si>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</si>
  <si>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</si>
  <si>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</si>
  <si>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</si>
  <si>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</si>
  <si>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</si>
  <si>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</si>
  <si>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</si>
  <si>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</si>
  <si>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</si>
  <si>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</si>
  <si>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</si>
  <si>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</si>
  <si>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</si>
  <si>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</si>
  <si>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</si>
  <si>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</si>
  <si>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</si>
  <si>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</si>
  <si>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</si>
  <si>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</si>
  <si>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</si>
  <si>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</si>
  <si>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</si>
  <si>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</si>
  <si>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</si>
  <si>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</si>
  <si>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</si>
  <si>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</si>
  <si>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</si>
  <si>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</si>
  <si>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</si>
  <si>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</si>
  <si>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</si>
  <si>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</si>
  <si>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</si>
  <si>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</si>
  <si>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</si>
  <si>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</si>
  <si>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</si>
  <si>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</si>
  <si>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</si>
  <si>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</si>
  <si>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</si>
  <si>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</si>
  <si>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</si>
  <si>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</si>
  <si>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</si>
  <si>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</si>
  <si>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</si>
  <si>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</si>
  <si>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</si>
  <si>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</si>
  <si>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</si>
  <si>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</si>
  <si>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</si>
  <si>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</si>
  <si>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</si>
  <si>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</si>
  <si>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</si>
  <si>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</si>
  <si>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</si>
  <si>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</si>
  <si>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</si>
  <si>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</si>
  <si>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</si>
  <si>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</si>
  <si>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</si>
  <si>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</si>
  <si>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</si>
  <si>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</si>
  <si>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</si>
  <si>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</si>
  <si>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</si>
  <si>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</si>
  <si>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</si>
  <si>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</si>
  <si>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</si>
  <si>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</si>
  <si>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</si>
  <si>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</si>
  <si>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</si>
  <si>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</si>
  <si>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</si>
  <si>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</si>
  <si>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</si>
  <si>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</si>
  <si>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</si>
  <si>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</si>
  <si>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</si>
  <si>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</si>
  <si>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</si>
  <si>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</si>
  <si>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</si>
  <si>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</si>
  <si>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</si>
  <si>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</si>
  <si>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</si>
  <si>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</si>
  <si>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</si>
  <si>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</si>
  <si>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</si>
  <si>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</si>
  <si>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</si>
  <si>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</si>
  <si>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</si>
  <si>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</si>
  <si>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</si>
  <si>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</si>
  <si>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</si>
  <si>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</si>
  <si>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</si>
  <si>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</si>
  <si>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</si>
  <si>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</si>
  <si>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</si>
  <si>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</si>
  <si>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</si>
  <si>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</si>
  <si>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</si>
  <si>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</si>
  <si>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</si>
  <si>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</si>
  <si>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</si>
  <si>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</si>
  <si>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</si>
  <si>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</si>
  <si>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</si>
  <si>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</si>
  <si>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</si>
  <si>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</si>
  <si>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</si>
  <si>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</si>
  <si>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</si>
  <si>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</si>
  <si>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</si>
  <si>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</si>
  <si>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</si>
  <si>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</si>
  <si>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</si>
  <si>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</si>
  <si>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</si>
  <si>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</si>
  <si>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</si>
  <si>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</si>
  <si>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</si>
  <si>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</si>
  <si>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</si>
  <si>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</si>
  <si>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</si>
  <si>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</si>
  <si>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</si>
  <si>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</si>
  <si>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</si>
  <si>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</si>
  <si>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</si>
  <si>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</si>
  <si>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</si>
  <si>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</si>
  <si>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</si>
  <si>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</si>
  <si>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</si>
  <si>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</si>
  <si>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</si>
  <si>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</si>
  <si>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</si>
  <si>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</si>
  <si>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</si>
  <si>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</si>
  <si>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</si>
  <si>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</si>
  <si>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</si>
  <si>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</si>
  <si>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</si>
  <si>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</si>
  <si>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</si>
  <si>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</si>
  <si>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</si>
  <si>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</si>
  <si>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</si>
  <si>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</si>
  <si>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</si>
  <si>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</si>
  <si>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</si>
  <si>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</si>
  <si>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</si>
  <si>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</si>
  <si>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</si>
  <si>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</si>
  <si>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</si>
  <si>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</si>
  <si>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</si>
  <si>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</si>
  <si>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</si>
  <si>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</si>
  <si>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</si>
  <si>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</si>
  <si>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</si>
  <si>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</si>
  <si>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</si>
  <si>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</si>
  <si>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</si>
  <si>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</si>
  <si>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</si>
  <si>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</si>
  <si>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</si>
  <si>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</si>
  <si>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</si>
  <si>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</si>
  <si>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</si>
  <si>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</si>
  <si>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</si>
  <si>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</si>
  <si>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</si>
  <si>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</si>
  <si>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</si>
  <si>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</si>
  <si>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</si>
  <si>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</si>
  <si>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</si>
  <si>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</si>
  <si>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</si>
  <si>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</si>
  <si>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</si>
  <si>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</si>
  <si>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</si>
  <si>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</si>
  <si>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</si>
  <si>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</si>
  <si>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</si>
  <si>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</si>
  <si>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</si>
  <si>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</si>
  <si>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</si>
  <si>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</si>
  <si>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</si>
  <si>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</si>
  <si>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</si>
  <si>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</si>
  <si>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</si>
  <si>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</si>
  <si>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</si>
  <si>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</si>
  <si>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</si>
  <si>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</si>
  <si>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</si>
  <si>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</si>
  <si>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</si>
  <si>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</si>
  <si>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</si>
  <si>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</si>
  <si>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</si>
  <si>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</si>
  <si>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</si>
  <si>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</si>
  <si>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</si>
  <si>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</si>
  <si>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</si>
  <si>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</si>
  <si>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</si>
  <si>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</si>
  <si>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</si>
  <si>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</si>
  <si>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</si>
  <si>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</si>
  <si>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</si>
  <si>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</si>
  <si>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</si>
  <si>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</si>
  <si>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</si>
  <si>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</si>
  <si>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</si>
  <si>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</si>
  <si>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</si>
  <si>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</si>
  <si>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</si>
  <si>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</si>
  <si>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</si>
  <si>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</si>
  <si>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</si>
  <si>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</si>
  <si>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</si>
  <si>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</si>
  <si>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</si>
  <si>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</si>
  <si>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</si>
  <si>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</si>
  <si>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</si>
  <si>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</si>
  <si>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</si>
  <si>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</si>
  <si>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</si>
  <si>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</si>
  <si>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</si>
  <si>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</si>
  <si>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</si>
  <si>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</si>
  <si>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</si>
  <si>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</si>
  <si>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</si>
  <si>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</si>
  <si>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</si>
  <si>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</si>
  <si>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</si>
  <si>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</si>
  <si>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</si>
  <si>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</si>
  <si>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</si>
  <si>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</si>
  <si>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</si>
  <si>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</si>
  <si>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</si>
  <si>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</si>
  <si>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</si>
  <si>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</si>
  <si>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</si>
  <si>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</si>
  <si>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</si>
  <si>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</si>
  <si>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</si>
  <si>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</si>
  <si>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</si>
  <si>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</si>
  <si>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</si>
  <si>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</si>
  <si>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</si>
  <si>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</si>
  <si>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</si>
  <si>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</si>
  <si>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</si>
  <si>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</si>
  <si>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</si>
  <si>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</si>
  <si>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</si>
  <si>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</si>
  <si>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</si>
  <si>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</si>
  <si>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</si>
  <si>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</si>
  <si>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</si>
  <si>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</si>
  <si>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</si>
  <si>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</si>
  <si>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</si>
  <si>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</si>
  <si>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</si>
  <si>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</si>
  <si>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</si>
  <si>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</si>
  <si>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</si>
  <si>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</si>
  <si>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</si>
  <si>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</si>
  <si>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</si>
  <si>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</si>
  <si>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</si>
  <si>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</si>
  <si>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</si>
  <si>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</si>
  <si>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</si>
  <si>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</si>
  <si>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</si>
  <si>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</si>
  <si>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</si>
  <si>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</si>
  <si>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</si>
  <si>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</si>
  <si>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</si>
  <si>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</si>
  <si>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</si>
  <si>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</si>
  <si>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</si>
  <si>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</si>
  <si>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</si>
  <si>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</si>
  <si>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</si>
  <si>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</si>
  <si>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</si>
  <si>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</si>
  <si>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</si>
  <si>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</si>
  <si>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</si>
  <si>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</si>
  <si>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</si>
  <si>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</si>
  <si>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</si>
  <si>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</si>
  <si>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</si>
  <si>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</si>
  <si>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</si>
  <si>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</si>
  <si>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</si>
  <si>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</si>
  <si>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</si>
  <si>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</si>
  <si>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</si>
  <si>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</si>
  <si>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</si>
  <si>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</si>
  <si>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</si>
  <si>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</si>
  <si>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</si>
  <si>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</si>
  <si>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</si>
  <si>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</si>
  <si>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</si>
  <si>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</si>
  <si>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</si>
  <si>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</si>
  <si>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</si>
  <si>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</si>
  <si>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</si>
  <si>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</si>
  <si>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</si>
  <si>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</si>
  <si>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</si>
  <si>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</si>
  <si>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</si>
  <si>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</si>
  <si>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</si>
  <si>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</si>
  <si>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</si>
  <si>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</si>
  <si>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</si>
  <si>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</si>
  <si>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</si>
  <si>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</si>
  <si>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</si>
  <si>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</si>
  <si>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</si>
  <si>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</si>
  <si>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</si>
  <si>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</si>
  <si>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</si>
  <si>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</si>
  <si>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</si>
  <si>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</si>
  <si>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</si>
  <si>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</si>
  <si>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</si>
  <si>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</si>
  <si>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</si>
  <si>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</si>
  <si>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</si>
  <si>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</si>
  <si>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</si>
  <si>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</si>
  <si>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</si>
  <si>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</si>
  <si>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</si>
  <si>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</si>
  <si>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</si>
  <si>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</si>
  <si>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</si>
  <si>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</si>
  <si>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</si>
  <si>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</si>
  <si>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</si>
  <si>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</si>
  <si>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</si>
  <si>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</si>
  <si>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</si>
  <si>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</si>
  <si>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</si>
  <si>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</si>
  <si>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</si>
  <si>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</si>
  <si>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</si>
  <si>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</si>
  <si>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</si>
  <si>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</si>
  <si>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</si>
  <si>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</si>
  <si>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</si>
  <si>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</si>
  <si>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</si>
  <si>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</si>
  <si>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</si>
  <si>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</si>
  <si>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</si>
  <si>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</si>
  <si>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</si>
  <si>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</si>
  <si>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</si>
  <si>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</si>
  <si>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</si>
  <si>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</si>
  <si>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</si>
  <si>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</si>
  <si>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</si>
  <si>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</si>
  <si>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</si>
  <si>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</si>
  <si>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</si>
  <si>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</si>
  <si>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</si>
  <si>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</si>
  <si>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</si>
  <si>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</si>
  <si>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</si>
  <si>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</si>
  <si>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</si>
  <si>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</si>
  <si>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</si>
  <si>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</si>
  <si>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</si>
  <si>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</si>
  <si>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</si>
  <si>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</si>
  <si>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</si>
  <si>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</si>
  <si>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</si>
  <si>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</si>
  <si>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</si>
  <si>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</si>
  <si>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</si>
  <si>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</si>
  <si>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</si>
  <si>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</si>
  <si>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</si>
  <si>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</si>
  <si>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</si>
  <si>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</si>
  <si>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</si>
  <si>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</si>
  <si>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</si>
  <si>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</si>
  <si>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</si>
  <si>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</si>
  <si>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</si>
  <si>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</si>
  <si>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</si>
  <si>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</si>
  <si>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</si>
  <si>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</si>
  <si>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</si>
  <si>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</si>
  <si>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</si>
  <si>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</si>
  <si>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</si>
  <si>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</si>
  <si>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</si>
  <si>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</si>
  <si>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</si>
  <si>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</si>
  <si>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</si>
  <si>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</si>
  <si>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</si>
  <si>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</si>
  <si>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</si>
  <si>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</si>
  <si>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</si>
  <si>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</si>
  <si>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</si>
  <si>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</si>
  <si>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</si>
  <si>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</si>
  <si>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</si>
  <si>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</si>
  <si>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</si>
  <si>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</si>
  <si>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</si>
  <si>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</si>
  <si>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</si>
  <si>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</si>
  <si>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</si>
  <si>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</si>
  <si>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</si>
  <si>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</si>
  <si>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</si>
  <si>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</si>
  <si>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</si>
  <si>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</si>
  <si>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</si>
  <si>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</si>
  <si>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</si>
  <si>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</si>
  <si>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</si>
  <si>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</si>
  <si>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</si>
  <si>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</si>
  <si>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</si>
  <si>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</si>
  <si>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</si>
  <si>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</si>
  <si>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</si>
  <si>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</si>
  <si>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</si>
  <si>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</si>
  <si>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</si>
  <si>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</si>
  <si>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</si>
  <si>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</si>
  <si>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</si>
  <si>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</si>
  <si>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</si>
  <si>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</si>
  <si>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</si>
  <si>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</si>
  <si>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</si>
  <si>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</si>
  <si>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</si>
  <si>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</si>
  <si>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</si>
  <si>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</si>
  <si>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</si>
  <si>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</si>
  <si>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</si>
  <si>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</si>
  <si>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</si>
  <si>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</si>
  <si>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</si>
  <si>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</si>
  <si>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</si>
  <si>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</si>
  <si>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</si>
  <si>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</si>
  <si>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</si>
  <si>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</si>
  <si>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</si>
  <si>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</si>
  <si>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</si>
  <si>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</si>
  <si>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</si>
  <si>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</si>
  <si>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</si>
  <si>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</si>
  <si>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</si>
  <si>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</si>
  <si>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</si>
  <si>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</si>
  <si>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</si>
  <si>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</si>
  <si>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</si>
  <si>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</si>
  <si>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</si>
  <si>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</si>
  <si>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</si>
  <si>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</si>
  <si>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</si>
  <si>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</si>
  <si>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</si>
  <si>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</si>
  <si>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</si>
  <si>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</si>
  <si>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</si>
  <si>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</si>
  <si>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</si>
  <si>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</si>
  <si>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</si>
  <si>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</si>
  <si>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</si>
  <si>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</si>
  <si>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</si>
  <si>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</si>
  <si>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</si>
  <si>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</si>
  <si>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</si>
  <si>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</si>
  <si>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</si>
  <si>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</si>
  <si>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</si>
  <si>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</si>
  <si>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</si>
  <si>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</si>
  <si>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</si>
  <si>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</si>
  <si>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</si>
  <si>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</si>
  <si>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</si>
  <si>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</si>
  <si>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</si>
  <si>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</si>
  <si>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</si>
  <si>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</si>
  <si>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</si>
  <si>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</si>
  <si>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</si>
  <si>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</si>
  <si>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</si>
  <si>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</si>
  <si>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</si>
  <si>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</si>
  <si>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</si>
  <si>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</si>
  <si>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</si>
  <si>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</si>
  <si>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</si>
  <si>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</si>
  <si>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</si>
  <si>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</si>
  <si>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</si>
  <si>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</si>
  <si>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</si>
  <si>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</si>
  <si>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</si>
  <si>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</si>
  <si>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</si>
  <si>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</si>
  <si>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</si>
  <si>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</si>
  <si>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</si>
  <si>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</si>
  <si>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</si>
  <si>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</si>
  <si>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</si>
  <si>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</si>
  <si>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</si>
  <si>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</si>
  <si>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</si>
  <si>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</si>
  <si>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</si>
  <si>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</si>
  <si>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</si>
  <si>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</si>
  <si>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</si>
  <si>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</si>
  <si>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</si>
  <si>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</si>
  <si>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</si>
  <si>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</si>
  <si>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</si>
  <si>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</si>
  <si>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</si>
  <si>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</si>
  <si>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</si>
  <si>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</si>
  <si>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</si>
  <si>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</si>
  <si>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</si>
  <si>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</si>
  <si>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</si>
  <si>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</si>
  <si>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</si>
  <si>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</si>
  <si>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</si>
  <si>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</si>
  <si>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</si>
  <si>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</si>
  <si>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</si>
  <si>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</si>
  <si>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</si>
  <si>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</si>
  <si>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</si>
  <si>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</si>
  <si>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</si>
  <si>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</si>
  <si>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</si>
  <si>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</si>
  <si>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</si>
  <si>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</si>
  <si>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</si>
  <si>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</si>
  <si>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</si>
  <si>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</si>
  <si>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</si>
  <si>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</si>
  <si>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</si>
  <si>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</si>
  <si>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</si>
  <si>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</si>
  <si>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</si>
  <si>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</si>
  <si>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</si>
  <si>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</si>
  <si>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</si>
  <si>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</si>
  <si>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</si>
  <si>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</si>
  <si>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</si>
  <si>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</si>
  <si>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</si>
  <si>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</si>
  <si>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</si>
  <si>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</si>
  <si>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</si>
  <si>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</si>
  <si>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</si>
  <si>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</si>
  <si>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</si>
  <si>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</si>
  <si>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</si>
  <si>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</si>
  <si>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</si>
  <si>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</si>
  <si>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</si>
  <si>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</si>
  <si>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</si>
  <si>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</si>
  <si>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</si>
  <si>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</si>
  <si>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</si>
  <si>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</si>
  <si>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</si>
  <si>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</si>
  <si>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</si>
  <si>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</si>
  <si>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</si>
  <si>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</si>
  <si>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</si>
  <si>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</si>
  <si>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</si>
  <si>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</si>
  <si>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</si>
  <si>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</si>
  <si>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</si>
  <si>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</si>
  <si>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</si>
  <si>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</si>
  <si>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</si>
  <si>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</si>
  <si>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</si>
  <si>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</si>
  <si>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</si>
  <si>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</si>
  <si>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</si>
  <si>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</si>
  <si>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</si>
  <si>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</si>
  <si>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</si>
  <si>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</si>
  <si>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</si>
  <si>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</si>
  <si>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</si>
  <si>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</si>
  <si>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</si>
  <si>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</si>
  <si>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</si>
  <si>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</si>
  <si>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</si>
  <si>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</si>
  <si>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</si>
  <si>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</si>
  <si>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</si>
  <si>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</si>
  <si>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</si>
  <si>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</si>
  <si>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</si>
  <si>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</si>
  <si>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</si>
  <si>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</si>
  <si>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</si>
  <si>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</si>
  <si>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</si>
  <si>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</si>
  <si>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</si>
  <si>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</si>
  <si>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</si>
  <si>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</si>
  <si>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</si>
  <si>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</si>
  <si>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</si>
  <si>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</si>
  <si>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</si>
  <si>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</si>
  <si>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</si>
  <si>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</si>
  <si>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</si>
  <si>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</si>
  <si>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</si>
  <si>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</si>
  <si>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</si>
  <si>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</si>
  <si>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</si>
  <si>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</si>
  <si>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</si>
  <si>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</si>
  <si>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</si>
  <si>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</si>
  <si>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</si>
  <si>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</si>
  <si>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</si>
  <si>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</si>
  <si>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</si>
  <si>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</si>
  <si>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</si>
  <si>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</si>
  <si>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</si>
  <si>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</si>
  <si>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</si>
  <si>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</si>
  <si>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</si>
  <si>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</si>
  <si>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</si>
  <si>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</si>
  <si>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</si>
  <si>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</si>
  <si>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</si>
  <si>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</si>
  <si>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</si>
  <si>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</si>
  <si>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</si>
  <si>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</si>
  <si>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</si>
  <si>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</si>
  <si>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</si>
  <si>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</si>
  <si>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</si>
  <si>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</si>
  <si>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</si>
  <si>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</si>
  <si>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</si>
  <si>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</si>
  <si>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</si>
  <si>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</si>
  <si>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</si>
  <si>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</si>
  <si>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</si>
  <si>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</si>
  <si>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</si>
  <si>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</si>
  <si>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</si>
  <si>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</si>
  <si>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</si>
  <si>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</si>
  <si>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</si>
  <si>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</si>
  <si>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</si>
  <si>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</si>
  <si>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</si>
  <si>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</si>
  <si>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</si>
  <si>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</si>
  <si>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</si>
  <si>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</si>
  <si>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</si>
  <si>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</si>
  <si>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</si>
  <si>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</si>
  <si>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</si>
  <si>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</si>
  <si>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</si>
  <si>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</si>
  <si>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</si>
  <si>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</si>
  <si>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</si>
  <si>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</si>
  <si>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</si>
  <si>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</si>
  <si>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</si>
  <si>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</si>
  <si>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</si>
  <si>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</si>
  <si>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</si>
  <si>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</si>
  <si>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</si>
  <si>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</si>
  <si>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</si>
  <si>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</si>
  <si>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</si>
  <si>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</si>
  <si>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</si>
  <si>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</si>
  <si>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</si>
  <si>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</si>
  <si>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</si>
  <si>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</si>
  <si>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</si>
  <si>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</si>
  <si>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</si>
  <si>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</si>
  <si>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</si>
  <si>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</si>
  <si>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</si>
  <si>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</si>
  <si>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</si>
  <si>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</si>
  <si>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</si>
  <si>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</si>
  <si>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</si>
  <si>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</si>
  <si>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</si>
  <si>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</si>
  <si>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</si>
  <si>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</si>
  <si>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</si>
  <si>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</si>
  <si>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</si>
  <si>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</si>
  <si>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</si>
  <si>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</si>
  <si>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</si>
  <si>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</si>
  <si>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</si>
  <si>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</si>
  <si>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</si>
  <si>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</si>
  <si>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</si>
  <si>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</si>
  <si>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</si>
  <si>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</si>
  <si>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</si>
  <si>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</si>
  <si>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</si>
  <si>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</si>
  <si>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</si>
  <si>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</si>
  <si>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</si>
  <si>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</si>
  <si>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</si>
  <si>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</si>
  <si>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</si>
  <si>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</si>
  <si>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</si>
  <si>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</si>
  <si>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</si>
  <si>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</si>
  <si>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</si>
  <si>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</si>
  <si>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</si>
  <si>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</si>
  <si>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</si>
  <si>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</si>
  <si>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</si>
  <si>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</si>
  <si>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</si>
  <si>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</si>
  <si>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</si>
  <si>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</si>
  <si>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</si>
  <si>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</si>
  <si>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</si>
  <si>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</si>
  <si>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</si>
  <si>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</si>
  <si>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</si>
  <si>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</si>
  <si>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</si>
  <si>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</si>
  <si>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</si>
  <si>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</si>
  <si>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</si>
  <si>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</si>
  <si>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</si>
  <si>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</si>
  <si>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</si>
  <si>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</si>
  <si>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</si>
  <si>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</si>
  <si>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</si>
  <si>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</si>
  <si>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</si>
  <si>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</si>
  <si>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</si>
  <si>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</si>
  <si>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</si>
  <si>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</si>
  <si>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</si>
  <si>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</si>
  <si>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</si>
  <si>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</si>
  <si>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</si>
  <si>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</si>
  <si>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</si>
  <si>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</si>
  <si>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</si>
  <si>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</si>
  <si>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</si>
  <si>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</si>
  <si>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</si>
  <si>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</si>
  <si>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</si>
  <si>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</si>
  <si>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</si>
  <si>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</si>
  <si>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</si>
  <si>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</si>
  <si>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</si>
  <si>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</si>
  <si>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</si>
  <si>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</si>
  <si>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</si>
  <si>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</si>
  <si>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</si>
  <si>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</si>
  <si>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</si>
  <si>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</si>
  <si>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</si>
  <si>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</si>
  <si>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</si>
  <si>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</si>
  <si>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</si>
  <si>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</si>
  <si>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</si>
  <si>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</si>
  <si>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</si>
  <si>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</si>
  <si>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</si>
  <si>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</si>
  <si>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</si>
  <si>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</si>
  <si>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</si>
  <si>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</si>
  <si>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</si>
  <si>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</si>
  <si>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</si>
  <si>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</si>
  <si>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</si>
  <si>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</si>
  <si>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</si>
  <si>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</si>
  <si>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</si>
  <si>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</si>
  <si>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</si>
  <si>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</si>
  <si>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</si>
  <si>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</si>
  <si>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</si>
  <si>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</si>
  <si>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</si>
  <si>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</si>
  <si>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</si>
  <si>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</si>
  <si>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</si>
  <si>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</si>
  <si>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</si>
  <si>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</si>
  <si>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</si>
  <si>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</si>
  <si>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</si>
  <si>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</si>
  <si>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</si>
  <si>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</si>
  <si>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</si>
  <si>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</si>
  <si>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</si>
  <si>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</si>
  <si>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</si>
  <si>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</si>
  <si>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</si>
  <si>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</si>
  <si>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</si>
  <si>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</si>
  <si>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</si>
  <si>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</si>
  <si>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</si>
  <si>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</si>
  <si>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</si>
  <si>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</si>
  <si>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</si>
  <si>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</si>
  <si>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</si>
  <si>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</si>
  <si>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</si>
  <si>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</si>
  <si>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</si>
  <si>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</si>
  <si>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</si>
  <si>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</si>
  <si>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</si>
  <si>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</si>
  <si>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</si>
  <si>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</si>
  <si>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</si>
  <si>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</si>
  <si>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</si>
  <si>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</si>
  <si>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</si>
  <si>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</si>
  <si>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</si>
  <si>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</si>
  <si>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</si>
  <si>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</si>
  <si>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</si>
  <si>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</si>
  <si>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</si>
  <si>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</si>
  <si>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</si>
  <si>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</si>
  <si>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</si>
  <si>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</si>
  <si>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</si>
  <si>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</si>
  <si>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</si>
  <si>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</si>
  <si>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</si>
  <si>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</si>
  <si>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</si>
  <si>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</si>
  <si>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</si>
  <si>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</si>
  <si>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</si>
  <si>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</si>
  <si>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</si>
  <si>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</si>
  <si>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</si>
  <si>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</si>
  <si>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</si>
  <si>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</si>
  <si>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</si>
  <si>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</si>
  <si>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</si>
  <si>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</si>
  <si>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</si>
  <si>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</si>
  <si>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</si>
  <si>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</si>
  <si>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</si>
  <si>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</si>
  <si>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</si>
  <si>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</si>
  <si>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</si>
  <si>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</si>
  <si>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</si>
  <si>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</si>
  <si>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</si>
  <si>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</si>
  <si>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</si>
  <si>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</si>
  <si>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</si>
  <si>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</si>
  <si>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</si>
  <si>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</si>
  <si>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</si>
  <si>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</si>
  <si>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</si>
  <si>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</si>
  <si>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</si>
  <si>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</si>
  <si>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</si>
  <si>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</si>
  <si>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</si>
  <si>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</si>
  <si>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</si>
  <si>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</si>
  <si>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</si>
  <si>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</si>
  <si>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</si>
  <si>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</si>
  <si>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</si>
  <si>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</si>
  <si>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</si>
  <si>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</si>
  <si>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</si>
  <si>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</si>
  <si>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</si>
  <si>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</si>
  <si>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</si>
  <si>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</si>
  <si>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</si>
  <si>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</si>
  <si>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</si>
  <si>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</si>
  <si>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</si>
  <si>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</si>
  <si>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</si>
  <si>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</si>
  <si>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</si>
  <si>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</si>
  <si>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</si>
  <si>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</si>
  <si>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</si>
  <si>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</si>
  <si>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</si>
  <si>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</si>
  <si>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</si>
  <si>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</si>
  <si>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</si>
  <si>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</si>
  <si>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</si>
  <si>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</si>
  <si>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</si>
  <si>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</si>
  <si>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</si>
  <si>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</si>
  <si>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</si>
  <si>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</si>
  <si>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</si>
  <si>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</si>
  <si>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</si>
  <si>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</si>
  <si>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</si>
  <si>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</si>
  <si>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</si>
  <si>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</si>
  <si>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</si>
  <si>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</si>
  <si>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</si>
  <si>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</si>
  <si>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</si>
  <si>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</si>
  <si>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</si>
  <si>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</si>
  <si>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</si>
  <si>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</si>
  <si>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</si>
  <si>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</si>
  <si>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</si>
  <si>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</si>
  <si>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</si>
  <si>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</si>
  <si>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</si>
  <si>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</si>
  <si>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</si>
  <si>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</si>
  <si>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</si>
  <si>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</si>
  <si>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</si>
  <si>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</si>
  <si>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</si>
  <si>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</si>
  <si>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</si>
  <si>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</si>
  <si>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</si>
  <si>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</si>
  <si>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</si>
  <si>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</si>
  <si>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</si>
  <si>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</si>
  <si>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</si>
  <si>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</si>
  <si>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</si>
  <si>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</si>
  <si>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</si>
  <si>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</si>
  <si>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</si>
  <si>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</si>
  <si>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</si>
  <si>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</si>
  <si>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</si>
  <si>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</si>
  <si>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</si>
  <si>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</si>
  <si>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</si>
  <si>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</si>
  <si>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</si>
  <si>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</si>
  <si>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</si>
  <si>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</si>
  <si>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</si>
  <si>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</si>
  <si>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</si>
  <si>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</si>
  <si>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</si>
  <si>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</si>
  <si>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</si>
  <si>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</si>
  <si>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</si>
  <si>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</si>
  <si>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</si>
  <si>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</si>
  <si>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</si>
  <si>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</si>
  <si>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</si>
  <si>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</si>
  <si>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</si>
  <si>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</si>
  <si>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</si>
  <si>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</si>
  <si>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</si>
  <si>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</si>
  <si>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</si>
  <si>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</si>
  <si>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</si>
  <si>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</si>
  <si>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</si>
  <si>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</si>
  <si>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</si>
  <si>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</si>
  <si>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</si>
  <si>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</si>
  <si>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</si>
  <si>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</si>
  <si>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</si>
  <si>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</si>
  <si>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</si>
  <si>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</si>
  <si>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</si>
  <si>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</si>
  <si>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</si>
  <si>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</si>
  <si>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</si>
  <si>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</si>
  <si>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</si>
  <si>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</si>
  <si>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</si>
  <si>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</si>
  <si>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</si>
  <si>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</si>
  <si>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</si>
  <si>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</si>
  <si>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</si>
  <si>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</si>
  <si>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</si>
  <si>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</si>
  <si>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</si>
  <si>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</si>
  <si>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</si>
  <si>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</si>
  <si>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</si>
  <si>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</si>
  <si>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</si>
  <si>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</si>
  <si>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</si>
  <si>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</si>
  <si>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</si>
  <si>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</si>
  <si>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</si>
  <si>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</si>
  <si>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</si>
  <si>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</si>
  <si>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</si>
  <si>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</si>
  <si>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</si>
  <si>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</si>
  <si>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</si>
  <si>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</si>
  <si>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</si>
  <si>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</si>
  <si>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</si>
  <si>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</si>
  <si>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</si>
  <si>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</si>
  <si>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</si>
  <si>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</si>
  <si>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</si>
  <si>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</si>
  <si>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</si>
  <si>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</si>
  <si>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</si>
  <si>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</si>
  <si>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</si>
  <si>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</si>
  <si>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</si>
  <si>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</si>
  <si>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</si>
  <si>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</si>
  <si>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</si>
  <si>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</si>
  <si>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</si>
  <si>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</si>
  <si>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</si>
  <si>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</si>
  <si>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</si>
  <si>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</si>
  <si>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</si>
  <si>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</si>
  <si>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</si>
  <si>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</si>
  <si>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</si>
  <si>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</si>
  <si>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</si>
  <si>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</si>
  <si>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</si>
  <si>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</si>
  <si>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</si>
  <si>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</si>
  <si>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</si>
  <si>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</si>
  <si>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</si>
  <si>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</si>
  <si>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</si>
  <si>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</si>
  <si>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</si>
  <si>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</si>
  <si>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</si>
  <si>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</si>
  <si>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</si>
  <si>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</si>
  <si>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</si>
  <si>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</si>
  <si>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</si>
  <si>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</si>
  <si>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</si>
  <si>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</si>
  <si>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</si>
  <si>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</si>
  <si>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</si>
  <si>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</si>
  <si>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</si>
  <si>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</si>
  <si>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</si>
  <si>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</si>
  <si>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</si>
  <si>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</si>
  <si>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</si>
  <si>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</si>
  <si>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</si>
  <si>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</si>
  <si>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</si>
  <si>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</si>
  <si>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</si>
  <si>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</si>
  <si>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</si>
  <si>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</si>
  <si>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</si>
  <si>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</si>
  <si>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</si>
  <si>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</si>
  <si>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</si>
  <si>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</si>
  <si>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</si>
  <si>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</si>
  <si>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</si>
  <si>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</si>
  <si>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</si>
  <si>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</si>
  <si>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</si>
  <si>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</si>
  <si>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</si>
  <si>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</si>
  <si>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</si>
  <si>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</si>
  <si>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</si>
  <si>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</si>
  <si>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</si>
  <si>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</si>
  <si>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</si>
  <si>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</si>
  <si>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</si>
  <si>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</si>
  <si>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</si>
  <si>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</si>
  <si>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</si>
  <si>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</si>
  <si>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</si>
  <si>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</si>
  <si>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</si>
  <si>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</si>
  <si>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</si>
  <si>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</si>
  <si>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</si>
  <si>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</si>
  <si>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</si>
  <si>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</si>
  <si>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</si>
  <si>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</si>
  <si>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</si>
  <si>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</si>
  <si>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</si>
  <si>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</si>
  <si>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</si>
  <si>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</si>
  <si>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</si>
  <si>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</si>
  <si>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</si>
  <si>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</si>
  <si>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</si>
  <si>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</si>
  <si>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</si>
  <si>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</si>
  <si>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</si>
  <si>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</si>
  <si>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</si>
  <si>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</si>
  <si>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</si>
  <si>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</si>
  <si>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</si>
  <si>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</si>
  <si>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</si>
  <si>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</si>
  <si>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</si>
  <si>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</si>
  <si>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</si>
  <si>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</si>
  <si>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</si>
  <si>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</si>
  <si>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</si>
  <si>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</si>
  <si>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</si>
  <si>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</si>
  <si>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</si>
  <si>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</si>
  <si>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</si>
  <si>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</si>
  <si>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</si>
  <si>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</si>
  <si>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</si>
  <si>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</si>
  <si>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</si>
  <si>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</si>
  <si>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</si>
  <si>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</si>
  <si>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</si>
  <si>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</si>
  <si>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</si>
  <si>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</si>
  <si>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</si>
  <si>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</si>
  <si>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</si>
  <si>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</si>
  <si>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</si>
  <si>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</si>
  <si>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</si>
  <si>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</si>
  <si>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</si>
  <si>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</si>
  <si>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</si>
  <si>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</si>
  <si>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</si>
  <si>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</si>
  <si>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</si>
  <si>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</si>
  <si>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</si>
  <si>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</si>
  <si>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</si>
  <si>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</si>
  <si>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</si>
  <si>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</si>
  <si>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</si>
  <si>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</si>
  <si>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</si>
  <si>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</si>
  <si>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</si>
  <si>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</si>
  <si>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</si>
  <si>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</si>
  <si>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</si>
  <si>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</si>
  <si>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</si>
  <si>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</si>
  <si>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</si>
  <si>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</si>
  <si>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</si>
  <si>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</si>
  <si>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</si>
  <si>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</si>
  <si>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</si>
  <si>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</si>
  <si>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</si>
  <si>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</si>
  <si>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</si>
  <si>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</si>
  <si>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</si>
  <si>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</si>
  <si>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</si>
  <si>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</si>
  <si>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</si>
  <si>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</si>
  <si>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</si>
  <si>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</si>
  <si>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</si>
  <si>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</si>
  <si>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</si>
  <si>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</si>
  <si>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</si>
  <si>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</si>
  <si>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</si>
  <si>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</si>
  <si>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</si>
  <si>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</si>
  <si>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</si>
  <si>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</si>
  <si>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</si>
  <si>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</si>
  <si>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</si>
  <si>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</si>
  <si>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</si>
  <si>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</si>
  <si>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</si>
  <si>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</si>
  <si>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</si>
  <si>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</si>
  <si>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</si>
  <si>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</si>
  <si>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</si>
  <si>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</si>
  <si>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</si>
  <si>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</si>
  <si>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</si>
  <si>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</si>
  <si>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</si>
  <si>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</si>
  <si>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</si>
  <si>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</si>
  <si>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</si>
  <si>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</si>
  <si>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</si>
  <si>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</si>
  <si>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</si>
  <si>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</si>
  <si>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</si>
  <si>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</si>
  <si>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</si>
  <si>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</si>
  <si>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</si>
  <si>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</si>
  <si>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</si>
  <si>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</si>
  <si>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</si>
  <si>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</si>
  <si>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</si>
  <si>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</si>
  <si>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</si>
  <si>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</si>
  <si>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</si>
  <si>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</si>
  <si>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</si>
  <si>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</si>
  <si>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</si>
  <si>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</si>
  <si>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</si>
  <si>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</si>
  <si>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</si>
  <si>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</si>
  <si>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</si>
  <si>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</si>
  <si>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</si>
  <si>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</si>
  <si>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</si>
  <si>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</si>
  <si>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</si>
  <si>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</si>
  <si>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</si>
  <si>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</si>
  <si>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</si>
  <si>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</si>
  <si>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</si>
  <si>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</si>
  <si>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</si>
  <si>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</si>
  <si>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</si>
  <si>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</si>
  <si>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</si>
  <si>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</si>
  <si>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</si>
  <si>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</si>
  <si>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</si>
  <si>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</si>
  <si>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</si>
  <si>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</si>
  <si>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</si>
  <si>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</si>
  <si>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</si>
  <si>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</si>
  <si>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</si>
  <si>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</si>
  <si>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</si>
  <si>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</si>
  <si>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</si>
  <si>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</si>
  <si>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</si>
  <si>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</si>
  <si>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</si>
  <si>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</si>
  <si>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</si>
  <si>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</si>
  <si>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</si>
  <si>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</si>
  <si>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</si>
  <si>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</si>
  <si>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</si>
  <si>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</si>
  <si>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</si>
  <si>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</si>
  <si>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</si>
  <si>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</si>
  <si>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</si>
  <si>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</si>
  <si>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</si>
  <si>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</si>
  <si>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</si>
  <si>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</si>
  <si>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</si>
  <si>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</si>
  <si>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</si>
  <si>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</si>
  <si>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</si>
  <si>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</si>
  <si>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</si>
  <si>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</si>
  <si>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</si>
  <si>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</si>
  <si>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</si>
  <si>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</si>
  <si>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</si>
  <si>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</si>
  <si>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</si>
  <si>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</si>
  <si>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</si>
  <si>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</si>
  <si>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</si>
  <si>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</si>
  <si>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</si>
  <si>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</si>
  <si>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</si>
  <si>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</si>
  <si>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</si>
  <si>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</si>
  <si>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</si>
  <si>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</si>
  <si>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</si>
  <si>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</si>
  <si>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</si>
  <si>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</si>
  <si>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</si>
  <si>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</si>
  <si>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</si>
  <si>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</si>
  <si>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</si>
  <si>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</si>
  <si>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</si>
  <si>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</si>
  <si>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</si>
  <si>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</si>
  <si>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</si>
  <si>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</si>
  <si>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</si>
  <si>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</si>
  <si>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</si>
  <si>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</si>
  <si>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</si>
  <si>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</si>
  <si>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</si>
  <si>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</si>
  <si>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</si>
  <si>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</si>
  <si>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</si>
  <si>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</si>
  <si>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</si>
  <si>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</si>
  <si>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</si>
  <si>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</si>
  <si>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</si>
  <si>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</si>
  <si>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</si>
  <si>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</si>
  <si>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</si>
  <si>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</si>
  <si>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</si>
  <si>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</si>
  <si>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</si>
  <si>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</si>
  <si>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</si>
  <si>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</si>
  <si>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</si>
  <si>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</si>
  <si>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</si>
  <si>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</si>
  <si>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</si>
  <si>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</si>
  <si>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</si>
  <si>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</si>
  <si>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</si>
  <si>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</si>
  <si>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</si>
  <si>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</si>
  <si>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</si>
  <si>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</si>
  <si>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</si>
  <si>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</si>
  <si>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</si>
  <si>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</si>
  <si>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</si>
  <si>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</si>
  <si>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</si>
  <si>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</si>
  <si>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</si>
  <si>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</si>
  <si>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</si>
  <si>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</si>
  <si>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</si>
  <si>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</si>
  <si>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</si>
  <si>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</si>
  <si>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</si>
  <si>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</si>
  <si>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</si>
  <si>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</si>
  <si>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</si>
  <si>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</si>
  <si>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</si>
  <si>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</si>
  <si>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</si>
  <si>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</si>
  <si>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</si>
  <si>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</si>
  <si>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</si>
  <si>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</si>
  <si>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</si>
  <si>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</si>
  <si>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</si>
  <si>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</si>
  <si>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</si>
  <si>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</si>
  <si>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</si>
  <si>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</si>
  <si>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</si>
  <si>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</si>
  <si>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</si>
  <si>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</si>
  <si>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</si>
  <si>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</si>
  <si>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</si>
  <si>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</si>
  <si>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</si>
  <si>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</si>
  <si>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</si>
  <si>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</si>
  <si>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</si>
  <si>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</si>
  <si>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</si>
  <si>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</si>
  <si>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</si>
  <si>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</si>
  <si>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</si>
  <si>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</si>
  <si>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</si>
  <si>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</si>
  <si>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</si>
  <si>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</si>
  <si>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</si>
  <si>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</si>
  <si>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</si>
  <si>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</si>
  <si>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</si>
  <si>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</si>
  <si>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</si>
  <si>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</si>
  <si>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</si>
  <si>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</si>
  <si>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</si>
  <si>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</si>
  <si>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</si>
  <si>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</si>
  <si>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</si>
  <si>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</si>
  <si>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</si>
  <si>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</si>
  <si>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</si>
  <si>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</si>
  <si>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</si>
  <si>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</si>
  <si>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</si>
  <si>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</si>
  <si>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</si>
  <si>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</si>
  <si>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</si>
  <si>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</si>
  <si>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</si>
  <si>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</si>
  <si>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</si>
  <si>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</si>
  <si>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</si>
  <si>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</si>
  <si>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</si>
  <si>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</si>
  <si>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</si>
  <si>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</si>
  <si>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</si>
  <si>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</si>
  <si>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</si>
  <si>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</si>
  <si>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</si>
  <si>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</si>
  <si>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</si>
  <si>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</si>
  <si>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</si>
  <si>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</si>
  <si>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</si>
  <si>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</si>
  <si>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</si>
  <si>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</si>
  <si>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</si>
  <si>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</si>
  <si>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</si>
  <si>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</si>
  <si>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</si>
  <si>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</si>
  <si>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</si>
  <si>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</si>
  <si>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</si>
  <si>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</si>
  <si>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</si>
  <si>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</si>
  <si>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</si>
  <si>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</si>
  <si>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</si>
  <si>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</si>
  <si>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</si>
  <si>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</si>
  <si>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</si>
  <si>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</si>
  <si>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</si>
  <si>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</si>
  <si>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</si>
  <si>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</si>
  <si>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</si>
  <si>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</si>
  <si>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</si>
  <si>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</si>
  <si>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</si>
  <si>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</si>
  <si>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</si>
  <si>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</si>
  <si>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</si>
  <si>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</si>
  <si>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</si>
  <si>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</si>
  <si>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</si>
  <si>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</si>
  <si>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</si>
  <si>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</si>
  <si>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</si>
  <si>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</si>
  <si>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</si>
  <si>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</si>
  <si>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</si>
  <si>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</si>
  <si>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</si>
  <si>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</si>
  <si>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</si>
  <si>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</si>
  <si>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</si>
  <si>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</si>
  <si>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</si>
  <si>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</si>
  <si>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</si>
  <si>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</si>
  <si>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</si>
  <si>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</si>
  <si>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</si>
  <si>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</si>
  <si>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</si>
  <si>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</si>
  <si>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</si>
  <si>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</si>
  <si>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</si>
  <si>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</si>
  <si>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</si>
  <si>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</si>
  <si>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</si>
  <si>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</si>
  <si>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</si>
  <si>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</si>
  <si>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</si>
  <si>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</si>
  <si>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</si>
  <si>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</si>
  <si>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</si>
  <si>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</si>
  <si>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</si>
  <si>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</si>
  <si>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</si>
  <si>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</si>
  <si>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</si>
  <si>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</si>
  <si>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</si>
  <si>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</si>
  <si>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</si>
  <si>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</si>
  <si>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</si>
  <si>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</si>
  <si>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</si>
  <si>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</si>
  <si>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</si>
  <si>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</si>
  <si>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</si>
  <si>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</si>
  <si>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</si>
  <si>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</si>
  <si>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</si>
  <si>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</si>
  <si>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</si>
  <si>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</si>
  <si>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</si>
  <si>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</si>
  <si>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</si>
  <si>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</si>
  <si>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</si>
  <si>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</si>
  <si>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</si>
  <si>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</si>
  <si>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</si>
  <si>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</si>
  <si>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</si>
  <si>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</si>
  <si>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</si>
  <si>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</si>
  <si>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</si>
  <si>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</si>
  <si>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</si>
  <si>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</si>
  <si>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</si>
  <si>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</si>
  <si>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</si>
  <si>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</si>
  <si>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</si>
  <si>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</si>
  <si>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</si>
  <si>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</si>
  <si>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</si>
  <si>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</si>
  <si>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</si>
  <si>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</si>
  <si>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</si>
  <si>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</si>
  <si>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</si>
  <si>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</si>
  <si>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</si>
  <si>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</si>
  <si>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</si>
  <si>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</si>
  <si>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</si>
  <si>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</si>
  <si>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</si>
  <si>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</si>
  <si>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</si>
  <si>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</si>
  <si>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</si>
  <si>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</si>
  <si>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</si>
  <si>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</si>
  <si>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</si>
  <si>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</si>
  <si>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</si>
  <si>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</si>
  <si>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</si>
  <si>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</si>
  <si>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</si>
  <si>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</si>
  <si>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</si>
  <si>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</si>
  <si>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</si>
  <si>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</si>
  <si>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</si>
  <si>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</si>
  <si>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</si>
  <si>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</si>
  <si>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</si>
  <si>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</si>
  <si>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</si>
  <si>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</si>
  <si>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</si>
  <si>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</si>
  <si>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</si>
  <si>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</si>
  <si>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</si>
  <si>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</si>
  <si>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</si>
  <si>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</si>
  <si>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</si>
  <si>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</si>
  <si>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</si>
  <si>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</si>
  <si>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</si>
  <si>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</si>
  <si>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</si>
  <si>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</si>
  <si>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</si>
  <si>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</si>
  <si>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</si>
  <si>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</si>
  <si>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</si>
  <si>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</si>
  <si>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</si>
  <si>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</si>
  <si>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</si>
  <si>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</si>
  <si>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</si>
  <si>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</si>
  <si>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</si>
  <si>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</si>
  <si>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</si>
  <si>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</si>
  <si>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</si>
  <si>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</si>
  <si>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</si>
  <si>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</si>
  <si>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</si>
  <si>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</si>
  <si>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</si>
  <si>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</si>
  <si>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</si>
  <si>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</si>
  <si>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</si>
  <si>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</si>
  <si>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</si>
  <si>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</si>
  <si>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</si>
  <si>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</si>
  <si>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</si>
  <si>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</si>
  <si>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</si>
  <si>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</si>
  <si>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</si>
  <si>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</si>
  <si>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</si>
  <si>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</si>
  <si>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</si>
  <si>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</si>
  <si>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</si>
  <si>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</si>
  <si>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</si>
  <si>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</si>
  <si>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</si>
  <si>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</si>
  <si>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</si>
  <si>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</si>
  <si>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</si>
  <si>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</si>
  <si>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</si>
  <si>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</si>
  <si>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</si>
  <si>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</si>
  <si>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</si>
  <si>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</si>
  <si>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</si>
  <si>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</si>
  <si>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</si>
  <si>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</si>
  <si>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</si>
  <si>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</si>
  <si>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</si>
  <si>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</si>
  <si>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</si>
  <si>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</si>
  <si>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</si>
  <si>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</si>
  <si>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</si>
  <si>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</si>
  <si>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</si>
  <si>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</si>
  <si>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</si>
  <si>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</si>
  <si>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</si>
  <si>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</si>
  <si>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</si>
  <si>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</si>
  <si>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</si>
  <si>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</si>
  <si>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</si>
  <si>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</si>
  <si>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</si>
  <si>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</si>
  <si>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</si>
  <si>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</si>
  <si>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</si>
  <si>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</si>
  <si>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</si>
  <si>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</si>
  <si>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</si>
  <si>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</si>
  <si>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</si>
  <si>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</si>
  <si>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</si>
  <si>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</si>
  <si>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</si>
  <si>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</si>
  <si>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</si>
  <si>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</si>
  <si>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</si>
  <si>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</si>
  <si>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</si>
  <si>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</si>
  <si>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</si>
  <si>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</si>
  <si>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</si>
  <si>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</si>
  <si>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</si>
  <si>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</si>
  <si>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</si>
  <si>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</si>
  <si>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</si>
  <si>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</si>
  <si>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</si>
  <si>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</si>
  <si>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</si>
  <si>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</si>
  <si>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</si>
  <si>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</si>
  <si>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</si>
  <si>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</si>
  <si>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</si>
  <si>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</si>
  <si>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</si>
  <si>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</si>
  <si>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</si>
  <si>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</si>
  <si>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</si>
  <si>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</si>
  <si>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</si>
  <si>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</si>
  <si>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</si>
  <si>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</si>
  <si>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</si>
  <si>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</si>
  <si>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</si>
  <si>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</si>
  <si>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</si>
  <si>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</si>
  <si>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</si>
  <si>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</si>
  <si>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</si>
  <si>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</si>
  <si>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</si>
  <si>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</si>
  <si>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</si>
  <si>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</si>
  <si>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</si>
  <si>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</si>
  <si>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</si>
  <si>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</si>
  <si>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</si>
  <si>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</si>
  <si>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</si>
  <si>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</si>
  <si>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</si>
  <si>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</si>
  <si>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</si>
  <si>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</si>
  <si>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</si>
  <si>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</si>
  <si>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</si>
  <si>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</si>
  <si>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</si>
  <si>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</si>
  <si>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</si>
  <si>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</si>
  <si>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</si>
  <si>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</si>
  <si>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</si>
  <si>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</si>
  <si>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</si>
  <si>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</si>
  <si>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</si>
  <si>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</si>
  <si>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</si>
  <si>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</si>
  <si>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</si>
  <si>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</si>
  <si>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</si>
  <si>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</si>
  <si>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</si>
  <si>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</si>
  <si>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</si>
  <si>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</si>
  <si>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</si>
  <si>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</si>
  <si>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</si>
  <si>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</si>
  <si>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</si>
  <si>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</si>
  <si>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</si>
  <si>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</si>
  <si>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</si>
  <si>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</si>
  <si>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</si>
  <si>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</si>
  <si>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</si>
  <si>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</si>
  <si>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</si>
  <si>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</si>
  <si>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</si>
  <si>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</si>
  <si>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</si>
  <si>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</si>
  <si>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</si>
  <si>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</si>
  <si>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</si>
  <si>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</si>
  <si>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</si>
  <si>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</si>
  <si>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</si>
  <si>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</si>
  <si>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</si>
  <si>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</si>
  <si>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</si>
  <si>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</si>
  <si>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</si>
  <si>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</si>
  <si>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</si>
  <si>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</si>
  <si>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</si>
  <si>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</si>
  <si>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</si>
  <si>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</si>
  <si>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</si>
  <si>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</si>
  <si>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</si>
  <si>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</si>
  <si>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</si>
  <si>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</si>
  <si>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</si>
  <si>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</si>
  <si>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</si>
  <si>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</si>
  <si>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</si>
  <si>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</si>
  <si>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</si>
  <si>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</si>
  <si>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</si>
  <si>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</si>
  <si>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</si>
  <si>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</si>
  <si>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</si>
  <si>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</si>
  <si>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</si>
  <si>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</si>
  <si>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</si>
  <si>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</si>
  <si>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</si>
  <si>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</si>
  <si>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</si>
  <si>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</si>
  <si>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</si>
  <si>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</si>
  <si>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</si>
  <si>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</si>
  <si>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</si>
  <si>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</si>
  <si>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</si>
  <si>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</si>
  <si>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</si>
  <si>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</si>
  <si>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</si>
  <si>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</si>
  <si>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</si>
  <si>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</si>
  <si>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</si>
  <si>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</si>
  <si>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</si>
  <si>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</si>
  <si>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</si>
  <si>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</si>
  <si>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</si>
  <si>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</si>
  <si>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</si>
  <si>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</si>
  <si>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</si>
  <si>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</si>
  <si>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</si>
  <si>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</si>
  <si>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</si>
  <si>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</si>
  <si>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</si>
  <si>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</si>
  <si>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</si>
  <si>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</si>
  <si>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</si>
  <si>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</si>
  <si>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</si>
  <si>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</si>
  <si>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</si>
  <si>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</si>
  <si>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</si>
  <si>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</si>
  <si>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</si>
  <si>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</si>
  <si>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</si>
  <si>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</si>
  <si>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</si>
  <si>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</si>
  <si>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</si>
  <si>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</si>
  <si>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</si>
  <si>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</si>
  <si>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</si>
  <si>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</si>
  <si>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</si>
  <si>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</si>
  <si>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</si>
  <si>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</si>
  <si>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</si>
  <si>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</si>
  <si>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</si>
  <si>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</si>
  <si>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</si>
  <si>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</si>
  <si>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</si>
  <si>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</si>
  <si>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</si>
  <si>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</si>
  <si>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</si>
  <si>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</si>
  <si>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</si>
  <si>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</si>
  <si>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</si>
  <si>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</si>
  <si>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</si>
  <si>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</si>
  <si>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</si>
  <si>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</si>
  <si>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</si>
  <si>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</si>
  <si>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</si>
  <si>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</si>
  <si>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</si>
  <si>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</si>
  <si>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</si>
  <si>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</si>
  <si>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</si>
  <si>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</si>
  <si>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</si>
  <si>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</si>
  <si>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</si>
  <si>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</si>
  <si>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</si>
  <si>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</si>
  <si>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</si>
  <si>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</si>
  <si>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</si>
  <si>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</si>
  <si>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</si>
  <si>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</si>
  <si>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</si>
  <si>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</si>
  <si>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</si>
  <si>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</si>
  <si>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</si>
  <si>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</si>
  <si>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</si>
  <si>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</si>
  <si>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</si>
  <si>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</si>
  <si>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</si>
  <si>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</si>
  <si>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</si>
  <si>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</si>
  <si>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</si>
  <si>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</si>
  <si>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</si>
  <si>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</si>
  <si>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</si>
  <si>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</si>
  <si>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</si>
  <si>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</si>
  <si>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</si>
  <si>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</si>
  <si>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</si>
  <si>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</si>
  <si>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</si>
  <si>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</si>
  <si>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</si>
  <si>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</si>
  <si>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</si>
  <si>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</si>
  <si>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</si>
  <si>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</si>
  <si>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</si>
  <si>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</si>
  <si>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</si>
  <si>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</si>
  <si>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</si>
  <si>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</si>
  <si>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</si>
  <si>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</si>
  <si>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</si>
  <si>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</si>
  <si>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</si>
  <si>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</si>
  <si>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</si>
  <si>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</si>
  <si>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</si>
  <si>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</si>
  <si>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</si>
  <si>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</si>
  <si>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</si>
  <si>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</si>
  <si>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</si>
  <si>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</si>
  <si>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</si>
  <si>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</si>
  <si>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</si>
  <si>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</si>
  <si>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</si>
  <si>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</si>
  <si>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</si>
  <si>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</si>
  <si>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</si>
  <si>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</si>
  <si>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</si>
  <si>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</si>
  <si>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</si>
  <si>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</si>
  <si>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</si>
  <si>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</si>
  <si>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</si>
  <si>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</si>
  <si>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</si>
  <si>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</si>
  <si>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</si>
  <si>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</si>
  <si>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</si>
  <si>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</si>
  <si>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</si>
  <si>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</si>
  <si>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</si>
  <si>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</si>
  <si>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</si>
  <si>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</si>
  <si>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</si>
  <si>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</si>
  <si>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</si>
  <si>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</si>
  <si>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</si>
  <si>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</si>
  <si>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</si>
  <si>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</si>
  <si>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</si>
  <si>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</si>
  <si>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</si>
  <si>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</si>
  <si>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</si>
  <si>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</si>
  <si>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</si>
  <si>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</si>
  <si>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</si>
  <si>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</si>
  <si>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</si>
  <si>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</si>
  <si>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</si>
  <si>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</si>
  <si>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</si>
  <si>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</si>
  <si>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</si>
  <si>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</si>
  <si>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</si>
  <si>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</si>
  <si>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</si>
  <si>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</si>
  <si>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</si>
  <si>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</si>
  <si>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</si>
  <si>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</si>
  <si>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</si>
  <si>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</si>
  <si>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</si>
  <si>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</si>
  <si>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</si>
  <si>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</si>
  <si>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</si>
  <si>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</si>
  <si>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</si>
  <si>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</si>
  <si>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</si>
  <si>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</si>
  <si>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</si>
  <si>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</si>
  <si>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</si>
  <si>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</si>
  <si>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</si>
  <si>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</si>
  <si>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</si>
  <si>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</si>
  <si>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</si>
  <si>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</si>
  <si>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</si>
  <si>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</si>
  <si>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</si>
  <si>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</si>
  <si>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</si>
  <si>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</si>
  <si>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</si>
  <si>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</si>
  <si>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</si>
  <si>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</si>
  <si>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</si>
  <si>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</si>
  <si>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</si>
  <si>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</si>
  <si>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</si>
  <si>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</si>
  <si>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</si>
  <si>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</si>
  <si>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</si>
  <si>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</si>
  <si>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</si>
  <si>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</si>
  <si>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</si>
  <si>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</si>
  <si>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</si>
  <si>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</si>
  <si>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</si>
  <si>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</si>
  <si>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</si>
  <si>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</si>
  <si>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</si>
  <si>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</si>
  <si>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</si>
  <si>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</si>
  <si>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</si>
  <si>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</si>
  <si>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</si>
  <si>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</si>
  <si>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</si>
  <si>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</si>
  <si>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</si>
  <si>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</si>
  <si>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</si>
  <si>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</si>
  <si>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</si>
  <si>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</si>
  <si>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</si>
  <si>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</si>
  <si>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</si>
  <si>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</si>
  <si>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</si>
  <si>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</si>
  <si>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</si>
  <si>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</si>
  <si>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</si>
  <si>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</si>
  <si>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</si>
  <si>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</si>
  <si>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</si>
  <si>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</si>
  <si>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</si>
  <si>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</si>
  <si>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</si>
  <si>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</si>
  <si>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</si>
  <si>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</si>
  <si>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</si>
  <si>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</si>
  <si>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</si>
  <si>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</si>
  <si>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</si>
  <si>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</si>
  <si>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</si>
  <si>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</si>
  <si>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</si>
  <si>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</si>
  <si>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</si>
  <si>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</si>
  <si>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</si>
  <si>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</si>
  <si>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</si>
  <si>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</si>
  <si>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</si>
  <si>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</si>
  <si>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</si>
  <si>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</si>
  <si>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</si>
  <si>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</si>
  <si>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</si>
  <si>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</si>
  <si>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</si>
  <si>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</si>
  <si>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</si>
  <si>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</si>
  <si>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</si>
  <si>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</si>
  <si>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</si>
  <si>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</si>
  <si>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</si>
  <si>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</si>
  <si>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</si>
  <si>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</si>
  <si>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</si>
  <si>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</si>
  <si>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</si>
  <si>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</si>
  <si>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</si>
  <si>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</si>
  <si>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</si>
  <si>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</si>
  <si>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</si>
  <si>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</si>
  <si>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</si>
  <si>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</si>
  <si>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</si>
  <si>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</si>
  <si>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</si>
  <si>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</si>
  <si>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</si>
  <si>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</si>
  <si>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</si>
  <si>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</si>
  <si>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</si>
  <si>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</si>
  <si>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</si>
  <si>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</si>
  <si>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</si>
  <si>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</si>
  <si>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</si>
  <si>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</si>
  <si>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</si>
  <si>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</si>
  <si>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</si>
  <si>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</si>
  <si>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</si>
  <si>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</si>
  <si>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</si>
  <si>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</si>
  <si>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</si>
  <si>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</si>
  <si>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</si>
  <si>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</si>
  <si>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</si>
  <si>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</si>
  <si>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</si>
  <si>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</si>
  <si>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</si>
  <si>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</si>
  <si>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</si>
  <si>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</si>
  <si>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</si>
  <si>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</si>
  <si>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</si>
  <si>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</si>
  <si>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</si>
  <si>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</si>
  <si>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</si>
  <si>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</si>
  <si>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</si>
  <si>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</si>
  <si>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</si>
  <si>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</si>
  <si>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</si>
  <si>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</si>
  <si>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</si>
  <si>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</si>
  <si>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</si>
  <si>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</si>
  <si>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</si>
  <si>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</si>
  <si>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</si>
  <si>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</si>
  <si>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</si>
  <si>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</si>
  <si>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</si>
  <si>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</si>
  <si>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</si>
  <si>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</si>
  <si>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</si>
  <si>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</si>
  <si>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</si>
  <si>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</si>
  <si>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</si>
  <si>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</si>
  <si>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</si>
  <si>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</si>
  <si>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</si>
  <si>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</si>
  <si>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</si>
  <si>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</si>
  <si>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</si>
  <si>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</si>
  <si>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</si>
  <si>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</si>
  <si>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</si>
  <si>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</si>
  <si>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</si>
  <si>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</si>
  <si>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</si>
  <si>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</si>
  <si>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</si>
  <si>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</si>
  <si>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</si>
  <si>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</si>
  <si>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</si>
  <si>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</si>
  <si>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</si>
  <si>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</si>
  <si>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</si>
  <si>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</si>
  <si>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</si>
  <si>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</si>
  <si>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</si>
  <si>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</si>
  <si>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</si>
  <si>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</si>
  <si>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</si>
  <si>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</si>
  <si>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</si>
  <si>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</si>
  <si>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</si>
  <si>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</si>
  <si>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</si>
  <si>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</si>
  <si>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</si>
  <si>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</si>
  <si>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</si>
  <si>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</si>
  <si>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</si>
  <si>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</si>
  <si>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</si>
  <si>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</si>
  <si>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</si>
  <si>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</si>
  <si>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</si>
  <si>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</si>
  <si>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</si>
  <si>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</si>
  <si>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</si>
  <si>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</si>
  <si>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</si>
  <si>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</si>
  <si>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</si>
  <si>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</si>
  <si>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</si>
  <si>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</si>
  <si>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</si>
  <si>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</si>
  <si>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</si>
  <si>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</si>
  <si>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</si>
  <si>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</si>
  <si>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</si>
  <si>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</si>
  <si>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</si>
  <si>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Count of Category</t>
  </si>
  <si>
    <t>(All)</t>
  </si>
  <si>
    <t>Count of Sub-Category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</si>
  <si>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</si>
  <si>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</si>
  <si>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</si>
  <si>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</si>
  <si>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</si>
  <si>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</si>
  <si>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</si>
  <si>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</si>
  <si>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</si>
  <si>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</si>
  <si>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</si>
  <si>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</si>
  <si>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</si>
  <si>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</si>
  <si>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</si>
  <si>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</si>
  <si>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</si>
  <si>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</si>
  <si>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</si>
  <si>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Total Projects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</si>
  <si>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</si>
  <si>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</si>
  <si>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</si>
  <si>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</si>
  <si>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</si>
  <si>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</si>
  <si>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</si>
  <si>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</si>
  <si>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</si>
  <si>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</si>
  <si>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</si>
  <si>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</si>
  <si>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</si>
  <si>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</si>
  <si>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</si>
  <si>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</si>
  <si>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</si>
  <si>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</si>
  <si>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</si>
  <si>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COUNTIFS(Data1!F2:F4115,"=canceled",Data1!D2:D4115,"&gt;=1000",Data1!D2:D4115,"&lt;=4999")</t>
  </si>
  <si>
    <t>Mean number of Backers</t>
  </si>
  <si>
    <t>Median number of Backers</t>
  </si>
  <si>
    <t>Minimum number of Backers</t>
  </si>
  <si>
    <t>Maximum number of Backers</t>
  </si>
  <si>
    <t>Successful</t>
  </si>
  <si>
    <t>Failed</t>
  </si>
  <si>
    <t>Canceled</t>
  </si>
  <si>
    <t>Variance of the number of Backers</t>
  </si>
  <si>
    <t>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</si>
</sst>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 indent="1"/>
    </xf>
    <xf numFmtId="0" fontId="3" fillId="0" borderId="0" xfId="0" applyFont="1"/>
    <xf numFmtId="9" fontId="3" fillId="0" borderId="0" xfId="0" applyNumberFormat="1" applyFont="1"/>
    <xf numFmtId="9" fontId="3" fillId="0" borderId="0" xfId="1" applyFont="1"/>
    <xf numFmtId="0" fontId="3" fillId="2" borderId="0" xfId="0" applyFont="1" applyFill="1" applyAlignment="1">
      <alignment horizontal="center"/>
    </xf>
    <xf numFmtId="1" fontId="3" fillId="2" borderId="0" xfId="0" applyNumberFormat="1" applyFont="1" applyFill="1"/>
    <xf numFmtId="0" fontId="3" fillId="2" borderId="0" xfId="0" applyFont="1" applyFill="1"/>
    <xf numFmtId="0" fontId="3" fillId="3" borderId="0" xfId="0" applyFont="1" applyFill="1" applyAlignment="1">
      <alignment horizontal="center"/>
    </xf>
    <xf numFmtId="1" fontId="3" fillId="3" borderId="0" xfId="0" applyNumberFormat="1" applyFont="1" applyFill="1"/>
    <xf numFmtId="0" fontId="3" fillId="3" borderId="0" xfId="0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/>
    <xf numFmtId="0" fontId="3" fillId="4" borderId="0" xfId="0" applyFont="1" applyFill="1"/>
    <xf numFmtId="0" fontId="1" fillId="0" borderId="0" xfId="0" applyFont="1" applyAlignment="1">
      <alignment horizontal="centerContinuous"/>
    </xf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fgColor theme="8"/>
          <bgColor theme="8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00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Data2!$A$2:$A$21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Data2!$F$2:$F$21</c:f>
              <c:numCache>
                <c:formatCode>0%</c:formatCode>
                <c:ptCount val="20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A-4F4D-BA04-72886E59FA45}"/>
            </c:ext>
          </c:extLst>
        </c:ser>
        <c:ser>
          <c:idx val="1"/>
          <c:order val="1"/>
          <c:tx>
            <c:strRef>
              <c:f>Data2!$G$1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Data2!$A$2:$A$21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Data2!$G$2:$G$21</c:f>
              <c:numCache>
                <c:formatCode>0%</c:formatCode>
                <c:ptCount val="20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A-4F4D-BA04-72886E59FA45}"/>
            </c:ext>
          </c:extLst>
        </c:ser>
        <c:ser>
          <c:idx val="2"/>
          <c:order val="2"/>
          <c:tx>
            <c:strRef>
              <c:f>Data2!$H$1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Data2!$A$2:$A$21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Data2!$H$2:$H$21</c:f>
              <c:numCache>
                <c:formatCode>0%</c:formatCode>
                <c:ptCount val="20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A-4F4D-BA04-72886E59F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672096"/>
        <c:axId val="2014299664"/>
      </c:lineChart>
      <c:catAx>
        <c:axId val="20136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299664"/>
        <c:crosses val="autoZero"/>
        <c:auto val="1"/>
        <c:lblAlgn val="ctr"/>
        <c:lblOffset val="100"/>
        <c:noMultiLvlLbl val="0"/>
      </c:catAx>
      <c:valAx>
        <c:axId val="201429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6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[StarterBook.xlsx]state-Cat PTable!state-Category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'state-Cat PTable'!$B$3:$B$4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'state-Cat PTable'!$A$5:$A$14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 PTable'!$B$5:$B$14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E-9143-9F86-02542B97FC17}"/>
            </c:ext>
          </c:extLst>
        </c:ser>
        <c:ser>
          <c:idx val="1"/>
          <c:order val="1"/>
          <c:tx>
            <c:strRef>
              <c:f>'state-Cat PTable'!$C$3:$C$4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'state-Cat PTable'!$A$5:$A$14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 PTable'!$C$5:$C$14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E-9143-9F86-02542B97FC17}"/>
            </c:ext>
          </c:extLst>
        </c:ser>
        <c:ser>
          <c:idx val="2"/>
          <c:order val="2"/>
          <c:tx>
            <c:strRef>
              <c:f>'state-Cat PTable'!$D$3:$D$4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'state-Cat PTable'!$A$5:$A$14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 PTable'!$D$5:$D$14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BE-9143-9F86-02542B97FC17}"/>
            </c:ext>
          </c:extLst>
        </c:ser>
        <c:ser>
          <c:idx val="3"/>
          <c:order val="3"/>
          <c:tx>
            <c:strRef>
              <c:f>'state-Cat PTable'!$E$3:$E$4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'state-Cat PTable'!$A$5:$A$14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 PTable'!$E$5:$E$14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BE-9143-9F86-02542B97F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1829007"/>
        <c:axId val="581619359"/>
      </c:barChart>
      <c:catAx>
        <c:axId val="581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619359"/>
        <c:crosses val="autoZero"/>
        <c:auto val="1"/>
        <c:lblAlgn val="ctr"/>
        <c:lblOffset val="100"/>
        <c:noMultiLvlLbl val="0"/>
      </c:catAx>
      <c:valAx>
        <c:axId val="58161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[StarterBook.xlsx]state-SubCat PTable!PivotTable3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'state-SubCat PTable'!$B$4:$B$5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'state-SubCat PTable'!$A$6:$A$47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 PTable'!$B$6:$B$47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0-CA47-8E59-31AE5BB5A117}"/>
            </c:ext>
          </c:extLst>
        </c:ser>
        <c:ser>
          <c:idx val="1"/>
          <c:order val="1"/>
          <c:tx>
            <c:strRef>
              <c:f>'state-SubCat PTable'!$C$4:$C$5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'state-SubCat PTable'!$A$6:$A$47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 PTable'!$C$6:$C$47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20-CA47-8E59-31AE5BB5A117}"/>
            </c:ext>
          </c:extLst>
        </c:ser>
        <c:ser>
          <c:idx val="2"/>
          <c:order val="2"/>
          <c:tx>
            <c:strRef>
              <c:f>'state-SubCat PTable'!$D$4:$D$5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'state-SubCat PTable'!$A$6:$A$47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 PTable'!$D$6:$D$47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20-CA47-8E59-31AE5BB5A117}"/>
            </c:ext>
          </c:extLst>
        </c:ser>
        <c:ser>
          <c:idx val="3"/>
          <c:order val="3"/>
          <c:tx>
            <c:strRef>
              <c:f>'state-SubCat PTable'!$E$4:$E$5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'state-SubCat PTable'!$A$6:$A$47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 PTable'!$E$6:$E$47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20-CA47-8E59-31AE5BB5A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1427487"/>
        <c:axId val="611407263"/>
      </c:barChart>
      <c:catAx>
        <c:axId val="61142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07263"/>
        <c:crosses val="autoZero"/>
        <c:auto val="1"/>
        <c:lblAlgn val="ctr"/>
        <c:lblOffset val="100"/>
        <c:noMultiLvlLbl val="0"/>
      </c:catAx>
      <c:valAx>
        <c:axId val="61140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2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[StarterBook.xlsx]state-Date Created PTable!PivotTable4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'state-Date Created PTable'!$B$4:$B$5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'state-Date Created PTable'!$A$6:$A$22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'state-Date Created PTable'!$B$6:$B$22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1-D942-BAB1-785ACC3FEA13}"/>
            </c:ext>
          </c:extLst>
        </c:ser>
        <c:ser>
          <c:idx val="1"/>
          <c:order val="1"/>
          <c:tx>
            <c:strRef>
              <c:f>'state-Date Created PTable'!$C$4:$C$5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'state-Date Created PTable'!$A$6:$A$22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'state-Date Created PTable'!$C$6:$C$22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C1-D942-BAB1-785ACC3FEA13}"/>
            </c:ext>
          </c:extLst>
        </c:ser>
        <c:ser>
          <c:idx val="2"/>
          <c:order val="2"/>
          <c:tx>
            <c:strRef>
              <c:f>'state-Date Created PTable'!$D$4:$D$5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'state-Date Created PTable'!$A$6:$A$22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'state-Date Created PTable'!$D$6:$D$22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C1-D942-BAB1-785ACC3FE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26047"/>
        <c:axId val="117241343"/>
      </c:lineChart>
      <c:catAx>
        <c:axId val="11652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41343"/>
        <c:crosses val="autoZero"/>
        <c:auto val="1"/>
        <c:lblAlgn val="ctr"/>
        <c:lblOffset val="100"/>
        <c:noMultiLvlLbl val="0"/>
      </c:catAx>
      <c:valAx>
        <c:axId val="11724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2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21</xdr:row>
      <xdr:rowOff>184150</xdr:rowOff>
    </xdr:from>
    <xdr:to>
      <xdr:col>7</xdr:col>
      <xdr:colOff>1397000</xdr:colOff>
      <xdr:row>48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7D58B2-A9C6-304E-8F8F-221221783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2</xdr:row>
      <xdr:rowOff>25400</xdr:rowOff>
    </xdr:from>
    <xdr:to>
      <xdr:col>15</xdr:col>
      <xdr:colOff>685800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DBE38-A231-F348-A011-B3DD43602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5</xdr:row>
      <xdr:rowOff>82550</xdr:rowOff>
    </xdr:from>
    <xdr:to>
      <xdr:col>16</xdr:col>
      <xdr:colOff>368300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81189-E6F4-7744-B8EC-355C54745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5</xdr:row>
      <xdr:rowOff>57150</xdr:rowOff>
    </xdr:from>
    <xdr:to>
      <xdr:col>15</xdr:col>
      <xdr:colOff>635000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CE9F5-DCC5-974F-A54A-CF2D17C65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Feliciano" refreshedDate="44285.900546180557" createdVersion="7" refreshedVersion="7" minRefreshableVersion="3" recordCount="4114" xr:uid="{B9CAB2C1-4831-6A4F-B44C-00F7B95DE16E}">
  <cacheSource type="worksheet">
    <worksheetSource ref="A1:R4115" sheet="Data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Feliciano" refreshedDate="44285.932927199072" createdVersion="7" refreshedVersion="7" minRefreshableVersion="3" recordCount="4114" xr:uid="{5BEC810D-2712-B748-B57D-758173D9B770}">
  <cacheSource type="worksheet">
    <worksheetSource ref="A1:T4115" sheet="Data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26BF7-C54A-BC48-BB68-8D3E13320AB2}" name="state-Category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CDB11-8007-B940-9862-52CE0B5B727D}" name="PivotTable3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F8A72-FEBD-3E45-A4F6-9C16FA90E23C}" name="PivotTable4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70" zoomScaleNormal="7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conditionalFormatting sqref="F1:F1048576">
    <cfRule type="colorScale" priority="3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2690-B546-3D4D-9759-F8913E0FEE99}">
  <dimension ref="A1:T4115"/>
  <sheetViews>
    <sheetView topLeftCell="L1" workbookViewId="0">
      <selection activeCell="V7" sqref="V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5" t="s">
        <v>8306</v>
      </c>
      <c r="P1" s="25" t="s">
        <v>8307</v>
      </c>
      <c r="Q1" s="25" t="s">
        <v>8308</v>
      </c>
      <c r="R1" s="25" t="s">
        <v>8309</v>
      </c>
      <c r="S1" s="25" t="s">
        <v>8367</v>
      </c>
      <c r="T1" s="25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IFERROR(E2/L2,0)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IFERROR(E3/L3,0)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5">
        <f t="shared" ref="P67:P130" si="5">IFERROR(E67/L67,0)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5">
        <f t="shared" ref="P131:P194" si="9">IFERROR(E131/L131,0)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5">
        <f t="shared" ref="P195:P258" si="13">IFERROR(E195/L195,0)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5">
        <f t="shared" ref="P259:P322" si="17">IFERROR(E259/L259,0)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5">
        <f t="shared" ref="P323:P386" si="21">IFERROR(E323/L323,0)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5">
        <f t="shared" ref="P387:P450" si="25">IFERROR(E387/L387,0)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5">
        <f t="shared" ref="P451:P514" si="29">IFERROR(E451/L451,0)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5">
        <f t="shared" ref="P515:P578" si="33">IFERROR(E515/L515,0)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5">
        <f t="shared" ref="P579:P642" si="37">IFERROR(E579/L579,0)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5">
        <f t="shared" ref="P643:P706" si="41">IFERROR(E643/L643,0)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5">
        <f t="shared" ref="P707:P770" si="45">IFERROR(E707/L707,0)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5">
        <f t="shared" ref="P771:P834" si="49">IFERROR(E771/L771,0)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5">
        <f t="shared" ref="P835:P898" si="53">IFERROR(E835/L835,0)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5">
        <f t="shared" ref="P899:P962" si="57">IFERROR(E899/L899,0)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5">
        <f t="shared" ref="P963:P1026" si="61">IFERROR(E963/L963,0)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5">
        <f t="shared" ref="P1027:P1090" si="65">IFERROR(E1027/L1027,0)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5">
        <f t="shared" ref="P1091:P1154" si="69">IFERROR(E1091/L1091,0)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5">
        <f t="shared" ref="P1155:P1218" si="73">IFERROR(E1155/L1155,0)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5">
        <f t="shared" ref="P1219:P1282" si="77">IFERROR(E1219/L1219,0)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5">
        <f t="shared" ref="P1283:P1346" si="81">IFERROR(E1283/L1283,0)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5">
        <f t="shared" ref="P1347:P1410" si="85">IFERROR(E1347/L1347,0)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5">
        <f t="shared" ref="P1411:P1474" si="89">IFERROR(E1411/L1411,0)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5">
        <f t="shared" ref="P1475:P1538" si="93">IFERROR(E1475/L1475,0)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5">
        <f t="shared" ref="P1539:P1602" si="97">IFERROR(E1539/L1539,0)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5">
        <f t="shared" ref="P1603:P1666" si="101">IFERROR(E1603/L1603,0)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5">
        <f t="shared" ref="P1667:P1730" si="105">IFERROR(E1667/L1667,0)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5">
        <f t="shared" ref="P1731:P1794" si="109">IFERROR(E1731/L1731,0)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5">
        <f t="shared" ref="P1795:P1858" si="113">IFERROR(E1795/L1795,0)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5">
        <f t="shared" ref="P1859:P1922" si="117">IFERROR(E1859/L1859,0)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5">
        <f t="shared" ref="P1923:P1986" si="121">IFERROR(E1923/L1923,0)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5">
        <f t="shared" ref="P1987:P2050" si="125">IFERROR(E1987/L1987,0)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5">
        <f t="shared" ref="P2051:P2114" si="129">IFERROR(E2051/L2051,0)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5">
        <f t="shared" ref="P2115:P2178" si="133">IFERROR(E2115/L2115,0)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5">
        <f t="shared" ref="P2179:P2242" si="137">IFERROR(E2179/L2179,0)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5">
        <f t="shared" ref="P2243:P2306" si="141">IFERROR(E2243/L2243,0)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5">
        <f t="shared" ref="P2307:P2370" si="145">IFERROR(E2307/L2307,0)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5">
        <f t="shared" ref="P2371:P2434" si="149">IFERROR(E2371/L2371,0)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5">
        <f t="shared" ref="P2435:P2498" si="153">IFERROR(E2435/L2435,0)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5">
        <f t="shared" ref="P2499:P2562" si="157">IFERROR(E2499/L2499,0)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5">
        <f t="shared" ref="P2563:P2626" si="161">IFERROR(E2563/L2563,0)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5">
        <f t="shared" ref="P2627:P2690" si="165">IFERROR(E2627/L2627,0)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5">
        <f t="shared" ref="P2691:P2754" si="169">IFERROR(E2691/L2691,0)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5">
        <f t="shared" ref="P2755:P2818" si="173">IFERROR(E2755/L2755,0)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5">
        <f t="shared" ref="P2819:P2882" si="177">IFERROR(E2819/L2819,0)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5">
        <f t="shared" ref="P2883:P2946" si="181">IFERROR(E2883/L2883,0)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5">
        <f t="shared" ref="P2947:P3010" si="185">IFERROR(E2947/L2947,0)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5">
        <f t="shared" ref="P3011:P3074" si="189">IFERROR(E3011/L3011,0)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5">
        <f t="shared" ref="P3075:P3138" si="193">IFERROR(E3075/L3075,0)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5">
        <f t="shared" ref="P3139:P3202" si="197">IFERROR(E3139/L3139,0)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5">
        <f t="shared" ref="P3203:P3266" si="201">IFERROR(E3203/L3203,0)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5">
        <f t="shared" ref="P3267:P3330" si="205">IFERROR(E3267/L3267,0)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5">
        <f t="shared" ref="P3331:P3394" si="209">IFERROR(E3331/L3331,0)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5">
        <f t="shared" ref="P3395:P3458" si="213">IFERROR(E3395/L3395,0)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5">
        <f t="shared" ref="P3459:P3522" si="217">IFERROR(E3459/L3459,0)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5">
        <f t="shared" ref="P3523:P3586" si="221">IFERROR(E3523/L3523,0)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5">
        <f t="shared" ref="P3587:P3650" si="225">IFERROR(E3587/L3587,0)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5">
        <f t="shared" ref="P3651:P3714" si="229">IFERROR(E3651/L3651,0)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5">
        <f t="shared" ref="P3715:P3778" si="233">IFERROR(E3715/L3715,0)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5">
        <f t="shared" ref="P3779:P3842" si="237">IFERROR(E3779/L3779,0)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5">
        <f t="shared" ref="P3843:P3906" si="241">IFERROR(E3843/L3843,0)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5">
        <f t="shared" ref="P3907:P3970" si="245">IFERROR(E3907/L3907,0)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5">
        <f t="shared" ref="P3971:P4034" si="249">IFERROR(E3971/L3971,0)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5">
        <f t="shared" ref="P4035:P4098" si="253">IFERROR(E4035/L4035,0)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5">
        <f t="shared" ref="P4099:P4115" si="257">IFERROR(E4099/L4099,0)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1" xr:uid="{9A1D46DA-C2B4-CE49-BC80-9E428E279055}"/>
  <conditionalFormatting sqref="F1: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5" operator="containsText" text="succ">
      <formula>NOT(ISERROR(SEARCH("succ",F2)))</formula>
    </cfRule>
    <cfRule type="containsText" dxfId="2" priority="4" operator="containsText" text="fail">
      <formula>NOT(ISERROR(SEARCH("fail",F2)))</formula>
    </cfRule>
    <cfRule type="containsText" dxfId="1" priority="3" operator="containsText" text="canc">
      <formula>NOT(ISERROR(SEARCH("canc",F2)))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BF8F8-6672-5246-BFAB-4B9A538D1705}">
  <dimension ref="A1:H21"/>
  <sheetViews>
    <sheetView workbookViewId="0">
      <selection activeCell="I30" sqref="I30"/>
    </sheetView>
  </sheetViews>
  <sheetFormatPr baseColWidth="10" defaultRowHeight="15" x14ac:dyDescent="0.2"/>
  <cols>
    <col min="1" max="1" width="31" bestFit="1" customWidth="1"/>
    <col min="2" max="2" width="18.83203125" bestFit="1" customWidth="1"/>
    <col min="3" max="3" width="14.83203125" bestFit="1" customWidth="1"/>
    <col min="4" max="4" width="18" bestFit="1" customWidth="1"/>
    <col min="5" max="5" width="14" bestFit="1" customWidth="1"/>
    <col min="6" max="6" width="22.1640625" bestFit="1" customWidth="1"/>
    <col min="7" max="7" width="18.1640625" bestFit="1" customWidth="1"/>
    <col min="8" max="8" width="21.1640625" bestFit="1" customWidth="1"/>
  </cols>
  <sheetData>
    <row r="1" spans="1:8" ht="19" x14ac:dyDescent="0.25">
      <c r="A1" s="13" t="s">
        <v>8387</v>
      </c>
      <c r="B1" s="13" t="s">
        <v>8388</v>
      </c>
      <c r="C1" s="13" t="s">
        <v>8389</v>
      </c>
      <c r="D1" s="13" t="s">
        <v>8390</v>
      </c>
      <c r="E1" s="13" t="s">
        <v>8386</v>
      </c>
      <c r="F1" s="13" t="s">
        <v>8391</v>
      </c>
      <c r="G1" s="13" t="s">
        <v>8392</v>
      </c>
      <c r="H1" s="13" t="s">
        <v>8393</v>
      </c>
    </row>
    <row r="2" spans="1:8" ht="19" x14ac:dyDescent="0.25">
      <c r="A2" s="13" t="s">
        <v>8394</v>
      </c>
      <c r="B2" s="13">
        <f>COUNTIFS(Data1!F2:F4115,"=successful",Data1!D2:D4115,"&lt;1000")</f>
        <v>322</v>
      </c>
      <c r="C2" s="13">
        <f>COUNTIFS(Data1!F2:F4115,"=failed",Data1!D2:D4115,"&lt;1000")</f>
        <v>113</v>
      </c>
      <c r="D2" s="13">
        <f>COUNTIFS(Data1!F2:F4115,"=canceled",Data1!D2:D4115,"&lt;1000")</f>
        <v>18</v>
      </c>
      <c r="E2" s="13">
        <f>SUM(B2:D2)</f>
        <v>453</v>
      </c>
      <c r="F2" s="14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ht="19" x14ac:dyDescent="0.25">
      <c r="A3" s="13" t="s">
        <v>8395</v>
      </c>
      <c r="B3" s="13">
        <f>COUNTIFS(Data1!F2:F4115,"=successful",Data1!D2:D4115,"&gt;=1000",Data1!D2:D4115,"&lt;=4999")</f>
        <v>932</v>
      </c>
      <c r="C3" s="13">
        <f>COUNTIFS(Data1!F2:F4115,"=failed",Data1!D2:D4115,"&gt;=1000",Data1!D2:D4115,"&lt;=4999")</f>
        <v>420</v>
      </c>
      <c r="D3" s="13">
        <f>COUNTIFS(Data1!F2:F4115,"=canceled",Data1!D2:D4115,"&gt;=1000",Data1!D2:D4115,"&lt;=4999")</f>
        <v>60</v>
      </c>
      <c r="E3" s="13">
        <f t="shared" ref="E3:E13" si="0">SUM(B3:D3)</f>
        <v>1412</v>
      </c>
      <c r="F3" s="14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ht="19" x14ac:dyDescent="0.25">
      <c r="A4" s="13" t="s">
        <v>8396</v>
      </c>
      <c r="B4" s="13">
        <f>COUNTIFS(Data1!F2:F4115,"=successful",Data1!D2:D4115,"&gt;=5000",Data1!D2:D4115,"&lt;=9999")</f>
        <v>381</v>
      </c>
      <c r="C4" s="13">
        <f>COUNTIFS(Data1!F2:F4115,"=failed",Data1!D2:D4115,"&gt;=5000",Data1!D2:D4115,"&lt;=9999")</f>
        <v>283</v>
      </c>
      <c r="D4" s="13">
        <f>COUNTIFS(Data1!F2:F4115,"=canceled",Data1!D2:D4115,"&gt;=5000",Data1!D2:D4115,"&lt;=9999")</f>
        <v>52</v>
      </c>
      <c r="E4" s="13">
        <f t="shared" si="0"/>
        <v>716</v>
      </c>
      <c r="F4" s="14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ht="19" x14ac:dyDescent="0.25">
      <c r="A5" s="13" t="s">
        <v>8397</v>
      </c>
      <c r="B5" s="13">
        <f>COUNTIFS(Data1!F2:F4115,"=successful",Data1!D2:D4115,"&gt;=10000",Data1!D2:D4115,"&lt;=14999")</f>
        <v>168</v>
      </c>
      <c r="C5" s="13">
        <f>COUNTIFS(Data1!F2:F4115,"=failed",Data1!D2:D4115,"&gt;=10000",Data1!D2:D4115,"&lt;=14999")</f>
        <v>144</v>
      </c>
      <c r="D5" s="13">
        <f>COUNTIFS(Data1!F2:F4115,"=canceled",Data1!D2:D4115,"&gt;=10000",Data1!D2:D4115,"&lt;=14999")</f>
        <v>40</v>
      </c>
      <c r="E5" s="13">
        <f t="shared" si="0"/>
        <v>352</v>
      </c>
      <c r="F5" s="14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9" x14ac:dyDescent="0.25">
      <c r="A6" s="13" t="s">
        <v>8398</v>
      </c>
      <c r="B6" s="13">
        <f>COUNTIFS(Data1!F2:F4115,"=successful",Data1!D2:D4115,"&gt;=15000",Data1!D2:D4115,"&lt;=19999")</f>
        <v>94</v>
      </c>
      <c r="C6" s="13">
        <f>COUNTIFS(Data1!F2:F4115,"=failed",Data1!D2:D4115,"&gt;=15000",Data1!D2:D4115,"&lt;=19999")</f>
        <v>90</v>
      </c>
      <c r="D6" s="13">
        <f>COUNTIFS(Data1!F2:F4115,"=canceled",Data1!D2:D4115,"&gt;=15000",Data1!D2:D4115,"&lt;=19999")</f>
        <v>17</v>
      </c>
      <c r="E6" s="13">
        <f t="shared" si="0"/>
        <v>201</v>
      </c>
      <c r="F6" s="14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9" x14ac:dyDescent="0.25">
      <c r="A7" s="13" t="s">
        <v>8399</v>
      </c>
      <c r="B7" s="13">
        <f>COUNTIFS(Data1!F2:F4115,"=successful",Data1!D2:D4115,"&gt;=20000",Data1!D2:D4115,"&lt;=24999")</f>
        <v>62</v>
      </c>
      <c r="C7" s="13">
        <f>COUNTIFS(Data1!F2:F4115,"=failed",Data1!D2:D4115,"&gt;=20000",Data1!D2:D4115,"&lt;=24999")</f>
        <v>72</v>
      </c>
      <c r="D7" s="13">
        <f>COUNTIFS(Data1!F2:F4115,"=canceled",Data1!D2:D4115,"&gt;=20000",Data1!D2:D4115,"&lt;=24999")</f>
        <v>14</v>
      </c>
      <c r="E7" s="13">
        <f t="shared" si="0"/>
        <v>148</v>
      </c>
      <c r="F7" s="14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9" x14ac:dyDescent="0.25">
      <c r="A8" s="13" t="s">
        <v>8400</v>
      </c>
      <c r="B8" s="13">
        <f>COUNTIFS(Data1!F2:F4115,"=successful",Data1!D2:D4115,"&gt;=25000",Data1!D2:D4115,"&lt;=29999")</f>
        <v>55</v>
      </c>
      <c r="C8" s="13">
        <f>COUNTIFS(Data1!F2:F4115,"=failed",Data1!D2:D4115,"&gt;=25000",Data1!D2:D4115,"&lt;=29999")</f>
        <v>64</v>
      </c>
      <c r="D8" s="13">
        <f>COUNTIFS(Data1!F2:F4115,"=canceled",Data1!D2:D4115,"&gt;=25000",Data1!D2:D4115,"&lt;=29999")</f>
        <v>18</v>
      </c>
      <c r="E8" s="13">
        <f t="shared" si="0"/>
        <v>137</v>
      </c>
      <c r="F8" s="14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19" x14ac:dyDescent="0.25">
      <c r="A9" s="13" t="s">
        <v>8401</v>
      </c>
      <c r="B9" s="13">
        <f>COUNTIFS(Data1!F2:F4115,"=successful",Data1!D2:D4115,"&gt;=30000",Data1!D2:D4115,"&lt;=34999")</f>
        <v>32</v>
      </c>
      <c r="C9" s="13">
        <f>COUNTIFS(Data1!F2:F4115,"=failed",Data1!D2:D4115,"&gt;=30000",Data1!D2:D4115,"&lt;=34999")</f>
        <v>37</v>
      </c>
      <c r="D9" s="13">
        <f>COUNTIFS(Data1!F2:F4115,"=canceled",Data1!D2:D4115,"&gt;=30000",Data1!D2:D4115,"&lt;=34999")</f>
        <v>13</v>
      </c>
      <c r="E9" s="13">
        <f t="shared" si="0"/>
        <v>82</v>
      </c>
      <c r="F9" s="14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19" x14ac:dyDescent="0.25">
      <c r="A10" s="13" t="s">
        <v>8402</v>
      </c>
      <c r="B10" s="13">
        <f>COUNTIFS(Data1!F2:F4115,"=successful",Data1!D2:D4115,"&gt;=35000",Data1!D2:D4115,"&lt;=39999")</f>
        <v>26</v>
      </c>
      <c r="C10" s="13">
        <f>COUNTIFS(Data1!F2:F4115,"=failed",Data1!D2:D4115,"&gt;=35000",Data1!D2:D4115,"&lt;=39999")</f>
        <v>22</v>
      </c>
      <c r="D10" s="13">
        <f>COUNTIFS(Data1!F2:F4115,"=canceled",Data1!D2:D4115,"&gt;=35000",Data1!D2:D4115,"&lt;=39999")</f>
        <v>7</v>
      </c>
      <c r="E10" s="13">
        <f t="shared" si="0"/>
        <v>55</v>
      </c>
      <c r="F10" s="14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9" x14ac:dyDescent="0.25">
      <c r="A11" s="13" t="s">
        <v>8403</v>
      </c>
      <c r="B11" s="13">
        <f>COUNTIFS(Data1!F2:F4115,"=successful",Data1!D2:D4115,"&gt;=40000",Data1!D2:D4115,"&lt;=44999")</f>
        <v>21</v>
      </c>
      <c r="C11" s="13">
        <f>COUNTIFS(Data1!F2:F4115,"=failed",Data1!D2:D4115,"&gt;=40000",Data1!D2:D4115,"&lt;=44999")</f>
        <v>16</v>
      </c>
      <c r="D11" s="13">
        <f>COUNTIFS(Data1!F2:F4115,"=canceled",Data1!D2:D4115,"&gt;=40000",Data1!D2:D4115,"&lt;=44999")</f>
        <v>6</v>
      </c>
      <c r="E11" s="13">
        <f t="shared" si="0"/>
        <v>43</v>
      </c>
      <c r="F11" s="14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9" x14ac:dyDescent="0.25">
      <c r="A12" s="13" t="s">
        <v>8404</v>
      </c>
      <c r="B12" s="13">
        <f>COUNTIFS(Data1!F2:F4115,"=successful",Data1!D2:D4115,"&gt;=45000",Data1!D2:D4115,"&lt;=49999")</f>
        <v>6</v>
      </c>
      <c r="C12" s="13">
        <f>COUNTIFS(Data1!F2:F4115,"=failed",Data1!D2:D4115,"&gt;=45000",Data1!D2:D4115,"&lt;=49999")</f>
        <v>11</v>
      </c>
      <c r="D12" s="13">
        <f>COUNTIFS(Data1!F2:F4115,"=canceled",Data1!D2:D4115,"&gt;=45000",Data1!D2:D4115,"&lt;=49999")</f>
        <v>4</v>
      </c>
      <c r="E12" s="13">
        <f t="shared" si="0"/>
        <v>21</v>
      </c>
      <c r="F12" s="14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9" x14ac:dyDescent="0.25">
      <c r="A13" s="13" t="s">
        <v>8405</v>
      </c>
      <c r="B13" s="13">
        <f>COUNTIFS(Data1!F2:F4115,"=successful",Data1!D2:D4115,"&gt;=50000")</f>
        <v>86</v>
      </c>
      <c r="C13" s="13">
        <f>COUNTIFS(Data1!F2:F4115,"=failed",Data1!D2:D4115,"&gt;=50000")</f>
        <v>258</v>
      </c>
      <c r="D13" s="13">
        <f>COUNTIFS(Data1!F2:F4115,"=canceled",Data1!D2:D4115,"&gt;=50000")</f>
        <v>100</v>
      </c>
      <c r="E13" s="13">
        <f t="shared" si="0"/>
        <v>444</v>
      </c>
      <c r="F13" s="14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 x14ac:dyDescent="0.2">
      <c r="B14" s="10"/>
      <c r="C14" s="10"/>
      <c r="D14" s="10"/>
    </row>
    <row r="21" spans="4:4" x14ac:dyDescent="0.2">
      <c r="D21" t="s">
        <v>8406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5DF8-5073-6C48-958D-3AAB337F6A8A}">
  <dimension ref="A1:D7"/>
  <sheetViews>
    <sheetView tabSelected="1" workbookViewId="0">
      <selection activeCell="G19" sqref="G19"/>
    </sheetView>
  </sheetViews>
  <sheetFormatPr baseColWidth="10" defaultRowHeight="15" x14ac:dyDescent="0.2"/>
  <cols>
    <col min="1" max="1" width="43.6640625" bestFit="1" customWidth="1"/>
  </cols>
  <sheetData>
    <row r="1" spans="1:4" ht="19" x14ac:dyDescent="0.25">
      <c r="A1" s="13"/>
      <c r="B1" s="16" t="s">
        <v>8411</v>
      </c>
      <c r="C1" s="19" t="s">
        <v>8412</v>
      </c>
      <c r="D1" s="22" t="s">
        <v>8413</v>
      </c>
    </row>
    <row r="2" spans="1:4" ht="19" x14ac:dyDescent="0.25">
      <c r="A2" s="13" t="s">
        <v>8407</v>
      </c>
      <c r="B2" s="17">
        <f>AVERAGE(Data2!B2:B13)</f>
        <v>182.08333333333334</v>
      </c>
      <c r="C2" s="20">
        <f>AVERAGE(Data2!C2:C13)</f>
        <v>127.5</v>
      </c>
      <c r="D2" s="23">
        <f>AVERAGE(Data2!D2:D13)</f>
        <v>29.083333333333332</v>
      </c>
    </row>
    <row r="3" spans="1:4" ht="19" x14ac:dyDescent="0.25">
      <c r="A3" s="13" t="s">
        <v>8408</v>
      </c>
      <c r="B3" s="18">
        <f>MEDIAN(Data2!B2:B13)</f>
        <v>74</v>
      </c>
      <c r="C3" s="21">
        <f>MEDIAN(Data2!C2:C13)</f>
        <v>81</v>
      </c>
      <c r="D3" s="24">
        <f>MEDIAN(Data2!D2:D13)</f>
        <v>17.5</v>
      </c>
    </row>
    <row r="4" spans="1:4" ht="19" x14ac:dyDescent="0.25">
      <c r="A4" s="13" t="s">
        <v>8410</v>
      </c>
      <c r="B4" s="18">
        <f>MAX(Data2!B2:B13)</f>
        <v>932</v>
      </c>
      <c r="C4" s="21">
        <f>MAX(Data2!C2:C13)</f>
        <v>420</v>
      </c>
      <c r="D4" s="24">
        <f>MAX(Data2!D2:D13)</f>
        <v>100</v>
      </c>
    </row>
    <row r="5" spans="1:4" ht="19" x14ac:dyDescent="0.25">
      <c r="A5" s="13" t="s">
        <v>8409</v>
      </c>
      <c r="B5" s="18">
        <f>MIN(Data2!B2:B13)</f>
        <v>6</v>
      </c>
      <c r="C5" s="21">
        <f>MIN(Data2!C2:C13)</f>
        <v>11</v>
      </c>
      <c r="D5" s="24">
        <f>MIN(Data2!D2:D13)</f>
        <v>4</v>
      </c>
    </row>
    <row r="6" spans="1:4" ht="19" x14ac:dyDescent="0.25">
      <c r="A6" s="13" t="s">
        <v>8414</v>
      </c>
      <c r="B6" s="17">
        <f>_xlfn.VAR.P(Data2!B2:B13)</f>
        <v>64426.576388888891</v>
      </c>
      <c r="C6" s="20">
        <f>_xlfn.VAR.P(Data2!C2:C13)</f>
        <v>15091.083333333334</v>
      </c>
      <c r="D6" s="23">
        <f>_xlfn.VAR.P(Data2!D2:D13)</f>
        <v>763.07638888888891</v>
      </c>
    </row>
    <row r="7" spans="1:4" ht="19" x14ac:dyDescent="0.25">
      <c r="A7" s="13" t="s">
        <v>8415</v>
      </c>
      <c r="B7" s="18">
        <f>STDEV(Data2!B2:B13)</f>
        <v>265.11042582061515</v>
      </c>
      <c r="C7" s="21">
        <f>STDEV(Data2!C2:C13)</f>
        <v>128.30822265155106</v>
      </c>
      <c r="D7" s="24">
        <f>STDEV(Data2!D2:D13)</f>
        <v>28.8521571064794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648C6-1F49-CD46-BD88-3D23B1C4CC32}">
  <dimension ref="A1:F14"/>
  <sheetViews>
    <sheetView workbookViewId="0">
      <selection activeCell="A5" sqref="A5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8365</v>
      </c>
    </row>
    <row r="3" spans="1:6" x14ac:dyDescent="0.2">
      <c r="A3" s="8" t="s">
        <v>8364</v>
      </c>
      <c r="B3" s="8" t="s">
        <v>8361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6E4F5-67CC-EC40-917B-059F06809BF6}">
  <dimension ref="A1:F47"/>
  <sheetViews>
    <sheetView topLeftCell="A13" workbookViewId="0">
      <selection activeCell="O39" sqref="O39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8308</v>
      </c>
      <c r="B2" t="s">
        <v>8365</v>
      </c>
    </row>
    <row r="4" spans="1:6" x14ac:dyDescent="0.2">
      <c r="A4" s="8" t="s">
        <v>8366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E26D-B925-624D-ABB0-FDF900358827}">
  <dimension ref="A1:E22"/>
  <sheetViews>
    <sheetView workbookViewId="0">
      <selection activeCell="B11" sqref="B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8365</v>
      </c>
    </row>
    <row r="2" spans="1:5" x14ac:dyDescent="0.2">
      <c r="A2" s="8" t="s">
        <v>8385</v>
      </c>
      <c r="B2" t="s">
        <v>8365</v>
      </c>
    </row>
    <row r="4" spans="1:5" x14ac:dyDescent="0.2">
      <c r="A4" s="8" t="s">
        <v>8360</v>
      </c>
      <c r="B4" s="8" t="s">
        <v>8361</v>
      </c>
    </row>
    <row r="5" spans="1:5" x14ac:dyDescent="0.2">
      <c r="A5" s="8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9" t="s">
        <v>8378</v>
      </c>
      <c r="B6" s="7">
        <v>89</v>
      </c>
      <c r="C6" s="7">
        <v>363</v>
      </c>
      <c r="D6" s="7">
        <v>564</v>
      </c>
      <c r="E6" s="7">
        <v>1016</v>
      </c>
    </row>
    <row r="7" spans="1:5" x14ac:dyDescent="0.2">
      <c r="A7" s="12" t="s">
        <v>8379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">
      <c r="A8" s="12" t="s">
        <v>8380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">
      <c r="A9" s="12" t="s">
        <v>8381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">
      <c r="A10" s="9" t="s">
        <v>8369</v>
      </c>
      <c r="B10" s="7">
        <v>80</v>
      </c>
      <c r="C10" s="7">
        <v>375</v>
      </c>
      <c r="D10" s="7">
        <v>637</v>
      </c>
      <c r="E10" s="7">
        <v>1092</v>
      </c>
    </row>
    <row r="11" spans="1:5" x14ac:dyDescent="0.2">
      <c r="A11" s="12" t="s">
        <v>8382</v>
      </c>
      <c r="B11" s="7">
        <v>27</v>
      </c>
      <c r="C11" s="7">
        <v>102</v>
      </c>
      <c r="D11" s="7">
        <v>192</v>
      </c>
      <c r="E11" s="7">
        <v>321</v>
      </c>
    </row>
    <row r="12" spans="1:5" x14ac:dyDescent="0.2">
      <c r="A12" s="12" t="s">
        <v>8370</v>
      </c>
      <c r="B12" s="7">
        <v>26</v>
      </c>
      <c r="C12" s="7">
        <v>126</v>
      </c>
      <c r="D12" s="7">
        <v>234</v>
      </c>
      <c r="E12" s="7">
        <v>386</v>
      </c>
    </row>
    <row r="13" spans="1:5" x14ac:dyDescent="0.2">
      <c r="A13" s="12" t="s">
        <v>8383</v>
      </c>
      <c r="B13" s="7">
        <v>27</v>
      </c>
      <c r="C13" s="7">
        <v>147</v>
      </c>
      <c r="D13" s="7">
        <v>211</v>
      </c>
      <c r="E13" s="7">
        <v>385</v>
      </c>
    </row>
    <row r="14" spans="1:5" x14ac:dyDescent="0.2">
      <c r="A14" s="9" t="s">
        <v>8371</v>
      </c>
      <c r="B14" s="7">
        <v>100</v>
      </c>
      <c r="C14" s="7">
        <v>411</v>
      </c>
      <c r="D14" s="7">
        <v>507</v>
      </c>
      <c r="E14" s="7">
        <v>1018</v>
      </c>
    </row>
    <row r="15" spans="1:5" x14ac:dyDescent="0.2">
      <c r="A15" s="12" t="s">
        <v>8372</v>
      </c>
      <c r="B15" s="7">
        <v>43</v>
      </c>
      <c r="C15" s="7">
        <v>150</v>
      </c>
      <c r="D15" s="7">
        <v>194</v>
      </c>
      <c r="E15" s="7">
        <v>387</v>
      </c>
    </row>
    <row r="16" spans="1:5" x14ac:dyDescent="0.2">
      <c r="A16" s="12" t="s">
        <v>8373</v>
      </c>
      <c r="B16" s="7">
        <v>33</v>
      </c>
      <c r="C16" s="7">
        <v>134</v>
      </c>
      <c r="D16" s="7">
        <v>166</v>
      </c>
      <c r="E16" s="7">
        <v>333</v>
      </c>
    </row>
    <row r="17" spans="1:5" x14ac:dyDescent="0.2">
      <c r="A17" s="12" t="s">
        <v>8374</v>
      </c>
      <c r="B17" s="7">
        <v>24</v>
      </c>
      <c r="C17" s="7">
        <v>127</v>
      </c>
      <c r="D17" s="7">
        <v>147</v>
      </c>
      <c r="E17" s="7">
        <v>298</v>
      </c>
    </row>
    <row r="18" spans="1:5" x14ac:dyDescent="0.2">
      <c r="A18" s="9" t="s">
        <v>8375</v>
      </c>
      <c r="B18" s="7">
        <v>80</v>
      </c>
      <c r="C18" s="7">
        <v>381</v>
      </c>
      <c r="D18" s="7">
        <v>477</v>
      </c>
      <c r="E18" s="7">
        <v>938</v>
      </c>
    </row>
    <row r="19" spans="1:5" x14ac:dyDescent="0.2">
      <c r="A19" s="12" t="s">
        <v>8376</v>
      </c>
      <c r="B19" s="7">
        <v>20</v>
      </c>
      <c r="C19" s="7">
        <v>149</v>
      </c>
      <c r="D19" s="7">
        <v>183</v>
      </c>
      <c r="E19" s="7">
        <v>352</v>
      </c>
    </row>
    <row r="20" spans="1:5" x14ac:dyDescent="0.2">
      <c r="A20" s="12" t="s">
        <v>8377</v>
      </c>
      <c r="B20" s="7">
        <v>37</v>
      </c>
      <c r="C20" s="7">
        <v>114</v>
      </c>
      <c r="D20" s="7">
        <v>183</v>
      </c>
      <c r="E20" s="7">
        <v>334</v>
      </c>
    </row>
    <row r="21" spans="1:5" x14ac:dyDescent="0.2">
      <c r="A21" s="12" t="s">
        <v>8384</v>
      </c>
      <c r="B21" s="7">
        <v>23</v>
      </c>
      <c r="C21" s="7">
        <v>118</v>
      </c>
      <c r="D21" s="7">
        <v>111</v>
      </c>
      <c r="E21" s="7">
        <v>252</v>
      </c>
    </row>
    <row r="22" spans="1:5" x14ac:dyDescent="0.2">
      <c r="A22" s="9" t="s">
        <v>8362</v>
      </c>
      <c r="B22" s="7">
        <v>349</v>
      </c>
      <c r="C22" s="7">
        <v>1530</v>
      </c>
      <c r="D22" s="7">
        <v>2185</v>
      </c>
      <c r="E22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Sheet1(RawData)</vt:lpstr>
      <vt:lpstr>Data1</vt:lpstr>
      <vt:lpstr>Data2</vt:lpstr>
      <vt:lpstr>Backers stats</vt:lpstr>
      <vt:lpstr>state-Cat PTable</vt:lpstr>
      <vt:lpstr>state-SubCat PTable</vt:lpstr>
      <vt:lpstr>state-Date Created PTable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Feliciano</cp:lastModifiedBy>
  <dcterms:created xsi:type="dcterms:W3CDTF">2017-04-20T15:17:24Z</dcterms:created>
  <dcterms:modified xsi:type="dcterms:W3CDTF">2021-04-03T23:23:01Z</dcterms:modified>
</cp:coreProperties>
</file>