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30" windowWidth="20265" windowHeight="8055" tabRatio="847" firstSheet="1" activeTab="11"/>
  </bookViews>
  <sheets>
    <sheet name="Parâmetros" sheetId="7" state="hidden" r:id="rId1"/>
    <sheet name="Cronograma do TCC" sheetId="2" r:id="rId2"/>
    <sheet name="Dados do Projeto" sheetId="1" r:id="rId3"/>
    <sheet name="UCP" sheetId="3" r:id="rId4"/>
    <sheet name="Notas e Faltas" sheetId="5" r:id="rId5"/>
    <sheet name="Acompanhamento" sheetId="4" r:id="rId6"/>
    <sheet name="Entregáveis" sheetId="6" r:id="rId7"/>
    <sheet name="Correção Proposta-PSI1" sheetId="9" r:id="rId8"/>
    <sheet name="Correção AE1-PSI1" sheetId="15" r:id="rId9"/>
    <sheet name="Correção Iteração 1-PSI1" sheetId="10" r:id="rId10"/>
    <sheet name="Correção Iteração 2-PSI1" sheetId="11" r:id="rId11"/>
    <sheet name="Correção Banca Lógica-PSI1" sheetId="13" r:id="rId12"/>
    <sheet name="Avaliação Complementar-PSI1" sheetId="14" r:id="rId13"/>
    <sheet name="Correção Banca Protótipo-PSI2" sheetId="17" r:id="rId14"/>
    <sheet name="Correção Iteração 1-PSI2" sheetId="19" r:id="rId15"/>
    <sheet name="Correção Iteração 2-PSI2" sheetId="20" r:id="rId16"/>
    <sheet name="Correção Banca Física-PSI2" sheetId="18" r:id="rId17"/>
    <sheet name="Avaliação Complementar-PSI2" sheetId="21" r:id="rId18"/>
    <sheet name="Mudança de Escopo" sheetId="8" r:id="rId19"/>
    <sheet name="Histórico de Revisões" sheetId="16" r:id="rId20"/>
  </sheets>
  <definedNames>
    <definedName name="_ftn1" localSheetId="1">'Cronograma do TCC'!#REF!</definedName>
    <definedName name="_ftn2" localSheetId="1">'Cronograma do TCC'!#REF!</definedName>
    <definedName name="_ftn3" localSheetId="1">'Cronograma do TCC'!#REF!</definedName>
    <definedName name="_ftn4" localSheetId="1">'Cronograma do TCC'!#REF!</definedName>
    <definedName name="_ftn5" localSheetId="1">'Cronograma do TCC'!#REF!</definedName>
    <definedName name="_ftn6" localSheetId="1">'Cronograma do TCC'!#REF!</definedName>
    <definedName name="_ftn7" localSheetId="1">'Cronograma do TCC'!#REF!</definedName>
    <definedName name="_ftnref1" localSheetId="1">Entregáveis!$C$14</definedName>
    <definedName name="_ftnref2" localSheetId="1">Entregáveis!$C$15</definedName>
    <definedName name="_ftnref3" localSheetId="1">Entregáveis!$C$16</definedName>
    <definedName name="_ftnref4" localSheetId="1">Entregáveis!$C$17</definedName>
    <definedName name="_ftnref5" localSheetId="1">Entregáveis!$C$23</definedName>
    <definedName name="_ftnref6" localSheetId="1">Entregáveis!$C$24</definedName>
    <definedName name="_ftnref7" localSheetId="1">Entregáveis!$C$25</definedName>
  </definedNames>
  <calcPr calcId="145621"/>
  <fileRecoveryPr autoRecover="0"/>
</workbook>
</file>

<file path=xl/calcChain.xml><?xml version="1.0" encoding="utf-8"?>
<calcChain xmlns="http://schemas.openxmlformats.org/spreadsheetml/2006/main">
  <c r="F48" i="18" l="1"/>
  <c r="F49" i="18"/>
  <c r="F36" i="18"/>
  <c r="F47" i="18"/>
  <c r="D49" i="18"/>
  <c r="D48" i="18"/>
  <c r="D47" i="18"/>
  <c r="E51" i="18" l="1"/>
  <c r="D47" i="13"/>
  <c r="F47" i="13" s="1"/>
  <c r="D48" i="13"/>
  <c r="F48" i="13" s="1"/>
  <c r="D49" i="13"/>
  <c r="F49" i="13" s="1"/>
  <c r="D50" i="13"/>
  <c r="F50" i="13" s="1"/>
  <c r="D46" i="13"/>
  <c r="F46" i="13" s="1"/>
  <c r="E52" i="13" l="1"/>
  <c r="D37" i="2"/>
  <c r="C38" i="2" s="1"/>
  <c r="D10" i="2"/>
  <c r="F10" i="2" l="1"/>
  <c r="C11" i="2"/>
  <c r="D11" i="2" s="1"/>
  <c r="D38" i="2"/>
  <c r="C39" i="2" s="1"/>
  <c r="D39" i="2" s="1"/>
  <c r="E10" i="2"/>
  <c r="F37" i="2"/>
  <c r="E37" i="2"/>
  <c r="E38" i="2" l="1"/>
  <c r="C48" i="2"/>
  <c r="F11" i="2"/>
  <c r="C12" i="2"/>
  <c r="D12" i="2" s="1"/>
  <c r="F12" i="2" s="1"/>
  <c r="C24" i="2" s="1"/>
  <c r="F39" i="2"/>
  <c r="C40" i="2"/>
  <c r="D40" i="2" s="1"/>
  <c r="C41" i="2" s="1"/>
  <c r="E39" i="2"/>
  <c r="F28" i="18"/>
  <c r="D28" i="18"/>
  <c r="C28" i="18"/>
  <c r="F27" i="18"/>
  <c r="D27" i="18"/>
  <c r="C27" i="18"/>
  <c r="C13" i="2" l="1"/>
  <c r="D13" i="2" s="1"/>
  <c r="C14" i="2" s="1"/>
  <c r="D14" i="2" s="1"/>
  <c r="E12" i="2"/>
  <c r="F13" i="2"/>
  <c r="F40" i="2"/>
  <c r="D41" i="2"/>
  <c r="C49" i="2" s="1"/>
  <c r="E40" i="2"/>
  <c r="D28" i="15"/>
  <c r="F20" i="18"/>
  <c r="F113" i="20"/>
  <c r="D113" i="20"/>
  <c r="C113" i="20"/>
  <c r="F112" i="20"/>
  <c r="D112" i="20"/>
  <c r="C112" i="20"/>
  <c r="F111" i="20"/>
  <c r="D111" i="20"/>
  <c r="C111" i="20"/>
  <c r="F110" i="20"/>
  <c r="D110" i="20"/>
  <c r="C110" i="20"/>
  <c r="F105" i="20"/>
  <c r="D105" i="20"/>
  <c r="C105" i="20"/>
  <c r="F104" i="20"/>
  <c r="D104" i="20"/>
  <c r="C104" i="20"/>
  <c r="F103" i="20"/>
  <c r="D103" i="20"/>
  <c r="C103" i="20"/>
  <c r="F102" i="20"/>
  <c r="D102" i="20"/>
  <c r="C102" i="20"/>
  <c r="F97" i="20"/>
  <c r="D97" i="20"/>
  <c r="C97" i="20"/>
  <c r="F96" i="20"/>
  <c r="D96" i="20"/>
  <c r="C96" i="20"/>
  <c r="F95" i="20"/>
  <c r="D95" i="20"/>
  <c r="C95" i="20"/>
  <c r="F94" i="20"/>
  <c r="D94" i="20"/>
  <c r="C94" i="20"/>
  <c r="F89" i="20"/>
  <c r="D89" i="20"/>
  <c r="C89" i="20"/>
  <c r="F88" i="20"/>
  <c r="D88" i="20"/>
  <c r="C88" i="20"/>
  <c r="F87" i="20"/>
  <c r="D87" i="20"/>
  <c r="C87" i="20"/>
  <c r="F86" i="20"/>
  <c r="D86" i="20"/>
  <c r="C86" i="20"/>
  <c r="F81" i="20"/>
  <c r="D81" i="20"/>
  <c r="C81" i="20"/>
  <c r="F80" i="20"/>
  <c r="D80" i="20"/>
  <c r="C80" i="20"/>
  <c r="F79" i="20"/>
  <c r="D79" i="20"/>
  <c r="C79" i="20"/>
  <c r="F78" i="20"/>
  <c r="D78" i="20"/>
  <c r="C78" i="20"/>
  <c r="F73" i="20"/>
  <c r="D73" i="20"/>
  <c r="C73" i="20"/>
  <c r="F72" i="20"/>
  <c r="D72" i="20"/>
  <c r="C72" i="20"/>
  <c r="F71" i="20"/>
  <c r="D71" i="20"/>
  <c r="C71" i="20"/>
  <c r="F70" i="20"/>
  <c r="D70" i="20"/>
  <c r="C70" i="20"/>
  <c r="F65" i="20"/>
  <c r="D65" i="20"/>
  <c r="C65" i="20"/>
  <c r="F64" i="20"/>
  <c r="D64" i="20"/>
  <c r="C64" i="20"/>
  <c r="F63" i="20"/>
  <c r="D63" i="20"/>
  <c r="C63" i="20"/>
  <c r="F62" i="20"/>
  <c r="D62" i="20"/>
  <c r="C62" i="20"/>
  <c r="F57" i="20"/>
  <c r="D57" i="20"/>
  <c r="C57" i="20"/>
  <c r="F56" i="20"/>
  <c r="D56" i="20"/>
  <c r="C56" i="20"/>
  <c r="F55" i="20"/>
  <c r="D55" i="20"/>
  <c r="C55" i="20"/>
  <c r="F54" i="20"/>
  <c r="D54" i="20"/>
  <c r="C54" i="20"/>
  <c r="F49" i="20"/>
  <c r="D49" i="20"/>
  <c r="C49" i="20"/>
  <c r="F48" i="20"/>
  <c r="D48" i="20"/>
  <c r="C48" i="20"/>
  <c r="F47" i="20"/>
  <c r="D47" i="20"/>
  <c r="C47" i="20"/>
  <c r="F46" i="20"/>
  <c r="D46" i="20"/>
  <c r="C46" i="20"/>
  <c r="F41" i="20"/>
  <c r="D41" i="20"/>
  <c r="C41" i="20"/>
  <c r="F40" i="20"/>
  <c r="D40" i="20"/>
  <c r="C40" i="20"/>
  <c r="F39" i="20"/>
  <c r="D39" i="20"/>
  <c r="C39" i="20"/>
  <c r="F38" i="20"/>
  <c r="D38" i="20"/>
  <c r="C38" i="20"/>
  <c r="E31" i="20"/>
  <c r="D28" i="20"/>
  <c r="B28" i="20"/>
  <c r="D27" i="20"/>
  <c r="B27" i="20"/>
  <c r="D26" i="20"/>
  <c r="B26" i="20"/>
  <c r="D25" i="20"/>
  <c r="B25" i="20"/>
  <c r="D24" i="20"/>
  <c r="B24" i="20"/>
  <c r="D23" i="20"/>
  <c r="B23" i="20"/>
  <c r="D22" i="20"/>
  <c r="B22" i="20"/>
  <c r="D21" i="20"/>
  <c r="B21" i="20"/>
  <c r="D20" i="20"/>
  <c r="B20" i="20"/>
  <c r="D19" i="20"/>
  <c r="B19" i="20"/>
  <c r="A19" i="20" s="1"/>
  <c r="D18" i="20"/>
  <c r="B18" i="20"/>
  <c r="D17" i="20"/>
  <c r="B17" i="20"/>
  <c r="D16" i="20"/>
  <c r="B16" i="20"/>
  <c r="D15" i="20"/>
  <c r="B15" i="20"/>
  <c r="A15" i="20" s="1"/>
  <c r="D14" i="20"/>
  <c r="B14" i="20"/>
  <c r="D13" i="20"/>
  <c r="B13" i="20"/>
  <c r="D12" i="20"/>
  <c r="B12" i="20"/>
  <c r="D11" i="20"/>
  <c r="B11" i="20"/>
  <c r="D10" i="20"/>
  <c r="B10" i="20"/>
  <c r="B9" i="20"/>
  <c r="A24" i="20" l="1"/>
  <c r="A25" i="20"/>
  <c r="A28" i="20"/>
  <c r="A23" i="20"/>
  <c r="A21" i="20"/>
  <c r="A27" i="20"/>
  <c r="A11" i="20"/>
  <c r="D51" i="20"/>
  <c r="D59" i="20"/>
  <c r="D67" i="20"/>
  <c r="D75" i="20"/>
  <c r="D83" i="20"/>
  <c r="D91" i="20"/>
  <c r="D99" i="20"/>
  <c r="D107" i="20"/>
  <c r="D115" i="20"/>
  <c r="A17" i="20"/>
  <c r="E13" i="2"/>
  <c r="F14" i="2"/>
  <c r="C25" i="2" s="1"/>
  <c r="C15" i="2"/>
  <c r="D15" i="2" s="1"/>
  <c r="C16" i="2" s="1"/>
  <c r="E14" i="2"/>
  <c r="F41" i="2"/>
  <c r="C42" i="2"/>
  <c r="D42" i="2" s="1"/>
  <c r="C43" i="2" s="1"/>
  <c r="E41" i="2"/>
  <c r="A10" i="20"/>
  <c r="A13" i="20"/>
  <c r="A16" i="20"/>
  <c r="A20" i="20"/>
  <c r="A22" i="20"/>
  <c r="A26" i="20"/>
  <c r="A12" i="20"/>
  <c r="A14" i="20"/>
  <c r="A18" i="20"/>
  <c r="D43" i="20"/>
  <c r="D9" i="20" s="1"/>
  <c r="A9" i="20" s="1"/>
  <c r="E31" i="19"/>
  <c r="D28" i="19"/>
  <c r="B28" i="19"/>
  <c r="A28" i="19" s="1"/>
  <c r="D27" i="19"/>
  <c r="B27" i="19"/>
  <c r="D26" i="19"/>
  <c r="B26" i="19"/>
  <c r="D25" i="19"/>
  <c r="B25" i="19"/>
  <c r="A25" i="19" s="1"/>
  <c r="D24" i="19"/>
  <c r="B24" i="19"/>
  <c r="D23" i="19"/>
  <c r="B23" i="19"/>
  <c r="D22" i="19"/>
  <c r="B22" i="19"/>
  <c r="D21" i="19"/>
  <c r="B21" i="19"/>
  <c r="A21" i="19"/>
  <c r="D20" i="19"/>
  <c r="B20" i="19"/>
  <c r="A20" i="19" s="1"/>
  <c r="D19" i="19"/>
  <c r="B19" i="19"/>
  <c r="D18" i="19"/>
  <c r="B18" i="19"/>
  <c r="D17" i="19"/>
  <c r="B17" i="19"/>
  <c r="A17" i="19" s="1"/>
  <c r="D16" i="19"/>
  <c r="B16" i="19"/>
  <c r="D15" i="19"/>
  <c r="B15" i="19"/>
  <c r="D14" i="19"/>
  <c r="B14" i="19"/>
  <c r="D13" i="19"/>
  <c r="B13" i="19"/>
  <c r="A13" i="19"/>
  <c r="D12" i="19"/>
  <c r="B12" i="19"/>
  <c r="D11" i="19"/>
  <c r="B11" i="19"/>
  <c r="D10" i="19"/>
  <c r="B10" i="19"/>
  <c r="B9" i="19"/>
  <c r="F20" i="17"/>
  <c r="F20" i="13"/>
  <c r="F14" i="15"/>
  <c r="H193" i="11"/>
  <c r="F193" i="11"/>
  <c r="D193" i="11"/>
  <c r="C193" i="11"/>
  <c r="H192" i="11"/>
  <c r="F192" i="11"/>
  <c r="D192" i="11"/>
  <c r="C192" i="11"/>
  <c r="H191" i="11"/>
  <c r="F191" i="11"/>
  <c r="D191" i="11"/>
  <c r="C191" i="11"/>
  <c r="H190" i="11"/>
  <c r="F190" i="11"/>
  <c r="D190" i="11"/>
  <c r="H185" i="11"/>
  <c r="F185" i="11"/>
  <c r="D185" i="11"/>
  <c r="C185" i="11"/>
  <c r="H184" i="11"/>
  <c r="F184" i="11"/>
  <c r="D184" i="11"/>
  <c r="C184" i="11"/>
  <c r="H183" i="11"/>
  <c r="F183" i="11"/>
  <c r="D183" i="11"/>
  <c r="C183" i="11"/>
  <c r="H182" i="11"/>
  <c r="F182" i="11"/>
  <c r="D182" i="11"/>
  <c r="H177" i="11"/>
  <c r="F177" i="11"/>
  <c r="D177" i="11"/>
  <c r="C177" i="11"/>
  <c r="H176" i="11"/>
  <c r="F176" i="11"/>
  <c r="D176" i="11"/>
  <c r="C176" i="11"/>
  <c r="H175" i="11"/>
  <c r="F175" i="11"/>
  <c r="D175" i="11"/>
  <c r="C175" i="11"/>
  <c r="H174" i="11"/>
  <c r="F174" i="11"/>
  <c r="D174" i="11"/>
  <c r="H169" i="11"/>
  <c r="F169" i="11"/>
  <c r="D169" i="11"/>
  <c r="C169" i="11"/>
  <c r="H168" i="11"/>
  <c r="F168" i="11"/>
  <c r="D168" i="11"/>
  <c r="C168" i="11"/>
  <c r="H167" i="11"/>
  <c r="F167" i="11"/>
  <c r="D167" i="11"/>
  <c r="C167" i="11"/>
  <c r="H166" i="11"/>
  <c r="F166" i="11"/>
  <c r="D166" i="11"/>
  <c r="H161" i="11"/>
  <c r="F161" i="11"/>
  <c r="D161" i="11"/>
  <c r="C161" i="11"/>
  <c r="H160" i="11"/>
  <c r="F160" i="11"/>
  <c r="D160" i="11"/>
  <c r="C160" i="11"/>
  <c r="H159" i="11"/>
  <c r="F159" i="11"/>
  <c r="D159" i="11"/>
  <c r="C159" i="11"/>
  <c r="H158" i="11"/>
  <c r="F158" i="11"/>
  <c r="D158" i="11"/>
  <c r="H153" i="11"/>
  <c r="F153" i="11"/>
  <c r="D153" i="11"/>
  <c r="C153" i="11"/>
  <c r="H152" i="11"/>
  <c r="F152" i="11"/>
  <c r="D152" i="11"/>
  <c r="C152" i="11"/>
  <c r="H151" i="11"/>
  <c r="F151" i="11"/>
  <c r="D151" i="11"/>
  <c r="C151" i="11"/>
  <c r="H150" i="11"/>
  <c r="F150" i="11"/>
  <c r="D150" i="11"/>
  <c r="H145" i="11"/>
  <c r="F145" i="11"/>
  <c r="D145" i="11"/>
  <c r="C145" i="11"/>
  <c r="H144" i="11"/>
  <c r="F144" i="11"/>
  <c r="D144" i="11"/>
  <c r="C144" i="11"/>
  <c r="H143" i="11"/>
  <c r="F143" i="11"/>
  <c r="D143" i="11"/>
  <c r="C143" i="11"/>
  <c r="H142" i="11"/>
  <c r="F142" i="11"/>
  <c r="D142" i="11"/>
  <c r="H137" i="11"/>
  <c r="F137" i="11"/>
  <c r="D137" i="11"/>
  <c r="C137" i="11"/>
  <c r="H136" i="11"/>
  <c r="F136" i="11"/>
  <c r="D136" i="11"/>
  <c r="C136" i="11"/>
  <c r="H135" i="11"/>
  <c r="F135" i="11"/>
  <c r="D135" i="11"/>
  <c r="C135" i="11"/>
  <c r="H134" i="11"/>
  <c r="F134" i="11"/>
  <c r="D134" i="11"/>
  <c r="H129" i="11"/>
  <c r="F129" i="11"/>
  <c r="D129" i="11"/>
  <c r="C129" i="11"/>
  <c r="H128" i="11"/>
  <c r="F128" i="11"/>
  <c r="D128" i="11"/>
  <c r="C128" i="11"/>
  <c r="H127" i="11"/>
  <c r="F127" i="11"/>
  <c r="D127" i="11"/>
  <c r="C127" i="11"/>
  <c r="H126" i="11"/>
  <c r="F126" i="11"/>
  <c r="D126" i="11"/>
  <c r="H121" i="11"/>
  <c r="F121" i="11"/>
  <c r="D121" i="11"/>
  <c r="C121" i="11"/>
  <c r="H120" i="11"/>
  <c r="F120" i="11"/>
  <c r="D120" i="11"/>
  <c r="C120" i="11"/>
  <c r="H119" i="11"/>
  <c r="F119" i="11"/>
  <c r="D119" i="11"/>
  <c r="C119" i="11"/>
  <c r="H118" i="11"/>
  <c r="F118" i="11"/>
  <c r="D118" i="11"/>
  <c r="H113" i="11"/>
  <c r="F113" i="11"/>
  <c r="D113" i="11"/>
  <c r="C113" i="11"/>
  <c r="H112" i="11"/>
  <c r="F112" i="11"/>
  <c r="D112" i="11"/>
  <c r="C112" i="11"/>
  <c r="H111" i="11"/>
  <c r="F111" i="11"/>
  <c r="D111" i="11"/>
  <c r="C111" i="11"/>
  <c r="H110" i="11"/>
  <c r="F110" i="11"/>
  <c r="D110" i="11"/>
  <c r="H105" i="11"/>
  <c r="F105" i="11"/>
  <c r="D105" i="11"/>
  <c r="C105" i="11"/>
  <c r="H104" i="11"/>
  <c r="F104" i="11"/>
  <c r="D104" i="11"/>
  <c r="C104" i="11"/>
  <c r="H103" i="11"/>
  <c r="F103" i="11"/>
  <c r="D103" i="11"/>
  <c r="C103" i="11"/>
  <c r="H102" i="11"/>
  <c r="F102" i="11"/>
  <c r="D102" i="11"/>
  <c r="H97" i="11"/>
  <c r="F97" i="11"/>
  <c r="D97" i="11"/>
  <c r="C97" i="11"/>
  <c r="H96" i="11"/>
  <c r="F96" i="11"/>
  <c r="D96" i="11"/>
  <c r="C96" i="11"/>
  <c r="H95" i="11"/>
  <c r="F95" i="11"/>
  <c r="D95" i="11"/>
  <c r="C95" i="11"/>
  <c r="H94" i="11"/>
  <c r="F94" i="11"/>
  <c r="D94" i="11"/>
  <c r="H89" i="11"/>
  <c r="F89" i="11"/>
  <c r="D89" i="11"/>
  <c r="C89" i="11"/>
  <c r="H88" i="11"/>
  <c r="F88" i="11"/>
  <c r="D88" i="11"/>
  <c r="C88" i="11"/>
  <c r="H87" i="11"/>
  <c r="F87" i="11"/>
  <c r="D87" i="11"/>
  <c r="C87" i="11"/>
  <c r="H86" i="11"/>
  <c r="F86" i="11"/>
  <c r="D86" i="11"/>
  <c r="H81" i="11"/>
  <c r="F81" i="11"/>
  <c r="D81" i="11"/>
  <c r="C81" i="11"/>
  <c r="H80" i="11"/>
  <c r="F80" i="11"/>
  <c r="D80" i="11"/>
  <c r="C80" i="11"/>
  <c r="H79" i="11"/>
  <c r="F79" i="11"/>
  <c r="D79" i="11"/>
  <c r="C79" i="11"/>
  <c r="H78" i="11"/>
  <c r="F78" i="11"/>
  <c r="D78" i="11"/>
  <c r="H73" i="11"/>
  <c r="F73" i="11"/>
  <c r="D73" i="11"/>
  <c r="C73" i="11"/>
  <c r="H72" i="11"/>
  <c r="F72" i="11"/>
  <c r="D72" i="11"/>
  <c r="C72" i="11"/>
  <c r="H71" i="11"/>
  <c r="F71" i="11"/>
  <c r="D71" i="11"/>
  <c r="C71" i="11"/>
  <c r="H70" i="11"/>
  <c r="F70" i="11"/>
  <c r="D70" i="11"/>
  <c r="H65" i="11"/>
  <c r="F65" i="11"/>
  <c r="D65" i="11"/>
  <c r="C65" i="11"/>
  <c r="H64" i="11"/>
  <c r="F64" i="11"/>
  <c r="D64" i="11"/>
  <c r="C64" i="11"/>
  <c r="H63" i="11"/>
  <c r="F63" i="11"/>
  <c r="D63" i="11"/>
  <c r="C63" i="11"/>
  <c r="H62" i="11"/>
  <c r="F62" i="11"/>
  <c r="D62" i="11"/>
  <c r="H57" i="11"/>
  <c r="F57" i="11"/>
  <c r="D57" i="11"/>
  <c r="C57" i="11"/>
  <c r="H56" i="11"/>
  <c r="F56" i="11"/>
  <c r="D56" i="11"/>
  <c r="C56" i="11"/>
  <c r="H55" i="11"/>
  <c r="F55" i="11"/>
  <c r="D55" i="11"/>
  <c r="C55" i="11"/>
  <c r="H54" i="11"/>
  <c r="F54" i="11"/>
  <c r="D54" i="11"/>
  <c r="H49" i="11"/>
  <c r="F49" i="11"/>
  <c r="D49" i="11"/>
  <c r="C49" i="11"/>
  <c r="H48" i="11"/>
  <c r="F48" i="11"/>
  <c r="D48" i="11"/>
  <c r="C48" i="11"/>
  <c r="H47" i="11"/>
  <c r="F47" i="11"/>
  <c r="D47" i="11"/>
  <c r="C47" i="11"/>
  <c r="H46" i="11"/>
  <c r="F46" i="11"/>
  <c r="D46" i="11"/>
  <c r="H41" i="11"/>
  <c r="F41" i="11"/>
  <c r="D41" i="11"/>
  <c r="C41" i="11"/>
  <c r="H40" i="11"/>
  <c r="F40" i="11"/>
  <c r="D40" i="11"/>
  <c r="C40" i="11"/>
  <c r="H39" i="11"/>
  <c r="F39" i="11"/>
  <c r="D39" i="11"/>
  <c r="C39" i="11"/>
  <c r="H38" i="11"/>
  <c r="F38" i="11"/>
  <c r="D38" i="11"/>
  <c r="E31" i="11"/>
  <c r="D28" i="11"/>
  <c r="B28" i="11"/>
  <c r="D27" i="11"/>
  <c r="B27" i="11"/>
  <c r="D26" i="11"/>
  <c r="B26" i="11"/>
  <c r="D25" i="11"/>
  <c r="B25" i="11"/>
  <c r="A25" i="11" s="1"/>
  <c r="D24" i="11"/>
  <c r="B24" i="11"/>
  <c r="D23" i="11"/>
  <c r="B23" i="11"/>
  <c r="D22" i="11"/>
  <c r="B22" i="11"/>
  <c r="D21" i="11"/>
  <c r="B21" i="11"/>
  <c r="A21" i="11" s="1"/>
  <c r="D20" i="11"/>
  <c r="B20" i="11"/>
  <c r="D19" i="11"/>
  <c r="B19" i="11"/>
  <c r="D18" i="11"/>
  <c r="B18" i="11"/>
  <c r="D17" i="11"/>
  <c r="B17" i="11"/>
  <c r="D16" i="11"/>
  <c r="B16" i="11"/>
  <c r="D15" i="11"/>
  <c r="B15" i="11"/>
  <c r="A15" i="11" s="1"/>
  <c r="D14" i="11"/>
  <c r="B14" i="11"/>
  <c r="D13" i="11"/>
  <c r="B13" i="11"/>
  <c r="D12" i="11"/>
  <c r="B12" i="11"/>
  <c r="D11" i="11"/>
  <c r="B11" i="11"/>
  <c r="D10" i="11"/>
  <c r="B10" i="11"/>
  <c r="B9" i="11"/>
  <c r="B28" i="10"/>
  <c r="E31" i="10"/>
  <c r="D27" i="10"/>
  <c r="D26" i="10"/>
  <c r="D25" i="10"/>
  <c r="D24" i="10"/>
  <c r="D23" i="10"/>
  <c r="D22" i="10"/>
  <c r="D17" i="10"/>
  <c r="D16" i="10"/>
  <c r="D15" i="10"/>
  <c r="D14" i="10"/>
  <c r="D13" i="10"/>
  <c r="D12" i="10"/>
  <c r="D11" i="10"/>
  <c r="B27" i="10"/>
  <c r="B26" i="10"/>
  <c r="B25" i="10"/>
  <c r="B24" i="10"/>
  <c r="B23" i="10"/>
  <c r="B22" i="10"/>
  <c r="B21" i="10"/>
  <c r="B20" i="10"/>
  <c r="B19" i="10"/>
  <c r="D10" i="10"/>
  <c r="H193" i="10"/>
  <c r="F193" i="10"/>
  <c r="D193" i="10"/>
  <c r="C193" i="10"/>
  <c r="H192" i="10"/>
  <c r="F192" i="10"/>
  <c r="D192" i="10"/>
  <c r="C192" i="10"/>
  <c r="H191" i="10"/>
  <c r="F191" i="10"/>
  <c r="D191" i="10"/>
  <c r="C191" i="10"/>
  <c r="H190" i="10"/>
  <c r="F190" i="10"/>
  <c r="D190" i="10"/>
  <c r="H185" i="10"/>
  <c r="F185" i="10"/>
  <c r="D185" i="10"/>
  <c r="C185" i="10"/>
  <c r="H184" i="10"/>
  <c r="F184" i="10"/>
  <c r="D184" i="10"/>
  <c r="C184" i="10"/>
  <c r="H183" i="10"/>
  <c r="F183" i="10"/>
  <c r="D183" i="10"/>
  <c r="C183" i="10"/>
  <c r="H182" i="10"/>
  <c r="F182" i="10"/>
  <c r="D182" i="10"/>
  <c r="H177" i="10"/>
  <c r="F177" i="10"/>
  <c r="D177" i="10"/>
  <c r="C177" i="10"/>
  <c r="H176" i="10"/>
  <c r="F176" i="10"/>
  <c r="D176" i="10"/>
  <c r="C176" i="10"/>
  <c r="H175" i="10"/>
  <c r="F175" i="10"/>
  <c r="D175" i="10"/>
  <c r="C175" i="10"/>
  <c r="H174" i="10"/>
  <c r="F174" i="10"/>
  <c r="D174" i="10"/>
  <c r="H169" i="10"/>
  <c r="F169" i="10"/>
  <c r="D169" i="10"/>
  <c r="C169" i="10"/>
  <c r="H168" i="10"/>
  <c r="F168" i="10"/>
  <c r="D168" i="10"/>
  <c r="C168" i="10"/>
  <c r="H167" i="10"/>
  <c r="F167" i="10"/>
  <c r="D167" i="10"/>
  <c r="C167" i="10"/>
  <c r="H166" i="10"/>
  <c r="F166" i="10"/>
  <c r="D166" i="10"/>
  <c r="H161" i="10"/>
  <c r="F161" i="10"/>
  <c r="D161" i="10"/>
  <c r="C161" i="10"/>
  <c r="H160" i="10"/>
  <c r="F160" i="10"/>
  <c r="D160" i="10"/>
  <c r="C160" i="10"/>
  <c r="H159" i="10"/>
  <c r="F159" i="10"/>
  <c r="D159" i="10"/>
  <c r="C159" i="10"/>
  <c r="H158" i="10"/>
  <c r="F158" i="10"/>
  <c r="D158" i="10"/>
  <c r="H153" i="10"/>
  <c r="F153" i="10"/>
  <c r="D153" i="10"/>
  <c r="C153" i="10"/>
  <c r="H152" i="10"/>
  <c r="F152" i="10"/>
  <c r="D152" i="10"/>
  <c r="C152" i="10"/>
  <c r="H151" i="10"/>
  <c r="F151" i="10"/>
  <c r="D151" i="10"/>
  <c r="C151" i="10"/>
  <c r="H150" i="10"/>
  <c r="F150" i="10"/>
  <c r="D150" i="10"/>
  <c r="H145" i="10"/>
  <c r="F145" i="10"/>
  <c r="D145" i="10"/>
  <c r="C145" i="10"/>
  <c r="H144" i="10"/>
  <c r="F144" i="10"/>
  <c r="D144" i="10"/>
  <c r="C144" i="10"/>
  <c r="H143" i="10"/>
  <c r="F143" i="10"/>
  <c r="D143" i="10"/>
  <c r="C143" i="10"/>
  <c r="H142" i="10"/>
  <c r="F142" i="10"/>
  <c r="D142" i="10"/>
  <c r="H137" i="10"/>
  <c r="F137" i="10"/>
  <c r="D137" i="10"/>
  <c r="C137" i="10"/>
  <c r="H136" i="10"/>
  <c r="F136" i="10"/>
  <c r="D136" i="10"/>
  <c r="C136" i="10"/>
  <c r="H135" i="10"/>
  <c r="F135" i="10"/>
  <c r="D135" i="10"/>
  <c r="C135" i="10"/>
  <c r="H134" i="10"/>
  <c r="F134" i="10"/>
  <c r="D134" i="10"/>
  <c r="H129" i="10"/>
  <c r="F129" i="10"/>
  <c r="D129" i="10"/>
  <c r="C129" i="10"/>
  <c r="H128" i="10"/>
  <c r="F128" i="10"/>
  <c r="D128" i="10"/>
  <c r="C128" i="10"/>
  <c r="H127" i="10"/>
  <c r="F127" i="10"/>
  <c r="D127" i="10"/>
  <c r="C127" i="10"/>
  <c r="H126" i="10"/>
  <c r="F126" i="10"/>
  <c r="D126" i="10"/>
  <c r="H121" i="10"/>
  <c r="F121" i="10"/>
  <c r="D121" i="10"/>
  <c r="C121" i="10"/>
  <c r="H120" i="10"/>
  <c r="F120" i="10"/>
  <c r="D120" i="10"/>
  <c r="C120" i="10"/>
  <c r="H119" i="10"/>
  <c r="F119" i="10"/>
  <c r="D119" i="10"/>
  <c r="C119" i="10"/>
  <c r="H118" i="10"/>
  <c r="F118" i="10"/>
  <c r="D118" i="10"/>
  <c r="A19" i="19" l="1"/>
  <c r="A27" i="19"/>
  <c r="A23" i="19"/>
  <c r="A24" i="19"/>
  <c r="D51" i="11"/>
  <c r="D67" i="11"/>
  <c r="D83" i="11"/>
  <c r="D115" i="11"/>
  <c r="D131" i="11"/>
  <c r="D147" i="11"/>
  <c r="D163" i="11"/>
  <c r="D179" i="11"/>
  <c r="D195" i="11"/>
  <c r="D139" i="10"/>
  <c r="D21" i="10" s="1"/>
  <c r="A21" i="10" s="1"/>
  <c r="D155" i="10"/>
  <c r="D171" i="10"/>
  <c r="A17" i="11"/>
  <c r="A18" i="11"/>
  <c r="A20" i="11"/>
  <c r="A27" i="11"/>
  <c r="A28" i="11"/>
  <c r="D59" i="11"/>
  <c r="D75" i="11"/>
  <c r="D91" i="11"/>
  <c r="D107" i="11"/>
  <c r="D123" i="11"/>
  <c r="A11" i="11"/>
  <c r="A12" i="11"/>
  <c r="A14" i="11"/>
  <c r="D187" i="10"/>
  <c r="A23" i="11"/>
  <c r="A11" i="19"/>
  <c r="A12" i="19"/>
  <c r="D139" i="11"/>
  <c r="D155" i="11"/>
  <c r="A24" i="11"/>
  <c r="D99" i="11"/>
  <c r="D171" i="11"/>
  <c r="D187" i="11"/>
  <c r="A15" i="19"/>
  <c r="A16" i="19"/>
  <c r="F15" i="2"/>
  <c r="D16" i="2"/>
  <c r="E15" i="2"/>
  <c r="D43" i="2"/>
  <c r="E42" i="2"/>
  <c r="A10" i="11"/>
  <c r="A13" i="11"/>
  <c r="A19" i="11"/>
  <c r="A22" i="19"/>
  <c r="A26" i="19"/>
  <c r="D29" i="20"/>
  <c r="D30" i="20" s="1"/>
  <c r="A16" i="11"/>
  <c r="A22" i="11"/>
  <c r="A26" i="11"/>
  <c r="A10" i="19"/>
  <c r="A14" i="19"/>
  <c r="A18" i="19"/>
  <c r="D43" i="11"/>
  <c r="D9" i="11" s="1"/>
  <c r="A9" i="11" s="1"/>
  <c r="D123" i="10"/>
  <c r="D19" i="10" s="1"/>
  <c r="A19" i="10" s="1"/>
  <c r="A27" i="10"/>
  <c r="A26" i="10"/>
  <c r="A25" i="10"/>
  <c r="A24" i="10"/>
  <c r="A23" i="10"/>
  <c r="A22" i="10"/>
  <c r="D131" i="10"/>
  <c r="D20" i="10" s="1"/>
  <c r="A20" i="10" s="1"/>
  <c r="D147" i="10"/>
  <c r="D163" i="10"/>
  <c r="D179" i="10"/>
  <c r="D195" i="10"/>
  <c r="D28" i="10" s="1"/>
  <c r="A28" i="10" s="1"/>
  <c r="H43" i="5"/>
  <c r="H42" i="5"/>
  <c r="H41" i="5"/>
  <c r="B11" i="21"/>
  <c r="B10" i="21"/>
  <c r="B9" i="21"/>
  <c r="D2" i="21"/>
  <c r="D1" i="21"/>
  <c r="D113" i="19"/>
  <c r="C113" i="19"/>
  <c r="D112" i="19"/>
  <c r="C112" i="19"/>
  <c r="D111" i="19"/>
  <c r="C111" i="19"/>
  <c r="D110" i="19"/>
  <c r="C110" i="19"/>
  <c r="D105" i="19"/>
  <c r="C105" i="19"/>
  <c r="D104" i="19"/>
  <c r="C104" i="19"/>
  <c r="D103" i="19"/>
  <c r="C103" i="19"/>
  <c r="D102" i="19"/>
  <c r="C102" i="19"/>
  <c r="D97" i="19"/>
  <c r="C97" i="19"/>
  <c r="D96" i="19"/>
  <c r="C96" i="19"/>
  <c r="D95" i="19"/>
  <c r="C95" i="19"/>
  <c r="D94" i="19"/>
  <c r="C94" i="19"/>
  <c r="D89" i="19"/>
  <c r="C89" i="19"/>
  <c r="D88" i="19"/>
  <c r="C88" i="19"/>
  <c r="D87" i="19"/>
  <c r="C87" i="19"/>
  <c r="D86" i="19"/>
  <c r="C86" i="19"/>
  <c r="D81" i="19"/>
  <c r="C81" i="19"/>
  <c r="D80" i="19"/>
  <c r="C80" i="19"/>
  <c r="D79" i="19"/>
  <c r="C79" i="19"/>
  <c r="D78" i="19"/>
  <c r="C78" i="19"/>
  <c r="D73" i="19"/>
  <c r="C73" i="19"/>
  <c r="D72" i="19"/>
  <c r="C72" i="19"/>
  <c r="D71" i="19"/>
  <c r="C71" i="19"/>
  <c r="D70" i="19"/>
  <c r="C70" i="19"/>
  <c r="D65" i="19"/>
  <c r="C65" i="19"/>
  <c r="D64" i="19"/>
  <c r="C64" i="19"/>
  <c r="D63" i="19"/>
  <c r="C63" i="19"/>
  <c r="D62" i="19"/>
  <c r="C62" i="19"/>
  <c r="D57" i="19"/>
  <c r="C57" i="19"/>
  <c r="D56" i="19"/>
  <c r="C56" i="19"/>
  <c r="D55" i="19"/>
  <c r="C55" i="19"/>
  <c r="D54" i="19"/>
  <c r="C54" i="19"/>
  <c r="D49" i="19"/>
  <c r="C49" i="19"/>
  <c r="D48" i="19"/>
  <c r="C48" i="19"/>
  <c r="D47" i="19"/>
  <c r="C47" i="19"/>
  <c r="D46" i="19"/>
  <c r="C46" i="19"/>
  <c r="C38" i="19"/>
  <c r="C41" i="19"/>
  <c r="C40" i="19"/>
  <c r="C39" i="19"/>
  <c r="D41" i="19"/>
  <c r="D40" i="19"/>
  <c r="D39" i="19"/>
  <c r="D38" i="19"/>
  <c r="F113" i="19"/>
  <c r="F112" i="19"/>
  <c r="F111" i="19"/>
  <c r="F110" i="19"/>
  <c r="F105" i="19"/>
  <c r="F104" i="19"/>
  <c r="F103" i="19"/>
  <c r="F102" i="19"/>
  <c r="F97" i="19"/>
  <c r="F96" i="19"/>
  <c r="F95" i="19"/>
  <c r="F94" i="19"/>
  <c r="D99" i="19" s="1"/>
  <c r="F89" i="19"/>
  <c r="F88" i="19"/>
  <c r="F87" i="19"/>
  <c r="F86" i="19"/>
  <c r="F81" i="19"/>
  <c r="F80" i="19"/>
  <c r="F79" i="19"/>
  <c r="F78" i="19"/>
  <c r="F73" i="19"/>
  <c r="F72" i="19"/>
  <c r="F71" i="19"/>
  <c r="F70" i="19"/>
  <c r="D75" i="19" s="1"/>
  <c r="F65" i="19"/>
  <c r="F64" i="19"/>
  <c r="F63" i="19"/>
  <c r="F62" i="19"/>
  <c r="F57" i="19"/>
  <c r="F56" i="19"/>
  <c r="F55" i="19"/>
  <c r="F54" i="19"/>
  <c r="D59" i="19" s="1"/>
  <c r="F49" i="19"/>
  <c r="F48" i="19"/>
  <c r="F47" i="19"/>
  <c r="F46" i="19"/>
  <c r="F41" i="19"/>
  <c r="F40" i="19"/>
  <c r="F39" i="19"/>
  <c r="F38" i="19"/>
  <c r="D157" i="6"/>
  <c r="C49" i="18"/>
  <c r="C48" i="18"/>
  <c r="C47" i="18"/>
  <c r="D40" i="18"/>
  <c r="C40" i="18"/>
  <c r="D39" i="18"/>
  <c r="C39" i="18"/>
  <c r="D38" i="18"/>
  <c r="C38" i="18"/>
  <c r="D37" i="18"/>
  <c r="C37" i="18"/>
  <c r="D36" i="18"/>
  <c r="C36" i="18"/>
  <c r="D26" i="18"/>
  <c r="C26" i="18"/>
  <c r="B46" i="18"/>
  <c r="B35" i="18"/>
  <c r="C16" i="18" s="1"/>
  <c r="B25" i="18"/>
  <c r="F40" i="18"/>
  <c r="F39" i="18"/>
  <c r="F38" i="18"/>
  <c r="F37" i="18"/>
  <c r="F26" i="18"/>
  <c r="C17" i="18"/>
  <c r="C15" i="18"/>
  <c r="C11" i="18"/>
  <c r="C10" i="18"/>
  <c r="C9" i="18"/>
  <c r="D49" i="17"/>
  <c r="D48" i="17"/>
  <c r="D47" i="17"/>
  <c r="D46" i="17"/>
  <c r="D45" i="17"/>
  <c r="C49" i="17"/>
  <c r="C48" i="17"/>
  <c r="C47" i="17"/>
  <c r="C46" i="17"/>
  <c r="C45" i="17"/>
  <c r="B44" i="17"/>
  <c r="C17" i="17" s="1"/>
  <c r="D38" i="17"/>
  <c r="D37" i="17"/>
  <c r="D36" i="17"/>
  <c r="D35" i="17"/>
  <c r="D34" i="17"/>
  <c r="C38" i="17"/>
  <c r="C37" i="17"/>
  <c r="C36" i="17"/>
  <c r="C35" i="17"/>
  <c r="C34" i="17"/>
  <c r="B33" i="17"/>
  <c r="C16" i="17" s="1"/>
  <c r="D26" i="17"/>
  <c r="C26" i="17"/>
  <c r="B25" i="17"/>
  <c r="F49" i="17"/>
  <c r="F48" i="17"/>
  <c r="F47" i="17"/>
  <c r="F46" i="17"/>
  <c r="F45" i="17"/>
  <c r="F38" i="17"/>
  <c r="F37" i="17"/>
  <c r="F36" i="17"/>
  <c r="F35" i="17"/>
  <c r="F34" i="17"/>
  <c r="F26" i="17"/>
  <c r="E28" i="17" s="1"/>
  <c r="E15" i="17" s="1"/>
  <c r="F15" i="17" s="1"/>
  <c r="C15" i="17"/>
  <c r="C11" i="17"/>
  <c r="C10" i="17"/>
  <c r="C9" i="17"/>
  <c r="B43" i="5"/>
  <c r="B42" i="5"/>
  <c r="B41" i="5"/>
  <c r="D67" i="19" l="1"/>
  <c r="D91" i="19"/>
  <c r="E43" i="2"/>
  <c r="C51" i="2"/>
  <c r="E42" i="18"/>
  <c r="E16" i="18" s="1"/>
  <c r="F16" i="18" s="1"/>
  <c r="D29" i="11"/>
  <c r="D30" i="11" s="1"/>
  <c r="C17" i="2"/>
  <c r="D17" i="2" s="1"/>
  <c r="E30" i="18"/>
  <c r="E15" i="18" s="1"/>
  <c r="F15" i="18" s="1"/>
  <c r="E40" i="17"/>
  <c r="E16" i="17" s="1"/>
  <c r="F16" i="17" s="1"/>
  <c r="D107" i="19"/>
  <c r="E51" i="17"/>
  <c r="E17" i="17" s="1"/>
  <c r="F17" i="17" s="1"/>
  <c r="E17" i="18"/>
  <c r="F17" i="18" s="1"/>
  <c r="D83" i="19"/>
  <c r="D115" i="19"/>
  <c r="D51" i="19"/>
  <c r="D43" i="19"/>
  <c r="D9" i="19" s="1"/>
  <c r="A9" i="19" s="1"/>
  <c r="D29" i="19" s="1"/>
  <c r="D30" i="19" s="1"/>
  <c r="D164" i="6"/>
  <c r="D180" i="6"/>
  <c r="D173" i="6"/>
  <c r="D149" i="6"/>
  <c r="D140" i="6"/>
  <c r="D131" i="6"/>
  <c r="H12" i="5"/>
  <c r="H11" i="5"/>
  <c r="H10" i="5"/>
  <c r="E17" i="2" l="1"/>
  <c r="C27" i="2"/>
  <c r="F18" i="17"/>
  <c r="F18" i="18"/>
  <c r="E19" i="18" s="1"/>
  <c r="E11" i="18" s="1"/>
  <c r="F43" i="5" s="1"/>
  <c r="E41" i="5"/>
  <c r="E43" i="5"/>
  <c r="E42" i="5"/>
  <c r="E19" i="17"/>
  <c r="E10" i="17" s="1"/>
  <c r="D42" i="5" s="1"/>
  <c r="B10" i="10"/>
  <c r="H54" i="15"/>
  <c r="H53" i="15"/>
  <c r="H52" i="15"/>
  <c r="F54" i="15"/>
  <c r="F53" i="15"/>
  <c r="F52" i="15"/>
  <c r="F44" i="15"/>
  <c r="F43" i="15"/>
  <c r="F41" i="15"/>
  <c r="F40" i="15"/>
  <c r="F39" i="15"/>
  <c r="F38" i="15"/>
  <c r="F37" i="15"/>
  <c r="H44" i="15"/>
  <c r="H43" i="15"/>
  <c r="H41" i="15"/>
  <c r="H40" i="15"/>
  <c r="H39" i="15"/>
  <c r="H38" i="15"/>
  <c r="H37" i="15"/>
  <c r="F26" i="9"/>
  <c r="F23" i="9"/>
  <c r="F22" i="9"/>
  <c r="F21" i="9"/>
  <c r="F20" i="9"/>
  <c r="F19" i="9"/>
  <c r="F18" i="9"/>
  <c r="F15" i="9"/>
  <c r="D2" i="14"/>
  <c r="D1" i="14"/>
  <c r="E5" i="7"/>
  <c r="C11" i="21" s="1"/>
  <c r="D11" i="21" s="1"/>
  <c r="E4" i="7"/>
  <c r="C10" i="21" s="1"/>
  <c r="D10" i="21" s="1"/>
  <c r="E3" i="7"/>
  <c r="C9" i="21" s="1"/>
  <c r="D9" i="21" s="1"/>
  <c r="B11" i="14"/>
  <c r="C11" i="14" s="1"/>
  <c r="D11" i="14" s="1"/>
  <c r="B10" i="14"/>
  <c r="C10" i="14" s="1"/>
  <c r="D10" i="14" s="1"/>
  <c r="B9" i="14"/>
  <c r="C9" i="14" s="1"/>
  <c r="D9" i="14" s="1"/>
  <c r="C11" i="13"/>
  <c r="C10" i="13"/>
  <c r="C9" i="13"/>
  <c r="B12" i="5"/>
  <c r="B11" i="5"/>
  <c r="B10" i="5"/>
  <c r="C50" i="13"/>
  <c r="C49" i="13"/>
  <c r="C48" i="13"/>
  <c r="C47" i="13"/>
  <c r="C46" i="13"/>
  <c r="B45" i="13"/>
  <c r="C17" i="13" s="1"/>
  <c r="D39" i="13"/>
  <c r="F39" i="13" s="1"/>
  <c r="D38" i="13"/>
  <c r="F38" i="13" s="1"/>
  <c r="D37" i="13"/>
  <c r="F37" i="13" s="1"/>
  <c r="D36" i="13"/>
  <c r="F36" i="13" s="1"/>
  <c r="D35" i="13"/>
  <c r="F35" i="13" s="1"/>
  <c r="C39" i="13"/>
  <c r="C38" i="13"/>
  <c r="C37" i="13"/>
  <c r="C36" i="13"/>
  <c r="C35" i="13"/>
  <c r="B34" i="13"/>
  <c r="C16" i="13" s="1"/>
  <c r="D27" i="13"/>
  <c r="F27" i="13" s="1"/>
  <c r="D26" i="13"/>
  <c r="F26" i="13" s="1"/>
  <c r="C27" i="13"/>
  <c r="C26" i="13"/>
  <c r="B25" i="13"/>
  <c r="C15" i="13" s="1"/>
  <c r="D126" i="6"/>
  <c r="D117" i="6"/>
  <c r="D108" i="6"/>
  <c r="E5" i="4"/>
  <c r="E4" i="4"/>
  <c r="E3" i="4"/>
  <c r="E2" i="4"/>
  <c r="B18" i="10"/>
  <c r="B17" i="10"/>
  <c r="B16" i="10"/>
  <c r="B15" i="10"/>
  <c r="B14" i="10"/>
  <c r="B13" i="10"/>
  <c r="B12" i="10"/>
  <c r="B11" i="10"/>
  <c r="B9" i="10"/>
  <c r="H113" i="10"/>
  <c r="F113" i="10"/>
  <c r="D113" i="10"/>
  <c r="C113" i="10"/>
  <c r="H112" i="10"/>
  <c r="F112" i="10"/>
  <c r="D112" i="10"/>
  <c r="C112" i="10"/>
  <c r="H111" i="10"/>
  <c r="F111" i="10"/>
  <c r="D111" i="10"/>
  <c r="C111" i="10"/>
  <c r="H110" i="10"/>
  <c r="F110" i="10"/>
  <c r="D110" i="10"/>
  <c r="H105" i="10"/>
  <c r="F105" i="10"/>
  <c r="D105" i="10"/>
  <c r="C105" i="10"/>
  <c r="H104" i="10"/>
  <c r="F104" i="10"/>
  <c r="D104" i="10"/>
  <c r="C104" i="10"/>
  <c r="H103" i="10"/>
  <c r="F103" i="10"/>
  <c r="D103" i="10"/>
  <c r="C103" i="10"/>
  <c r="H102" i="10"/>
  <c r="F102" i="10"/>
  <c r="D102" i="10"/>
  <c r="H97" i="10"/>
  <c r="F97" i="10"/>
  <c r="D97" i="10"/>
  <c r="C97" i="10"/>
  <c r="H96" i="10"/>
  <c r="F96" i="10"/>
  <c r="D96" i="10"/>
  <c r="C96" i="10"/>
  <c r="H95" i="10"/>
  <c r="F95" i="10"/>
  <c r="D95" i="10"/>
  <c r="C95" i="10"/>
  <c r="H94" i="10"/>
  <c r="F94" i="10"/>
  <c r="D94" i="10"/>
  <c r="H89" i="10"/>
  <c r="F89" i="10"/>
  <c r="D89" i="10"/>
  <c r="C89" i="10"/>
  <c r="H88" i="10"/>
  <c r="F88" i="10"/>
  <c r="D88" i="10"/>
  <c r="C88" i="10"/>
  <c r="H87" i="10"/>
  <c r="F87" i="10"/>
  <c r="D87" i="10"/>
  <c r="C87" i="10"/>
  <c r="H86" i="10"/>
  <c r="F86" i="10"/>
  <c r="D86" i="10"/>
  <c r="H81" i="10"/>
  <c r="F81" i="10"/>
  <c r="D81" i="10"/>
  <c r="C81" i="10"/>
  <c r="H80" i="10"/>
  <c r="F80" i="10"/>
  <c r="D80" i="10"/>
  <c r="C80" i="10"/>
  <c r="H79" i="10"/>
  <c r="F79" i="10"/>
  <c r="D79" i="10"/>
  <c r="C79" i="10"/>
  <c r="H78" i="10"/>
  <c r="F78" i="10"/>
  <c r="D78" i="10"/>
  <c r="H73" i="10"/>
  <c r="F73" i="10"/>
  <c r="D73" i="10"/>
  <c r="C73" i="10"/>
  <c r="H72" i="10"/>
  <c r="F72" i="10"/>
  <c r="D72" i="10"/>
  <c r="C72" i="10"/>
  <c r="H71" i="10"/>
  <c r="F71" i="10"/>
  <c r="D71" i="10"/>
  <c r="C71" i="10"/>
  <c r="H70" i="10"/>
  <c r="F70" i="10"/>
  <c r="D70" i="10"/>
  <c r="H65" i="10"/>
  <c r="F65" i="10"/>
  <c r="D65" i="10"/>
  <c r="C65" i="10"/>
  <c r="H64" i="10"/>
  <c r="F64" i="10"/>
  <c r="D64" i="10"/>
  <c r="C64" i="10"/>
  <c r="H63" i="10"/>
  <c r="F63" i="10"/>
  <c r="D63" i="10"/>
  <c r="C63" i="10"/>
  <c r="H62" i="10"/>
  <c r="F62" i="10"/>
  <c r="D62" i="10"/>
  <c r="H57" i="10"/>
  <c r="F57" i="10"/>
  <c r="D57" i="10"/>
  <c r="C57" i="10"/>
  <c r="H56" i="10"/>
  <c r="F56" i="10"/>
  <c r="D56" i="10"/>
  <c r="C56" i="10"/>
  <c r="H55" i="10"/>
  <c r="F55" i="10"/>
  <c r="D55" i="10"/>
  <c r="C55" i="10"/>
  <c r="H54" i="10"/>
  <c r="F54" i="10"/>
  <c r="D54" i="10"/>
  <c r="H49" i="10"/>
  <c r="F49" i="10"/>
  <c r="D49" i="10"/>
  <c r="C49" i="10"/>
  <c r="H48" i="10"/>
  <c r="F48" i="10"/>
  <c r="D48" i="10"/>
  <c r="C48" i="10"/>
  <c r="H47" i="10"/>
  <c r="F47" i="10"/>
  <c r="D47" i="10"/>
  <c r="C47" i="10"/>
  <c r="H46" i="10"/>
  <c r="F46" i="10"/>
  <c r="D46" i="10"/>
  <c r="H41" i="10"/>
  <c r="H40" i="10"/>
  <c r="H39" i="10"/>
  <c r="H38" i="10"/>
  <c r="C41" i="10"/>
  <c r="C40" i="10"/>
  <c r="C39" i="10"/>
  <c r="D41" i="10"/>
  <c r="F41" i="10" s="1"/>
  <c r="D40" i="10"/>
  <c r="F40" i="10" s="1"/>
  <c r="D39" i="10"/>
  <c r="F39" i="10" s="1"/>
  <c r="D38" i="10"/>
  <c r="F38" i="10" s="1"/>
  <c r="D54" i="15"/>
  <c r="D53" i="15"/>
  <c r="D52" i="15"/>
  <c r="D51" i="15"/>
  <c r="C54" i="15"/>
  <c r="C53" i="15"/>
  <c r="C52" i="15"/>
  <c r="C51" i="15"/>
  <c r="B50" i="15"/>
  <c r="C11" i="15" s="1"/>
  <c r="D44" i="15"/>
  <c r="D43" i="15"/>
  <c r="D42" i="15"/>
  <c r="D41" i="15"/>
  <c r="D40" i="15"/>
  <c r="D39" i="15"/>
  <c r="D38" i="15"/>
  <c r="D37" i="15"/>
  <c r="D36" i="15"/>
  <c r="C44" i="15"/>
  <c r="C43" i="15"/>
  <c r="C42" i="15"/>
  <c r="C41" i="15"/>
  <c r="C40" i="15"/>
  <c r="C39" i="15"/>
  <c r="C38" i="15"/>
  <c r="C37" i="15"/>
  <c r="C36" i="15"/>
  <c r="B35" i="15"/>
  <c r="C10" i="15" s="1"/>
  <c r="D29" i="15"/>
  <c r="H29" i="15" s="1"/>
  <c r="H28" i="15"/>
  <c r="D27" i="15"/>
  <c r="H27" i="15" s="1"/>
  <c r="D26" i="15"/>
  <c r="H26" i="15" s="1"/>
  <c r="D25" i="15"/>
  <c r="H25" i="15" s="1"/>
  <c r="D24" i="15"/>
  <c r="H24" i="15" s="1"/>
  <c r="D23" i="15"/>
  <c r="D22" i="15"/>
  <c r="H22" i="15" s="1"/>
  <c r="D21" i="15"/>
  <c r="D20" i="15"/>
  <c r="C29" i="15"/>
  <c r="C28" i="15"/>
  <c r="C27" i="15"/>
  <c r="C26" i="15"/>
  <c r="C25" i="15"/>
  <c r="C24" i="15"/>
  <c r="C23" i="15"/>
  <c r="C22" i="15"/>
  <c r="C21" i="15"/>
  <c r="C20" i="15"/>
  <c r="B19" i="15"/>
  <c r="C9" i="15" s="1"/>
  <c r="B8" i="9"/>
  <c r="D9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A55" i="9"/>
  <c r="A56" i="9"/>
  <c r="A57" i="9"/>
  <c r="A54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102" i="6"/>
  <c r="D97" i="6"/>
  <c r="D83" i="6"/>
  <c r="D77" i="6"/>
  <c r="D69" i="6"/>
  <c r="D62" i="6"/>
  <c r="D50" i="6"/>
  <c r="D31" i="6"/>
  <c r="D164" i="3"/>
  <c r="E10" i="18" l="1"/>
  <c r="F42" i="5" s="1"/>
  <c r="E41" i="13"/>
  <c r="E46" i="15"/>
  <c r="E10" i="15" s="1"/>
  <c r="F10" i="15" s="1"/>
  <c r="E9" i="18"/>
  <c r="F41" i="5" s="1"/>
  <c r="E17" i="13"/>
  <c r="F17" i="13" s="1"/>
  <c r="E11" i="17"/>
  <c r="D43" i="5" s="1"/>
  <c r="E9" i="17"/>
  <c r="D41" i="5" s="1"/>
  <c r="F25" i="15"/>
  <c r="F27" i="15"/>
  <c r="F29" i="15"/>
  <c r="F22" i="15"/>
  <c r="F24" i="15"/>
  <c r="F26" i="15"/>
  <c r="F28" i="15"/>
  <c r="D67" i="10"/>
  <c r="D83" i="10"/>
  <c r="D99" i="10"/>
  <c r="D115" i="10"/>
  <c r="D18" i="10" s="1"/>
  <c r="E29" i="13"/>
  <c r="E15" i="13" s="1"/>
  <c r="F15" i="13" s="1"/>
  <c r="D51" i="10"/>
  <c r="A12" i="10"/>
  <c r="A14" i="10"/>
  <c r="A16" i="10"/>
  <c r="A18" i="10"/>
  <c r="D59" i="10"/>
  <c r="A11" i="10" s="1"/>
  <c r="A10" i="10"/>
  <c r="D75" i="10"/>
  <c r="A13" i="10" s="1"/>
  <c r="D91" i="10"/>
  <c r="A15" i="10" s="1"/>
  <c r="D107" i="10"/>
  <c r="A17" i="10" s="1"/>
  <c r="D43" i="10"/>
  <c r="E56" i="15"/>
  <c r="E11" i="15" s="1"/>
  <c r="F11" i="15" s="1"/>
  <c r="E33" i="9"/>
  <c r="D163" i="3"/>
  <c r="D154" i="3"/>
  <c r="E31" i="15" l="1"/>
  <c r="E9" i="15" s="1"/>
  <c r="F9" i="15" s="1"/>
  <c r="F12" i="15" s="1"/>
  <c r="E13" i="15" s="1"/>
  <c r="D9" i="10"/>
  <c r="A9" i="10" s="1"/>
  <c r="D29" i="10" s="1"/>
  <c r="E16" i="13"/>
  <c r="F16" i="13" s="1"/>
  <c r="F18" i="13" s="1"/>
  <c r="H83" i="3"/>
  <c r="G129" i="3"/>
  <c r="G128" i="3"/>
  <c r="G127" i="3"/>
  <c r="G126" i="3"/>
  <c r="G125" i="3"/>
  <c r="G124" i="3"/>
  <c r="G123" i="3"/>
  <c r="G122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93" i="3"/>
  <c r="H92" i="3"/>
  <c r="H91" i="3"/>
  <c r="H90" i="3"/>
  <c r="H82" i="3"/>
  <c r="G130" i="3" l="1"/>
  <c r="G132" i="3" s="1"/>
  <c r="E19" i="13"/>
  <c r="E9" i="13" s="1"/>
  <c r="F10" i="5" s="1"/>
  <c r="D30" i="10"/>
  <c r="G85" i="3"/>
  <c r="G114" i="3"/>
  <c r="G116" i="3" s="1"/>
  <c r="G43" i="5"/>
  <c r="G42" i="5"/>
  <c r="G41" i="5"/>
  <c r="D12" i="5"/>
  <c r="D11" i="5"/>
  <c r="D10" i="5"/>
  <c r="H93" i="3"/>
  <c r="H84" i="3"/>
  <c r="H85" i="3" s="1"/>
  <c r="E10" i="13" l="1"/>
  <c r="F11" i="5" s="1"/>
  <c r="E11" i="13"/>
  <c r="F12" i="5" s="1"/>
  <c r="E12" i="5"/>
  <c r="E10" i="5"/>
  <c r="G10" i="5" s="1"/>
  <c r="E11" i="5"/>
  <c r="G95" i="3"/>
  <c r="E32" i="9" s="1"/>
  <c r="E34" i="9" s="1"/>
  <c r="G11" i="5" l="1"/>
  <c r="G12" i="5"/>
  <c r="E137" i="3"/>
  <c r="E141" i="3" s="1"/>
  <c r="E146" i="3" l="1"/>
  <c r="D157" i="3"/>
  <c r="D158" i="3"/>
  <c r="E152" i="3"/>
  <c r="E151" i="3"/>
  <c r="E148" i="3"/>
  <c r="E149" i="3"/>
  <c r="E150" i="3"/>
  <c r="E145" i="3"/>
  <c r="E147" i="3"/>
  <c r="E153" i="3"/>
  <c r="D159" i="3" l="1"/>
</calcChain>
</file>

<file path=xl/comments1.xml><?xml version="1.0" encoding="utf-8"?>
<comments xmlns="http://schemas.openxmlformats.org/spreadsheetml/2006/main">
  <authors>
    <author>Leonardo Galvão</author>
    <author>andreia</author>
    <author>jmi</author>
    <author>Jrvaz</author>
    <author>igor</author>
  </authors>
  <commentList>
    <comment ref="D82" authorId="0">
      <text>
        <r>
          <rPr>
            <sz val="8"/>
            <color indexed="81"/>
            <rFont val="Tahoma"/>
            <family val="2"/>
          </rPr>
          <t xml:space="preserve">A comunicação é feita através de uma interface entre o ator e o sistema onde essa interface não é implementada através de um protocolo de comunicação, mas uma chamada direta a um método da fachada.
</t>
        </r>
      </text>
    </comment>
    <comment ref="G82" authorId="1">
      <text>
        <r>
          <rPr>
            <sz val="8"/>
            <color indexed="81"/>
            <rFont val="Tahoma"/>
            <family val="2"/>
          </rPr>
          <t xml:space="preserve">Número total de atores </t>
        </r>
        <r>
          <rPr>
            <i/>
            <sz val="8"/>
            <color indexed="81"/>
            <rFont val="Tahoma"/>
            <family val="2"/>
          </rPr>
          <t>simples</t>
        </r>
        <r>
          <rPr>
            <sz val="8"/>
            <color indexed="81"/>
            <rFont val="Tahoma"/>
            <family val="2"/>
          </rPr>
          <t xml:space="preserve"> com os quais o sistema interage.</t>
        </r>
      </text>
    </comment>
    <comment ref="D83" authorId="0">
      <text>
        <r>
          <rPr>
            <sz val="8"/>
            <color indexed="81"/>
            <rFont val="Tahoma"/>
            <family val="2"/>
          </rPr>
          <t>Utilização de algum protocolo de comunicação entre o ator e o sistema</t>
        </r>
        <r>
          <rPr>
            <sz val="8"/>
            <color indexed="81"/>
            <rFont val="Tahoma"/>
            <family val="2"/>
          </rPr>
          <t xml:space="preserve">
ou interface em modo texto com um
usuário.</t>
        </r>
      </text>
    </comment>
    <comment ref="G83" authorId="1">
      <text>
        <r>
          <rPr>
            <sz val="8"/>
            <color indexed="81"/>
            <rFont val="Tahoma"/>
            <family val="2"/>
          </rPr>
          <t xml:space="preserve">Número total de atores de </t>
        </r>
        <r>
          <rPr>
            <i/>
            <sz val="8"/>
            <color indexed="81"/>
            <rFont val="Tahoma"/>
            <family val="2"/>
          </rPr>
          <t>complexidade média</t>
        </r>
        <r>
          <rPr>
            <sz val="8"/>
            <color indexed="81"/>
            <rFont val="Tahoma"/>
            <family val="2"/>
          </rPr>
          <t xml:space="preserve"> com os quais o sistema interage.</t>
        </r>
      </text>
    </comment>
    <comment ref="D84" authorId="0">
      <text>
        <r>
          <rPr>
            <sz val="8"/>
            <color indexed="81"/>
            <rFont val="Tahoma"/>
            <family val="2"/>
          </rPr>
          <t xml:space="preserve">O ator interage com o sistema através de uma interface gráfica, mesmo que a comunicação entre a interface e os demais componentes do sistema seja via algum protocolo de comunicação.
</t>
        </r>
      </text>
    </comment>
    <comment ref="G84" authorId="1">
      <text>
        <r>
          <rPr>
            <sz val="8"/>
            <color indexed="81"/>
            <rFont val="Tahoma"/>
            <family val="2"/>
          </rPr>
          <t xml:space="preserve">Número total de atores </t>
        </r>
        <r>
          <rPr>
            <i/>
            <sz val="8"/>
            <color indexed="81"/>
            <rFont val="Tahoma"/>
            <family val="2"/>
          </rPr>
          <t>complexos</t>
        </r>
        <r>
          <rPr>
            <sz val="8"/>
            <color indexed="81"/>
            <rFont val="Tahoma"/>
            <family val="2"/>
          </rPr>
          <t xml:space="preserve"> com os quais o sistema interage.</t>
        </r>
      </text>
    </comment>
    <comment ref="D89" authorId="0">
      <text>
        <r>
          <rPr>
            <sz val="8"/>
            <color indexed="81"/>
            <rFont val="Tahoma"/>
            <family val="2"/>
          </rPr>
          <t xml:space="preserve">Deve-se decidir se o critério adotado será com base no número de transações ou na quantidade de casos de análise
</t>
        </r>
      </text>
    </comment>
    <comment ref="G90" authorId="2">
      <text>
        <r>
          <rPr>
            <sz val="8"/>
            <color indexed="81"/>
            <rFont val="Tahoma"/>
            <family val="2"/>
          </rPr>
          <t>Quantidade de casos de uso simples.</t>
        </r>
      </text>
    </comment>
    <comment ref="G91" authorId="2">
      <text>
        <r>
          <rPr>
            <sz val="8"/>
            <color indexed="81"/>
            <rFont val="Tahoma"/>
            <family val="2"/>
          </rPr>
          <t>Quantidade de casos de uso simples.</t>
        </r>
      </text>
    </comment>
    <comment ref="G92" authorId="2">
      <text>
        <r>
          <rPr>
            <sz val="8"/>
            <color indexed="81"/>
            <rFont val="Tahoma"/>
            <family val="2"/>
          </rPr>
          <t>Quantidade de casos de uso simples.</t>
        </r>
      </text>
    </comment>
    <comment ref="F101" authorId="0">
      <text>
        <r>
          <rPr>
            <sz val="8"/>
            <color indexed="81"/>
            <rFont val="Tahoma"/>
            <family val="2"/>
          </rPr>
          <t>1-2: 1 a 3 subsistemas
2-4: 3 a 5 susbsistemas
5: mais que 5 subsistemas</t>
        </r>
      </text>
    </comment>
    <comment ref="F102" authorId="0">
      <text>
        <r>
          <rPr>
            <sz val="8"/>
            <color indexed="81"/>
            <rFont val="Tahoma"/>
            <family val="2"/>
          </rPr>
          <t>1-2: performance agrega valor
3-4: performance é necessário
5: performance é crítico para o sistema</t>
        </r>
      </text>
    </comment>
    <comment ref="F103" authorId="0">
      <text>
        <r>
          <rPr>
            <sz val="8"/>
            <color indexed="81"/>
            <rFont val="Tahoma"/>
            <family val="2"/>
          </rPr>
          <t xml:space="preserve">5   : Sistema on line 24hs sem cair
3-4: Sistema on line horário comercial
1-2: Sistema on line periodicamente ou no horário comercial onde quedas são admissíveis
</t>
        </r>
      </text>
    </comment>
    <comment ref="F104" authorId="3">
      <text>
        <r>
          <rPr>
            <sz val="8"/>
            <color indexed="81"/>
            <rFont val="Tahoma"/>
            <family val="2"/>
          </rPr>
          <t>1-2: complexidade baixa
3-4: complexidade média
5: complexidade alta</t>
        </r>
      </text>
    </comment>
    <comment ref="F105" authorId="3">
      <text>
        <r>
          <rPr>
            <sz val="8"/>
            <color indexed="81"/>
            <rFont val="Tahoma"/>
            <family val="2"/>
          </rPr>
          <t>1-2: reusabilidade agrega valor
3-4: reusabilidade é necessário
5: reusabilidade é crítico para o sistema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F106" authorId="0">
      <text>
        <r>
          <rPr>
            <sz val="8"/>
            <color indexed="81"/>
            <rFont val="Tahoma"/>
            <family val="2"/>
          </rPr>
          <t>1-2: facilidade agrega valor
3-4: facilidade é necessário
5: facilidade é crítico para o sistema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F107" authorId="0">
      <text>
        <r>
          <rPr>
            <sz val="8"/>
            <color indexed="81"/>
            <rFont val="Tahoma"/>
            <family val="2"/>
          </rPr>
          <t>1-2: uso fácil agrega valor
3-4: uso fácil é necessário
5   : uso fácil é crítico para o sistema</t>
        </r>
      </text>
    </comment>
    <comment ref="F108" authorId="0">
      <text>
        <r>
          <rPr>
            <sz val="8"/>
            <color indexed="81"/>
            <rFont val="Tahoma"/>
            <family val="2"/>
          </rPr>
          <t xml:space="preserve">1-3: uso em duas plataformas
4-5: uso em três ou mais plataformas
A variação dentro ods intervalos leva em conta se a portabilidade é só em termos de cliente ou também do servidor
</t>
        </r>
      </text>
    </comment>
    <comment ref="F109" authorId="0">
      <text>
        <r>
          <rPr>
            <sz val="8"/>
            <color indexed="81"/>
            <rFont val="Tahoma"/>
            <family val="2"/>
          </rPr>
          <t xml:space="preserve">1-2: facilidade de alteração agrega valor
3-4: facilidade de alteração é necessário
5   : facilidade de alteração é crítico para o sistema
</t>
        </r>
      </text>
    </comment>
    <comment ref="F110" authorId="0">
      <text>
        <r>
          <rPr>
            <sz val="8"/>
            <color indexed="81"/>
            <rFont val="Tahoma"/>
            <family val="2"/>
          </rPr>
          <t xml:space="preserve">1-2: até 100 acessos simultâneos
3-4: até 500 acessos simultâneos
5: Mais de 500 acessos simultâneos
</t>
        </r>
      </text>
    </comment>
    <comment ref="F111" authorId="0">
      <text>
        <r>
          <rPr>
            <sz val="8"/>
            <color indexed="81"/>
            <rFont val="Tahoma"/>
            <family val="2"/>
          </rPr>
          <t>1-2: segurança agrega valor
3-4: segurança é necessário
5   : segurança é crítico para o sistema</t>
        </r>
        <r>
          <rPr>
            <sz val="8"/>
            <color indexed="81"/>
            <rFont val="Tahoma"/>
            <family val="2"/>
          </rPr>
          <t xml:space="preserve">
 </t>
        </r>
      </text>
    </comment>
    <comment ref="F112" authorId="3">
      <text>
        <r>
          <rPr>
            <sz val="8"/>
            <color indexed="81"/>
            <rFont val="Tahoma"/>
            <family val="2"/>
          </rPr>
          <t>1-2: Não há interfaces externas
3-4: Poucas interfaces externas
5: Muitas interfaces externas</t>
        </r>
      </text>
    </comment>
    <comment ref="F113" authorId="0">
      <text>
        <r>
          <rPr>
            <sz val="8"/>
            <color indexed="81"/>
            <rFont val="Tahoma"/>
            <family val="2"/>
          </rPr>
          <t xml:space="preserve">1-2: agrega valor
3-4: É necessário
5   : É crítico para o sistema
</t>
        </r>
      </text>
    </comment>
    <comment ref="F122" authorId="2">
      <text>
        <r>
          <rPr>
            <sz val="8"/>
            <color indexed="81"/>
            <rFont val="Tahoma"/>
            <family val="2"/>
          </rPr>
          <t>0 - nenhuma experiência no assunto
3 - conhecimento médio
5 - especialista no assunto</t>
        </r>
      </text>
    </comment>
    <comment ref="F123" authorId="2">
      <text>
        <r>
          <rPr>
            <sz val="8"/>
            <color indexed="81"/>
            <rFont val="Tahoma"/>
            <family val="2"/>
          </rPr>
          <t xml:space="preserve">0 - baixa
3 - média
5 - alta
</t>
        </r>
      </text>
    </comment>
    <comment ref="F124" authorId="2">
      <text>
        <r>
          <rPr>
            <sz val="8"/>
            <color indexed="81"/>
            <rFont val="Tahoma"/>
            <family val="2"/>
          </rPr>
          <t>0 - nenhuma experiência no assunto
3 - conhecimento médio
5 - especialista no assunto</t>
        </r>
      </text>
    </comment>
    <comment ref="F125" authorId="2">
      <text>
        <r>
          <rPr>
            <sz val="8"/>
            <color indexed="81"/>
            <rFont val="Tahoma"/>
            <family val="2"/>
          </rPr>
          <t>0 - nenhuma experiência no assunto
3 - conhecimento médio
5 - especialista no assunto</t>
        </r>
      </text>
    </comment>
    <comment ref="F126" authorId="2">
      <text>
        <r>
          <rPr>
            <sz val="8"/>
            <color indexed="81"/>
            <rFont val="Tahoma"/>
            <family val="2"/>
          </rPr>
          <t>0 - sem motivação
3 - motivação média
5 - motivação alta</t>
        </r>
      </text>
    </comment>
    <comment ref="F127" authorId="2">
      <text>
        <r>
          <rPr>
            <sz val="8"/>
            <color indexed="81"/>
            <rFont val="Tahoma"/>
            <family val="2"/>
          </rPr>
          <t>0 - requisitos extremamente instáveis
3 - instabilidade média dos requisitos
5 - requisitos não irão mudar</t>
        </r>
      </text>
    </comment>
    <comment ref="F128" authorId="2">
      <text>
        <r>
          <rPr>
            <sz val="8"/>
            <color indexed="81"/>
            <rFont val="Tahoma"/>
            <family val="2"/>
          </rPr>
          <t>0 - ninguém em dedicação parcial ao projeto
3 - metade em dedicação parcial
5 - todos em regime de dedicação parcial</t>
        </r>
      </text>
    </comment>
    <comment ref="F129" authorId="2">
      <text>
        <r>
          <rPr>
            <sz val="8"/>
            <color indexed="81"/>
            <rFont val="Tahoma"/>
            <family val="2"/>
          </rPr>
          <t xml:space="preserve">0 - bom conhecimento da tecnologia e ambiente bem configurado
3 - domínio razoável da tecnologia possibilitando uma configuração satisfatória do ambiente
5 - não tem qualquer conhecimento da tecnologia e não existe experiência para configuração adequada do ambiente
</t>
        </r>
      </text>
    </comment>
    <comment ref="D144" authorId="4">
      <text>
        <r>
          <rPr>
            <b/>
            <sz val="8"/>
            <color indexed="81"/>
            <rFont val="Tahoma"/>
            <family val="2"/>
          </rPr>
          <t>igor/Dennys:</t>
        </r>
        <r>
          <rPr>
            <sz val="8"/>
            <color indexed="81"/>
            <rFont val="Tahoma"/>
            <family val="2"/>
          </rPr>
          <t xml:space="preserve">
Rateio do esforço calculado, nas fases do ciclo de vida de desenvolvimento.
Estudo realizado em +- 350 projetos indica a seguinte distribuição:
Gestão: 10,00%
Requisitos: 10,00%
Arquitetura: 2,00%
Análise: 8,00%
Design: 13,00%
Codificação: 25,00%
Projeto de Teste Unitário: 5,60%
Execução de Teste Unitário: 8,40%
Projeto de Teste de Sistema: 7,80%
Execução de Teste de Sistema: 5,20%
Garantia: 5,00%
Alguns estudos apresentam ainda, de forma mais geral a seguinte distribuição:
Analise e Projeto: 40,00%
Codificação: 20,00%
Atividade de Teste e Depuração: 40,00%
</t>
        </r>
      </text>
    </comment>
  </commentList>
</comments>
</file>

<file path=xl/sharedStrings.xml><?xml version="1.0" encoding="utf-8"?>
<sst xmlns="http://schemas.openxmlformats.org/spreadsheetml/2006/main" count="1309" uniqueCount="439">
  <si>
    <t>Dados do Projeto</t>
  </si>
  <si>
    <t>Aluno:</t>
  </si>
  <si>
    <t>Professores</t>
  </si>
  <si>
    <t>Professor Orientador:</t>
  </si>
  <si>
    <t>Professor Corretor:</t>
  </si>
  <si>
    <t>Alunos Integrantes da Equipe</t>
  </si>
  <si>
    <t>Ano Letivo:</t>
  </si>
  <si>
    <t>Nome do Projeto:</t>
  </si>
  <si>
    <t>Semestre:</t>
  </si>
  <si>
    <t>Coordenador de TCC:</t>
  </si>
  <si>
    <t>Breve descrição do Projeto</t>
  </si>
  <si>
    <t>Data</t>
  </si>
  <si>
    <t>Atividade</t>
  </si>
  <si>
    <t>Ator</t>
  </si>
  <si>
    <t>Interface</t>
  </si>
  <si>
    <t>Peso</t>
  </si>
  <si>
    <t>Qtd. Atores</t>
  </si>
  <si>
    <t>Valor</t>
  </si>
  <si>
    <t>Simples</t>
  </si>
  <si>
    <t>Interface de programa (API)</t>
  </si>
  <si>
    <t>Médio</t>
  </si>
  <si>
    <t>Protocolo (Ex.:TCP/IP) ou interface em modo texto</t>
  </si>
  <si>
    <t>Complexo</t>
  </si>
  <si>
    <t>Interface gráfica</t>
  </si>
  <si>
    <t>Total</t>
  </si>
  <si>
    <t>Caso de Uso</t>
  </si>
  <si>
    <t>Descrição</t>
  </si>
  <si>
    <t>Qtd. Casos de Uso</t>
  </si>
  <si>
    <t>&lt; 3 transações ou &lt; 5 classes de análise</t>
  </si>
  <si>
    <t>4-7 transações ou  5 a 10 classes de análise</t>
  </si>
  <si>
    <t>&gt; 7 transações ou &gt; 10 classes  de análise</t>
  </si>
  <si>
    <t>PCUNA</t>
  </si>
  <si>
    <t>PCUNA = Pontos de Casos de Uso Não Ajustados</t>
  </si>
  <si>
    <t>Fator</t>
  </si>
  <si>
    <t>Atribuído</t>
  </si>
  <si>
    <t>T1</t>
  </si>
  <si>
    <t>Sistema distribuído</t>
  </si>
  <si>
    <t>T2</t>
  </si>
  <si>
    <t>Objetivos de performance</t>
  </si>
  <si>
    <t>T3</t>
  </si>
  <si>
    <t>Eficiênca on-line</t>
  </si>
  <si>
    <t>T4</t>
  </si>
  <si>
    <t>Complexidade de processamento</t>
  </si>
  <si>
    <t>T5</t>
  </si>
  <si>
    <t>Código reusável em outras aplicações</t>
  </si>
  <si>
    <t>T6</t>
  </si>
  <si>
    <t>Facilidade de instalação</t>
  </si>
  <si>
    <t>T7</t>
  </si>
  <si>
    <t>Facilidade de uso</t>
  </si>
  <si>
    <t>T8</t>
  </si>
  <si>
    <t>Portabilidade</t>
  </si>
  <si>
    <t>T9</t>
  </si>
  <si>
    <r>
      <t>Facilidade de alterações (</t>
    </r>
    <r>
      <rPr>
        <i/>
        <sz val="10"/>
        <rFont val="Arial"/>
        <family val="2"/>
      </rPr>
      <t>changeability</t>
    </r>
    <r>
      <rPr>
        <sz val="11"/>
        <color theme="1"/>
        <rFont val="Calibri"/>
        <family val="2"/>
        <scheme val="minor"/>
      </rPr>
      <t>)</t>
    </r>
  </si>
  <si>
    <t>T10</t>
  </si>
  <si>
    <t>Concorrência</t>
  </si>
  <si>
    <t>T11</t>
  </si>
  <si>
    <t>Segurança</t>
  </si>
  <si>
    <t>T12</t>
  </si>
  <si>
    <t>Acesso direto a terceiros</t>
  </si>
  <si>
    <t>T13</t>
  </si>
  <si>
    <t>Necessidade de facilidades especiais de treinamento para usuários</t>
  </si>
  <si>
    <t>FatorT</t>
  </si>
  <si>
    <t>FCT</t>
  </si>
  <si>
    <t>FCT = Fator de Complexidade Técnica</t>
  </si>
  <si>
    <t>F1</t>
  </si>
  <si>
    <t>Familiaridade da equipe com RUP</t>
  </si>
  <si>
    <t>F2</t>
  </si>
  <si>
    <t>Experiência da equipe</t>
  </si>
  <si>
    <t>F3</t>
  </si>
  <si>
    <t>Experiência da equipe em OO</t>
  </si>
  <si>
    <t>F4</t>
  </si>
  <si>
    <t>Capacidade dos analistas da equipe</t>
  </si>
  <si>
    <t>F5</t>
  </si>
  <si>
    <t>Motivação</t>
  </si>
  <si>
    <t>F6</t>
  </si>
  <si>
    <t>Estabilidade dos requisitos</t>
  </si>
  <si>
    <t>F7</t>
  </si>
  <si>
    <t>Estagiários ou funcionários em tempo parcial</t>
  </si>
  <si>
    <t>F8</t>
  </si>
  <si>
    <t>Domínio da tecnologia e configuração do ambiente</t>
  </si>
  <si>
    <t>FatorA</t>
  </si>
  <si>
    <t>FA</t>
  </si>
  <si>
    <t>FA = Fator Ambiental</t>
  </si>
  <si>
    <t>PCU</t>
  </si>
  <si>
    <t>PCUNA *FCT*FA</t>
  </si>
  <si>
    <t>Pessoa-hora por unidade de PCU</t>
  </si>
  <si>
    <t>Estimativa em pessoa-hora</t>
  </si>
  <si>
    <t>1.0. Registro de Acompanhamento de Orientação</t>
  </si>
  <si>
    <t>Atividade Realizada</t>
  </si>
  <si>
    <t>Projeto:</t>
  </si>
  <si>
    <t>Orientador:</t>
  </si>
  <si>
    <t>Aluno</t>
  </si>
  <si>
    <t>Proposta</t>
  </si>
  <si>
    <t>Avaliação Complementar</t>
  </si>
  <si>
    <t>Dia</t>
  </si>
  <si>
    <t>Número de Faltas</t>
  </si>
  <si>
    <t>Plano de Projeto</t>
  </si>
  <si>
    <t>Descrição do Projeto</t>
  </si>
  <si>
    <t>Arquitetura</t>
  </si>
  <si>
    <t>Modelo de Casos de Uso</t>
  </si>
  <si>
    <t>Especificação dos Casos de Uso</t>
  </si>
  <si>
    <t>Realização dos Casos de Uso</t>
  </si>
  <si>
    <t>MRN</t>
  </si>
  <si>
    <t>Dicionário do MRN</t>
  </si>
  <si>
    <t>3.1 OBJETIVOS DA ARQUITETURA</t>
  </si>
  <si>
    <t>3.2 VISÃO FÍSICA</t>
  </si>
  <si>
    <t>3.3 SOFTWARE DE APLICAÇÃO</t>
  </si>
  <si>
    <t>3.4 VISÃO LÓGICA</t>
  </si>
  <si>
    <t>4.2 CASOS DE USO DO SISTEMA</t>
  </si>
  <si>
    <t>4.2.1 Diagrama de Caso de Uso</t>
  </si>
  <si>
    <t>4.2.2 Atores</t>
  </si>
  <si>
    <t>4.2.3 Casos de Uso</t>
  </si>
  <si>
    <t>5.1 OBJETIVOS DA DESCRIÇÃO DOS CASOS DE USO</t>
  </si>
  <si>
    <t xml:space="preserve">5.2 CASOS DE USO DO SISTEMA </t>
  </si>
  <si>
    <t>5.2.1 Caso de Uso XXX</t>
  </si>
  <si>
    <t>Nome do Caso de Uso</t>
  </si>
  <si>
    <t>Breve Descrição</t>
  </si>
  <si>
    <t>Diagrama de Seqüência do Fluxo Básico</t>
  </si>
  <si>
    <t>Diagramas de Seqüência dos Fluxos Alternativos</t>
  </si>
  <si>
    <t>Diagrama de Colaboração</t>
  </si>
  <si>
    <t>Diagrama de Transição de Estados</t>
  </si>
  <si>
    <t xml:space="preserve">Diagrama de Atividade </t>
  </si>
  <si>
    <t>Visão das Classes Participantes</t>
  </si>
  <si>
    <t>6.2 REALIZAÇÃO DOS CASOS DE USO DO SISTEMA</t>
  </si>
  <si>
    <t>6.2.1 Caso de Uso XXXX</t>
  </si>
  <si>
    <t>CAPA</t>
  </si>
  <si>
    <t>FOLHA DE ROSTO</t>
  </si>
  <si>
    <t>LISTAS</t>
  </si>
  <si>
    <t>SUMÁRIO</t>
  </si>
  <si>
    <t>1 INTRODUÇÃO</t>
  </si>
  <si>
    <t>6 SITUAÇÃO ATUAL</t>
  </si>
  <si>
    <t>14 CONCLUSÃO</t>
  </si>
  <si>
    <t>GLOSSÁRIO</t>
  </si>
  <si>
    <t>REFERÊNCIAS E/OU DOCUMENTOS CONSULTADOS</t>
  </si>
  <si>
    <t>APÊNDICES</t>
  </si>
  <si>
    <t>ANEXOS</t>
  </si>
  <si>
    <t>7 DESCRIÇÃO DO SISTEMA</t>
  </si>
  <si>
    <t>8 REQUISITOS FUNCIONAIS E NÃO FUNCIONAIS</t>
  </si>
  <si>
    <t>2 IDENTIFICAÇÃO</t>
  </si>
  <si>
    <t>3 OBJETIVO</t>
  </si>
  <si>
    <t>4 PÚBLICO ALVO</t>
  </si>
  <si>
    <t>5 CLIENTE EM PERSPECTIVA OU TÉCNICO DA ÁREA</t>
  </si>
  <si>
    <t>9  PREMISSAS</t>
  </si>
  <si>
    <t>10 PRODUTOS FINAIS</t>
  </si>
  <si>
    <t>11 RESPONSABILIDADES</t>
  </si>
  <si>
    <t>12 METODOLOGIA DE DESENVOLVIMENTO</t>
  </si>
  <si>
    <t>13 ORIENTADOR</t>
  </si>
  <si>
    <t>Complexidade</t>
  </si>
  <si>
    <t>1.0. Identificação de Atores do Sistema</t>
  </si>
  <si>
    <t>Nome do Ator</t>
  </si>
  <si>
    <t>Complexidades</t>
  </si>
  <si>
    <t>Média</t>
  </si>
  <si>
    <t>2.0. Identificação de Casos de Uso do Sistema</t>
  </si>
  <si>
    <t>3.0. Mensurando Complexidade dos Atores</t>
  </si>
  <si>
    <t>4.0. Mensurando Complexidade dos Use Cases</t>
  </si>
  <si>
    <t>5.0. Considerando Fatores Técnicos do Projeto</t>
  </si>
  <si>
    <t>6.0. Considerando Fatores Ambientais</t>
  </si>
  <si>
    <t>7.0. Pontos de Caso de Uso</t>
  </si>
  <si>
    <t>6.1 OBJETIVOS DO DOCUMENTO DE REALIZAÇÃO DOS CASOS DE USO</t>
  </si>
  <si>
    <t>Plano de Projeto/Arquitetura e Descrição</t>
  </si>
  <si>
    <t>Período de Elaboração da Proposta</t>
  </si>
  <si>
    <t>Período para reapresentação da Proposta</t>
  </si>
  <si>
    <t>AE1</t>
  </si>
  <si>
    <t>AE2</t>
  </si>
  <si>
    <t>AE2/TR</t>
  </si>
  <si>
    <t>Lançamento de Final</t>
  </si>
  <si>
    <t>Período de Finais</t>
  </si>
  <si>
    <t>Bancas Lógicas</t>
  </si>
  <si>
    <t>Primeira Iteração</t>
  </si>
  <si>
    <t>Segunda Iteração</t>
  </si>
  <si>
    <t>Documentação para banca Lógica.</t>
  </si>
  <si>
    <t>Situação de Proposta</t>
  </si>
  <si>
    <t>Não Enviada</t>
  </si>
  <si>
    <t>Rejeitada</t>
  </si>
  <si>
    <t>Aprovada com resalva</t>
  </si>
  <si>
    <t>Aprovada sem resalva</t>
  </si>
  <si>
    <t>TR+DS</t>
  </si>
  <si>
    <t>Cronograma de Produção de Artefatos</t>
  </si>
  <si>
    <t>Início</t>
  </si>
  <si>
    <t>Fim</t>
  </si>
  <si>
    <t>Data da Entrega do Artefato</t>
  </si>
  <si>
    <t>Duração
(Dias corridos)</t>
  </si>
  <si>
    <t>-</t>
  </si>
  <si>
    <t>Aula</t>
  </si>
  <si>
    <t>Eventos Importantes do Calendário Acadêmico</t>
  </si>
  <si>
    <t>1.0. Relação de Entregáveis com suas respectivas estruturas</t>
  </si>
  <si>
    <t>Fase/ Atividade</t>
  </si>
  <si>
    <t>Rateio</t>
  </si>
  <si>
    <t>Requisitos</t>
  </si>
  <si>
    <t>Análise</t>
  </si>
  <si>
    <t>Design</t>
  </si>
  <si>
    <t>Codificação</t>
  </si>
  <si>
    <t>Projeto de Teste Unitário</t>
  </si>
  <si>
    <t>Execução de Teste Unitário</t>
  </si>
  <si>
    <t>Projeto de Teste de Sistema</t>
  </si>
  <si>
    <t>Execução de Teste de Sistema</t>
  </si>
  <si>
    <t>Esforço</t>
  </si>
  <si>
    <t>Esforço estimado par a Disciplina de PSI 1:</t>
  </si>
  <si>
    <t>Esforço estimado par a Disciplina de PSI 2:</t>
  </si>
  <si>
    <t>Dias úteis:</t>
  </si>
  <si>
    <t>Dias em finais de semana:</t>
  </si>
  <si>
    <t>Esforço Estimado</t>
  </si>
  <si>
    <t>Casos de Uso Afetados</t>
  </si>
  <si>
    <t>Descrição da Alteração</t>
  </si>
  <si>
    <t>Tamanho Funcional Antes da Alteração</t>
  </si>
  <si>
    <t>Tamanho Funcional Depois da Alteração</t>
  </si>
  <si>
    <t>1.0. Histórico de Mudança de Escopo</t>
  </si>
  <si>
    <t>Data da Solicitação</t>
  </si>
  <si>
    <t>Data da Aprovação</t>
  </si>
  <si>
    <t>Aprovador</t>
  </si>
  <si>
    <t>4.1 OBJETIVOS DO MODELO DE CASOS DE USO</t>
  </si>
  <si>
    <t>Modelo de Dados</t>
  </si>
  <si>
    <t>Nota Corretor</t>
  </si>
  <si>
    <t>Nota Orientador</t>
  </si>
  <si>
    <t>Observações Orientador</t>
  </si>
  <si>
    <t>Observações Corretor</t>
  </si>
  <si>
    <t>Avaliação</t>
  </si>
  <si>
    <t>Muito Bom</t>
  </si>
  <si>
    <t>Bom</t>
  </si>
  <si>
    <t>Regular</t>
  </si>
  <si>
    <t>Insuficiente</t>
  </si>
  <si>
    <t>Excelente</t>
  </si>
  <si>
    <t>Tamanho Funcional:</t>
  </si>
  <si>
    <t>Avaliação da Proposta:</t>
  </si>
  <si>
    <t>Resultado:</t>
  </si>
  <si>
    <t>Avaliação do Plano de Projeto:</t>
  </si>
  <si>
    <t>2.0. Avaliação do Plano de Projeto</t>
  </si>
  <si>
    <t>3.0. Avaliação da Descrição do Projeto</t>
  </si>
  <si>
    <t>4.0. Avaliação da Arquitetura</t>
  </si>
  <si>
    <t>Documento</t>
  </si>
  <si>
    <t>Avaliação Individual</t>
  </si>
  <si>
    <t>Avaliação Final</t>
  </si>
  <si>
    <t>Avaliação AE1:</t>
  </si>
  <si>
    <t>Especificação do Caso de Uso</t>
  </si>
  <si>
    <t>UC:</t>
  </si>
  <si>
    <t>Avaliação do Caso de Uso:</t>
  </si>
  <si>
    <t>2.0. Avaliação dos Casos de Uso.</t>
  </si>
  <si>
    <t>Avaliação da Iteração 1:</t>
  </si>
  <si>
    <t>1.0. Avaliação Banca Lógica</t>
  </si>
  <si>
    <t>Critérios</t>
  </si>
  <si>
    <t>Clareza na Redação do Manual do Sistema</t>
  </si>
  <si>
    <t>Banca Lógica - Apresentação da Equipe</t>
  </si>
  <si>
    <t>Recursos Utilizados na Apresentação</t>
  </si>
  <si>
    <t>Desenvoltura Oral</t>
  </si>
  <si>
    <t>Clareza na Explanação do Assunto</t>
  </si>
  <si>
    <t>Domínio do Assunto</t>
  </si>
  <si>
    <t>Conformidade com o Tempo disponível para Apresentação</t>
  </si>
  <si>
    <t>Banca Lógica - Manual do Sistema</t>
  </si>
  <si>
    <t>Editoração segundo normas ABNT</t>
  </si>
  <si>
    <t>Banca Lógica - Conteúdo Técnico</t>
  </si>
  <si>
    <t>Todos os Requisitos da Proposta Atendidos</t>
  </si>
  <si>
    <t>Todas as Correções das Entregas Parciais Realizadas</t>
  </si>
  <si>
    <t>Todos os Casos de Uso Especificados Corretamente</t>
  </si>
  <si>
    <t>Nota da Banca</t>
  </si>
  <si>
    <t>Observações da Banca</t>
  </si>
  <si>
    <t>Avaliação do Manual do Sistema:</t>
  </si>
  <si>
    <t>2.0. Avaliação da Editoração e Redação do Manual do Sistema</t>
  </si>
  <si>
    <t>3.0. Avaliação da Apresentação da Equipe</t>
  </si>
  <si>
    <t>4.0. Avaliação do Conteúdo Técnico</t>
  </si>
  <si>
    <t>% de Equilíbrio com a Equipe</t>
  </si>
  <si>
    <t>Justificativa</t>
  </si>
  <si>
    <t>Responsável</t>
  </si>
  <si>
    <t>Todos</t>
  </si>
  <si>
    <t>2.0. Pendências da Banca Lógica a Serem Resolvidas</t>
  </si>
  <si>
    <t>Pendência</t>
  </si>
  <si>
    <t>Resolvida</t>
  </si>
  <si>
    <t>Situação</t>
  </si>
  <si>
    <t>Situação da Pendência</t>
  </si>
  <si>
    <t>Não Resolvida</t>
  </si>
  <si>
    <t>Observação</t>
  </si>
  <si>
    <t>Número de Pendências</t>
  </si>
  <si>
    <t>Situação de Aprovação</t>
  </si>
  <si>
    <t>Aprovado</t>
  </si>
  <si>
    <t>Reprovado</t>
  </si>
  <si>
    <t>1.0. Cronograma de entregas e atividades PSI 1.</t>
  </si>
  <si>
    <t>1.0. Cronograma de entregas e atividades PSI 2.</t>
  </si>
  <si>
    <t>Documentação para banca de Protótipo</t>
  </si>
  <si>
    <t>Bancas de Protótipo</t>
  </si>
  <si>
    <t>Bancas Físicas</t>
  </si>
  <si>
    <t>Documentação para Banca Física</t>
  </si>
  <si>
    <t>Quantidade Média de dias produtivos no primeiro semestre de 2010</t>
  </si>
  <si>
    <t>Histórico de alterações</t>
  </si>
  <si>
    <t>Versão</t>
  </si>
  <si>
    <t>1.0</t>
  </si>
  <si>
    <t>Igor de Souza Paiva</t>
  </si>
  <si>
    <t>&gt; Criação da primeira versão da planilha.</t>
  </si>
  <si>
    <t>Banca Protótipo - Manual do Sistema</t>
  </si>
  <si>
    <t>Banca Protótipo - Apresentação da Equipe</t>
  </si>
  <si>
    <t>Banca Protótipo - Conteúdo Técnico</t>
  </si>
  <si>
    <t>Funcionalidade Implementada Indicada pelo Orientador</t>
  </si>
  <si>
    <t>Interface com o Usuário Final</t>
  </si>
  <si>
    <t>O protótipo é navegável</t>
  </si>
  <si>
    <t>Conformidade entre o escopo da proposta e o escopo do Protótipo</t>
  </si>
  <si>
    <t>Realização de Todas as Correções Solicitadas na Banca Lógica</t>
  </si>
  <si>
    <t>Todos os Casos de Uso Estão Prototipados, Inclusive Relatórios</t>
  </si>
  <si>
    <t>Banca Física - Manual do Sistema</t>
  </si>
  <si>
    <t>Banca Física - Apresentação da Equipe</t>
  </si>
  <si>
    <t>Banca Física - Conteúdo Técnico</t>
  </si>
  <si>
    <t>Todos os Casos de Uso Foram Implementados</t>
  </si>
  <si>
    <t>Manual do Usuário</t>
  </si>
  <si>
    <t>Contrato de Software</t>
  </si>
  <si>
    <t>Implementação</t>
  </si>
  <si>
    <t>1.0. Avaliações PSI 1</t>
  </si>
  <si>
    <t>2.0. Faltas PSI 1</t>
  </si>
  <si>
    <t>4.0. Faltas PSI 2</t>
  </si>
  <si>
    <t>3.0. Avaliações PSI 2</t>
  </si>
  <si>
    <t>1.0. Correção da Proposta - PSI1</t>
  </si>
  <si>
    <t>1.0. Avaliação AE1 - PSI1</t>
  </si>
  <si>
    <t>1.0. Avaliação da Iteração 1 - PSI1</t>
  </si>
  <si>
    <t>1.0. Avaliação da Iteração 2 - PSI1</t>
  </si>
  <si>
    <t>Dias de Atraso na Entrega:</t>
  </si>
  <si>
    <t>Avaliação da Iteração 2:</t>
  </si>
  <si>
    <t>Avaliação Banca Lógica:</t>
  </si>
  <si>
    <t>Todos os Casos de Uso Modelados Corretamente</t>
  </si>
  <si>
    <t>1.0. Avaliação Banca de Protótipo</t>
  </si>
  <si>
    <t>Avaliação da Apresentação da Equipe:</t>
  </si>
  <si>
    <t>Avaliação do Conteúdo Técnico:</t>
  </si>
  <si>
    <t>1.0. Avaliação Banca Física</t>
  </si>
  <si>
    <t>O Caso de Uso Foi Totalmente Implementado.</t>
  </si>
  <si>
    <t>Não Existem Erros que Impedem a Verificação do Caso de Uso</t>
  </si>
  <si>
    <t>Conformidade entre o escopo da proposta e o escopo do Caso de Uso Implementado</t>
  </si>
  <si>
    <t>1.0. Avaliação da Iteração 2 - PSI2</t>
  </si>
  <si>
    <t>1.0. Avaliação da Iteração 1 - PSI2</t>
  </si>
  <si>
    <t>1.0. Avaliação Complementar - PSI2</t>
  </si>
  <si>
    <t>2.0. Pendências da Banca Física a Serem Resolvidas</t>
  </si>
  <si>
    <t>1.0. Avaliação Complementar - PSI1</t>
  </si>
  <si>
    <t>Avaliação Banca de Protótipo:</t>
  </si>
  <si>
    <t>Avaliação Banca Física:</t>
  </si>
  <si>
    <t>1.1</t>
  </si>
  <si>
    <t>&gt; Correção das abas de iterações de PSI2, para acertar o cálculo da nota de cada Use Case e para retirar a nota do corretor, deixando apenas a nota do orientador.</t>
  </si>
  <si>
    <t>Planilha de Acompanhamento Atualizada</t>
  </si>
  <si>
    <t>Sim</t>
  </si>
  <si>
    <t>Não</t>
  </si>
  <si>
    <t>Entrega da Planilha de Acompanhamento Atualizada:</t>
  </si>
  <si>
    <t>1.2</t>
  </si>
  <si>
    <t>&gt; Retirada terceira iteração de PSI1.
&gt; Incluída penalização de 10% da nota pela não entrega da planilha de acompanhamento atualizada.
&gt; Corrigido o arredondamento da aba de Notas e Faltas.
&gt; Atualizado o cronograma do segundao semestre de 2010.</t>
  </si>
  <si>
    <t>Os Erros Encontrados Não Impedem a Verificação do Caso de Uso</t>
  </si>
  <si>
    <t>Critério de Banca Atendido</t>
  </si>
  <si>
    <t>1.3</t>
  </si>
  <si>
    <t>&gt;Alterados critérios para aprovação nas bancas Lógica e Física.</t>
  </si>
  <si>
    <t>Não Foram encontrados erros que impedem a verificação de alguma funcionalidade</t>
  </si>
  <si>
    <t>Há Conformidade entre o escopo da proposta e o escopo do Protótipo</t>
  </si>
  <si>
    <t>1.4</t>
  </si>
  <si>
    <t>O Modelo de Dados está Correto</t>
  </si>
  <si>
    <t>&gt;Corrigidas as abas "Correção Banca Lógica-PSI1" e "Correção Banca Física-PSI2", pois o cálculo de nota final das bancas estava com problema.
&gt;Alterada a aba "Entregáveis" para acertar o texto dos critérios de avaliação técnica das bancas lógica e física.</t>
  </si>
  <si>
    <t>1.5</t>
  </si>
  <si>
    <t>&gt;Atualizado o cronograma de 2011.</t>
  </si>
  <si>
    <t>1.6</t>
  </si>
  <si>
    <t>1.7</t>
  </si>
  <si>
    <t>2.0</t>
  </si>
  <si>
    <t>Dennys Machado</t>
  </si>
  <si>
    <t>&gt; Alterado texto para ponderação de esforço por fase</t>
  </si>
  <si>
    <t>&gt; Atualizado cronograma de 2011 Segundo Semestre</t>
  </si>
  <si>
    <t>&gt; Atualização de versão da planilha</t>
  </si>
  <si>
    <t>2.1</t>
  </si>
  <si>
    <t>&gt; Alteração de cronograma</t>
  </si>
  <si>
    <t>3.0</t>
  </si>
  <si>
    <t>&gt; Correção dos percentuais dos entregaveis</t>
  </si>
  <si>
    <t>3.1</t>
  </si>
  <si>
    <t>&gt; Correção dos campos para lançamento de notas de bancas de PSI I e PSI II</t>
  </si>
  <si>
    <t>4.0</t>
  </si>
  <si>
    <t>&gt; Atualização do cronograma para 2012 - 2</t>
  </si>
  <si>
    <t>1.2.3 Stakeholders</t>
  </si>
  <si>
    <t>12.1 OBJETIVOS DA DESCRIÇÃO DO PROJETO</t>
  </si>
  <si>
    <t>12.2 DESCRIÇÃO DA SITUAÇÃO ATUAL</t>
  </si>
  <si>
    <t>1.2.1 Descrição dos Problemas</t>
  </si>
  <si>
    <t>1.2.2 Ambiente do Usuário</t>
  </si>
  <si>
    <t>1.3 DESCRIÇÃO DO SISTEMA PROPOSTO</t>
  </si>
  <si>
    <t>1.4  REQUISITOS DO PRODUTO</t>
  </si>
  <si>
    <t>1.4.1 Requisitos Funcionais</t>
  </si>
  <si>
    <t>1.4.2 Requisitos Não Funcionais</t>
  </si>
  <si>
    <t>2.1 OBJETIVOS DO PLANO DE PROJETO</t>
  </si>
  <si>
    <t>2.2 ORGANIZAÇÃO DO PROJETO</t>
  </si>
  <si>
    <t>2.2.1 Estrutura Organizacional do Projeto</t>
  </si>
  <si>
    <t>2.3 PROCESSOS DE GERENCIAMENTO DE PROJETO</t>
  </si>
  <si>
    <t>2.3.1 Gerenciamento de Integração</t>
  </si>
  <si>
    <t>2.3.2 Gerenciamento do Escopo</t>
  </si>
  <si>
    <t>2.3.3 Gerenciamento do Tempo</t>
  </si>
  <si>
    <t>2.3.4  Gerenciamento de Custos</t>
  </si>
  <si>
    <t>2.3.5 Gerenciamento de Riscos</t>
  </si>
  <si>
    <t>2.3.6 Gerenciamento de Comunicações</t>
  </si>
  <si>
    <t>18/06/2014 a 30/06/2014</t>
  </si>
  <si>
    <t>17/06/2014 a 28/06/2014</t>
  </si>
  <si>
    <t>Luiz Fernando Cruz</t>
  </si>
  <si>
    <t>Jaqueline Talita Winckes</t>
  </si>
  <si>
    <t>Paulo Henrique Lima</t>
  </si>
  <si>
    <t>O MyCluby Social será uma aplicação disponível para clientes e para os estabelecimentos. Através da interface do cliente será possível organizar seus eventos, criar grupos de amigos e interagir com os estabelecimentos formando uma rede social. Alem disso devera conter a gestão de gastos e atividades em um estabelecimento. Para os estabelecimento, um sistema simples e intuitivo para gerenciar estas informações, efetuar cobranças entre outros aspectos.</t>
  </si>
  <si>
    <t>Luiz Fernando Nascimento da Cruz</t>
  </si>
  <si>
    <t>Paulo Henrique Ferreira de Lima</t>
  </si>
  <si>
    <t>MyCluby Social</t>
  </si>
  <si>
    <t>Jesse Teixeira da Silva</t>
  </si>
  <si>
    <t>Orientacao sobre as entregas e atividades para o dia 04/04/2014. Reunião de 2h, ajustar: Arquitetura e Escopo.</t>
  </si>
  <si>
    <t>Orientacao sobre as entregas e atividades para o dia 04/04/2014. Reunião de 15min, ajustar: custo, risco e tempo.</t>
  </si>
  <si>
    <t>Orientacao sobre as entregas e atividade do dia 04/04/2014. Reunião de 15min, ajustar: WBS e Dicionario WBS.</t>
  </si>
  <si>
    <t>Troca de e-mail para junção de material e troca de informações, objetivo de correção de erros do colega.</t>
  </si>
  <si>
    <t>Reunião online para avaliação de material entregue ao orientador para correção.</t>
  </si>
  <si>
    <t>Distribuição de atividades para segunda entrega. 04/04/2013</t>
  </si>
  <si>
    <t xml:space="preserve">Reunião online para avaliação de material entregue de cada aluno da equipe. </t>
  </si>
  <si>
    <t>Orientacao sobre as entregas e atividades para o dia 04/04/2014. Reunião de 15 min, ajustar: Arquitetura e Escopo.</t>
  </si>
  <si>
    <t>Workshop sobre construção dos artefatos de análise (Estabelecer como os artefatos exigidos na disciplina devem ser construídos.  Estabelecer a forma que os orientadores deverão auxiliar suas equipes na construção dos artefatos. Estabelecer a forma que os artefatos serão avaliados em banca) - Duração de 2h</t>
  </si>
  <si>
    <t>MyCluby Social Web: UC001 – Efetuar Login</t>
  </si>
  <si>
    <t>MyCluby Social Web: UC003 – Recuperar Senha</t>
  </si>
  <si>
    <t>MyCluby Social Web: UC002 – Cadastrar Conta</t>
  </si>
  <si>
    <t>MyCluby Social Web: UC004 – Visualizar Políticas do Sistema</t>
  </si>
  <si>
    <t>MyCluby Social Web: UC005 – Gerenciar Perfil</t>
  </si>
  <si>
    <t>MyCluby Social Web: UC006 – Gerenciar Fotos</t>
  </si>
  <si>
    <t>MyCluby Social Web: UC008 – Gerenciar Grupos</t>
  </si>
  <si>
    <t>MyCluby Social Web: UC007 – Gerenciar Amizades</t>
  </si>
  <si>
    <t>MyCluby Social Web: UC009 – Gerenciar Mensagens</t>
  </si>
  <si>
    <t>MyCluby Social Web: UC010 – Gerenciar Estabelecimentos para o Usuário</t>
  </si>
  <si>
    <t>Cliente</t>
  </si>
  <si>
    <t>Gerente do Estabelecimento</t>
  </si>
  <si>
    <t>Funcionário do Estabelecimento</t>
  </si>
  <si>
    <t>MyCluby Social Web: UC011 – Gerenciar Eventos</t>
  </si>
  <si>
    <t>MyCluby Social Web: UC012 – Gerenciar Lugares de Maior Frequência</t>
  </si>
  <si>
    <t>MyCluby Social Web: UC013 – Gerenciar Pagamentos</t>
  </si>
  <si>
    <t>MyCluby Social Web: UC014 – Gerenciar Área para Estabelecimentos</t>
  </si>
  <si>
    <t>MyCluby Social Mobile: UC015 – Efetuar Check-in</t>
  </si>
  <si>
    <t>MyCluby Social Mobile: UC016 – Configurar Notificações</t>
  </si>
  <si>
    <t>MyCluby Social Mobile: UC017 – Visualizar Cardápio</t>
  </si>
  <si>
    <t>MyCluby Social Mobile: UC018 – Visualizar Consumação</t>
  </si>
  <si>
    <t>MyCluby Social Mobile: UC019 – Visualizar Informações de Atendente</t>
  </si>
  <si>
    <t>MyCluby Social Mobile: UC020 – Visualizar Notificações</t>
  </si>
  <si>
    <t>MyCluby Social Mobile: UC021 – Gerenciar Mensagens Internas</t>
  </si>
  <si>
    <t>MyCluby Social Mobile: UC022 – Gerenciar Pagamentos Mobile</t>
  </si>
  <si>
    <t>MyCluby Social Mobile: UC023 – Efetuar Check-out</t>
  </si>
  <si>
    <t>MyCluby Administrativo: UC024 – Efetuar Login Administrativo</t>
  </si>
  <si>
    <t>MyCluby Administrativo: UC025 – Gerenciar Funcionário</t>
  </si>
  <si>
    <t>MyCluby Administrativo: UC026 – Gerenciar Categorias</t>
  </si>
  <si>
    <t>MyCluby Administrativo: UC027 – Manter Produtos</t>
  </si>
  <si>
    <t>MyCluby Administrativo: UC028 – Gerenciar Promoções</t>
  </si>
  <si>
    <t>MyCluby Administrativo: UC029 – Gerenciar Relacionamentos</t>
  </si>
  <si>
    <t>MyCluby Administrativo: UC030 – Gerenciar Relatórios</t>
  </si>
  <si>
    <t>MyCluby Administrativo: UC031 – Gerenciar Pagamentos Administrativo</t>
  </si>
  <si>
    <t>Silvano Daniel Miloca</t>
  </si>
  <si>
    <t>Orientaçao sobre as entregas e atividades para o dia 05/05/2014. Reunião de 1h, apresentar artefatos já produzidos, verificar andamento do tcc, sanar dúvidas e gerenciar conflitos da equipe.</t>
  </si>
  <si>
    <t>Orientação de correção sobre as atividades entregues na primeira iteração no dia 05/05/2014. Reunião de 2h para verificar o andamento das atividades para entrega do dia 06/06/2014.</t>
  </si>
  <si>
    <t>Orientacao sobre as entregas e atividades para o dia 06/06/2014. Reunião de 20 min, para ajustar use cases e seus diagramas e dúvidas sobre o modelo de dados.</t>
  </si>
  <si>
    <t>Orientacao sobre as entregas para o dia 06/06/2014. Reunião de 15 min, para sanar dúvidas sobre os atefato para entrega.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</si>
</sst>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_(* #,##0.00_);_(* \(#,##0.00\);_(* &quot;-&quot;??_);_(@_)"/>
    <numFmt numFmtId="165" formatCode="_(* #,##0.0_);_(* \(#,##0.0\);_(* &quot;-&quot;??_);_(@_)"/>
    <numFmt numFmtId="166" formatCode="_-* #,##0.0_-;\-* #,##0.0_-;_-* &quot;-&quot;?_-;_-@_-"/>
    <numFmt numFmtId="167" formatCode="0.0"/>
    <numFmt numFmtId="168" formatCode="_(* #,##0.0_);_(* \(#,##0.0\);_(* &quot;-&quot;?_);_(@_)"/>
    <numFmt numFmtId="169" formatCode="_-* #,##0_-;\-* #,##0_-;_-* &quot;-&quot;?_-;_-@_-"/>
  </numFmts>
  <fonts count="20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i/>
      <sz val="10"/>
      <name val="Arial"/>
      <family val="2"/>
    </font>
    <font>
      <b/>
      <sz val="12"/>
      <color indexed="10"/>
      <name val="Arial"/>
      <family val="2"/>
    </font>
    <font>
      <i/>
      <sz val="8"/>
      <color indexed="81"/>
      <name val="Tahoma"/>
      <family val="2"/>
    </font>
    <font>
      <sz val="8"/>
      <color indexed="81"/>
      <name val="Tahoma"/>
      <family val="2"/>
    </font>
    <font>
      <sz val="8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name val="Arial"/>
      <family val="2"/>
    </font>
    <font>
      <b/>
      <sz val="8"/>
      <color indexed="81"/>
      <name val="Tahoma"/>
      <family val="2"/>
    </font>
    <font>
      <b/>
      <sz val="16"/>
      <name val="Arial"/>
      <family val="2"/>
    </font>
    <font>
      <sz val="11"/>
      <color theme="0"/>
      <name val="Calibri"/>
      <family val="2"/>
      <scheme val="minor"/>
    </font>
    <font>
      <sz val="16"/>
      <name val="Arial"/>
      <family val="2"/>
    </font>
    <font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4"/>
        <bgColor indexed="24"/>
      </patternFill>
    </fill>
    <fill>
      <patternFill patternType="solid">
        <fgColor theme="0" tint="-0.14999847407452621"/>
        <bgColor indexed="64"/>
      </patternFill>
    </fill>
  </fills>
  <borders count="4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9" fillId="0" borderId="0" applyFont="0" applyFill="0" applyBorder="0" applyAlignment="0" applyProtection="0"/>
    <xf numFmtId="9" fontId="9" fillId="0" borderId="0" applyFont="0" applyFill="0" applyBorder="0" applyAlignment="0" applyProtection="0"/>
  </cellStyleXfs>
  <cellXfs count="262">
    <xf numFmtId="0" fontId="0" fillId="0" borderId="0" xfId="0"/>
    <xf numFmtId="0" fontId="0" fillId="2" borderId="0" xfId="0" applyFill="1"/>
    <xf numFmtId="0" fontId="2" fillId="2" borderId="3" xfId="0" applyFont="1" applyFill="1" applyBorder="1" applyAlignment="1">
      <alignment horizontal="right"/>
    </xf>
    <xf numFmtId="0" fontId="2" fillId="4" borderId="4" xfId="0" applyFont="1" applyFill="1" applyBorder="1"/>
    <xf numFmtId="0" fontId="2" fillId="2" borderId="16" xfId="0" applyFont="1" applyFill="1" applyBorder="1" applyAlignment="1">
      <alignment horizontal="right"/>
    </xf>
    <xf numFmtId="0" fontId="2" fillId="4" borderId="17" xfId="0" applyFont="1" applyFill="1" applyBorder="1"/>
    <xf numFmtId="0" fontId="1" fillId="3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0" fillId="2" borderId="0" xfId="0" applyFill="1" applyAlignment="1">
      <alignment wrapText="1"/>
    </xf>
    <xf numFmtId="0" fontId="0" fillId="2" borderId="4" xfId="0" applyFill="1" applyBorder="1"/>
    <xf numFmtId="0" fontId="0" fillId="2" borderId="17" xfId="0" applyFill="1" applyBorder="1"/>
    <xf numFmtId="0" fontId="1" fillId="2" borderId="0" xfId="0" applyFont="1" applyFill="1"/>
    <xf numFmtId="0" fontId="4" fillId="2" borderId="0" xfId="0" applyFont="1" applyFill="1"/>
    <xf numFmtId="0" fontId="0" fillId="2" borderId="18" xfId="0" applyFill="1" applyBorder="1"/>
    <xf numFmtId="0" fontId="0" fillId="2" borderId="0" xfId="0" applyFill="1" applyBorder="1"/>
    <xf numFmtId="0" fontId="2" fillId="2" borderId="0" xfId="0" applyFont="1" applyFill="1" applyBorder="1"/>
    <xf numFmtId="0" fontId="8" fillId="2" borderId="0" xfId="0" applyFont="1" applyFill="1"/>
    <xf numFmtId="0" fontId="1" fillId="3" borderId="18" xfId="0" applyFont="1" applyFill="1" applyBorder="1" applyAlignment="1">
      <alignment horizontal="center" vertical="center" wrapText="1"/>
    </xf>
    <xf numFmtId="0" fontId="0" fillId="2" borderId="18" xfId="0" applyFill="1" applyBorder="1" applyAlignment="1">
      <alignment horizontal="center"/>
    </xf>
    <xf numFmtId="0" fontId="1" fillId="3" borderId="18" xfId="0" applyFont="1" applyFill="1" applyBorder="1" applyAlignment="1">
      <alignment horizontal="center" vertical="center" wrapText="1"/>
    </xf>
    <xf numFmtId="0" fontId="0" fillId="2" borderId="18" xfId="0" applyFill="1" applyBorder="1" applyAlignment="1">
      <alignment horizontal="left"/>
    </xf>
    <xf numFmtId="49" fontId="3" fillId="2" borderId="0" xfId="0" applyNumberFormat="1" applyFont="1" applyFill="1" applyBorder="1" applyAlignment="1">
      <alignment horizontal="right"/>
    </xf>
    <xf numFmtId="49" fontId="0" fillId="2" borderId="0" xfId="0" applyNumberFormat="1" applyFill="1" applyBorder="1" applyAlignment="1">
      <alignment horizontal="left"/>
    </xf>
    <xf numFmtId="0" fontId="1" fillId="3" borderId="21" xfId="0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4" xfId="0" applyFill="1" applyBorder="1" applyAlignment="1">
      <alignment horizontal="center"/>
    </xf>
    <xf numFmtId="0" fontId="0" fillId="2" borderId="16" xfId="0" applyFill="1" applyBorder="1"/>
    <xf numFmtId="0" fontId="0" fillId="2" borderId="22" xfId="0" applyFill="1" applyBorder="1"/>
    <xf numFmtId="0" fontId="0" fillId="2" borderId="17" xfId="0" applyFill="1" applyBorder="1" applyAlignment="1">
      <alignment horizontal="center"/>
    </xf>
    <xf numFmtId="0" fontId="3" fillId="2" borderId="16" xfId="0" applyFont="1" applyFill="1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0" fontId="1" fillId="3" borderId="20" xfId="0" applyFont="1" applyFill="1" applyBorder="1" applyAlignment="1">
      <alignment horizontal="center" vertical="center" wrapText="1"/>
    </xf>
    <xf numFmtId="0" fontId="3" fillId="2" borderId="20" xfId="0" applyFont="1" applyFill="1" applyBorder="1" applyAlignment="1">
      <alignment horizontal="center"/>
    </xf>
    <xf numFmtId="0" fontId="2" fillId="4" borderId="23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 vertical="center" wrapText="1"/>
    </xf>
    <xf numFmtId="0" fontId="1" fillId="3" borderId="24" xfId="0" applyFont="1" applyFill="1" applyBorder="1" applyAlignment="1">
      <alignment horizontal="center" vertical="center" wrapText="1"/>
    </xf>
    <xf numFmtId="0" fontId="3" fillId="2" borderId="25" xfId="0" applyFont="1" applyFill="1" applyBorder="1" applyAlignment="1">
      <alignment horizontal="center"/>
    </xf>
    <xf numFmtId="0" fontId="1" fillId="3" borderId="25" xfId="0" applyFont="1" applyFill="1" applyBorder="1" applyAlignment="1">
      <alignment horizontal="center" vertical="center" wrapText="1"/>
    </xf>
    <xf numFmtId="2" fontId="3" fillId="2" borderId="20" xfId="0" applyNumberFormat="1" applyFont="1" applyFill="1" applyBorder="1" applyAlignment="1">
      <alignment horizontal="center"/>
    </xf>
    <xf numFmtId="0" fontId="1" fillId="2" borderId="20" xfId="0" applyFont="1" applyFill="1" applyBorder="1" applyAlignment="1">
      <alignment horizontal="center"/>
    </xf>
    <xf numFmtId="2" fontId="5" fillId="2" borderId="20" xfId="0" applyNumberFormat="1" applyFont="1" applyFill="1" applyBorder="1" applyAlignment="1">
      <alignment horizontal="center"/>
    </xf>
    <xf numFmtId="0" fontId="2" fillId="4" borderId="18" xfId="0" applyFont="1" applyFill="1" applyBorder="1"/>
    <xf numFmtId="0" fontId="1" fillId="3" borderId="18" xfId="0" applyFont="1" applyFill="1" applyBorder="1" applyAlignment="1">
      <alignment horizontal="center" vertical="center" wrapText="1"/>
    </xf>
    <xf numFmtId="0" fontId="10" fillId="0" borderId="0" xfId="0" applyFont="1"/>
    <xf numFmtId="0" fontId="2" fillId="4" borderId="18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0" fillId="2" borderId="37" xfId="0" applyFill="1" applyBorder="1" applyAlignment="1">
      <alignment horizontal="center"/>
    </xf>
    <xf numFmtId="14" fontId="0" fillId="2" borderId="18" xfId="0" applyNumberFormat="1" applyFill="1" applyBorder="1" applyAlignment="1">
      <alignment horizontal="center"/>
    </xf>
    <xf numFmtId="164" fontId="0" fillId="2" borderId="18" xfId="1" applyFont="1" applyFill="1" applyBorder="1" applyAlignment="1">
      <alignment horizontal="center"/>
    </xf>
    <xf numFmtId="0" fontId="0" fillId="2" borderId="18" xfId="1" applyNumberFormat="1" applyFont="1" applyFill="1" applyBorder="1" applyAlignment="1">
      <alignment horizontal="center"/>
    </xf>
    <xf numFmtId="0" fontId="0" fillId="2" borderId="18" xfId="0" applyFill="1" applyBorder="1" applyAlignment="1">
      <alignment horizontal="right"/>
    </xf>
    <xf numFmtId="14" fontId="0" fillId="2" borderId="18" xfId="0" applyNumberFormat="1" applyFill="1" applyBorder="1" applyAlignment="1">
      <alignment horizontal="center" wrapText="1"/>
    </xf>
    <xf numFmtId="0" fontId="0" fillId="2" borderId="18" xfId="0" applyFill="1" applyBorder="1" applyAlignment="1">
      <alignment horizontal="center" wrapText="1"/>
    </xf>
    <xf numFmtId="0" fontId="0" fillId="2" borderId="18" xfId="0" applyFill="1" applyBorder="1" applyAlignment="1">
      <alignment horizontal="center" vertical="center"/>
    </xf>
    <xf numFmtId="14" fontId="11" fillId="2" borderId="18" xfId="0" applyNumberFormat="1" applyFont="1" applyFill="1" applyBorder="1" applyAlignment="1">
      <alignment horizontal="center"/>
    </xf>
    <xf numFmtId="14" fontId="0" fillId="5" borderId="18" xfId="0" applyNumberFormat="1" applyFill="1" applyBorder="1" applyAlignment="1">
      <alignment horizontal="center"/>
    </xf>
    <xf numFmtId="0" fontId="0" fillId="2" borderId="19" xfId="0" applyFill="1" applyBorder="1"/>
    <xf numFmtId="9" fontId="0" fillId="2" borderId="0" xfId="0" applyNumberFormat="1" applyFill="1"/>
    <xf numFmtId="0" fontId="13" fillId="6" borderId="3" xfId="0" applyFont="1" applyFill="1" applyBorder="1" applyAlignment="1">
      <alignment horizontal="center" vertical="center" wrapText="1"/>
    </xf>
    <xf numFmtId="0" fontId="13" fillId="6" borderId="18" xfId="0" applyFont="1" applyFill="1" applyBorder="1" applyAlignment="1">
      <alignment horizontal="center" vertical="center" wrapText="1"/>
    </xf>
    <xf numFmtId="0" fontId="0" fillId="2" borderId="3" xfId="0" applyFill="1" applyBorder="1" applyAlignment="1"/>
    <xf numFmtId="10" fontId="0" fillId="4" borderId="18" xfId="2" applyNumberFormat="1" applyFont="1" applyFill="1" applyBorder="1" applyAlignment="1">
      <alignment horizontal="center"/>
    </xf>
    <xf numFmtId="10" fontId="0" fillId="2" borderId="0" xfId="0" applyNumberFormat="1" applyFill="1" applyAlignment="1">
      <alignment horizontal="center"/>
    </xf>
    <xf numFmtId="164" fontId="0" fillId="2" borderId="18" xfId="1" applyFont="1" applyFill="1" applyBorder="1"/>
    <xf numFmtId="0" fontId="0" fillId="2" borderId="0" xfId="0" applyFont="1" applyFill="1"/>
    <xf numFmtId="0" fontId="3" fillId="2" borderId="18" xfId="0" applyFont="1" applyFill="1" applyBorder="1" applyAlignment="1">
      <alignment horizontal="right"/>
    </xf>
    <xf numFmtId="164" fontId="9" fillId="0" borderId="18" xfId="1" applyFont="1" applyFill="1" applyBorder="1" applyAlignment="1">
      <alignment horizontal="center"/>
    </xf>
    <xf numFmtId="164" fontId="3" fillId="2" borderId="18" xfId="0" applyNumberFormat="1" applyFont="1" applyFill="1" applyBorder="1" applyAlignment="1">
      <alignment horizontal="center"/>
    </xf>
    <xf numFmtId="0" fontId="0" fillId="2" borderId="18" xfId="0" applyFont="1" applyFill="1" applyBorder="1" applyAlignment="1">
      <alignment horizontal="right"/>
    </xf>
    <xf numFmtId="0" fontId="1" fillId="3" borderId="37" xfId="0" applyFont="1" applyFill="1" applyBorder="1" applyAlignment="1">
      <alignment horizontal="center" vertical="center" wrapText="1"/>
    </xf>
    <xf numFmtId="0" fontId="1" fillId="3" borderId="18" xfId="0" applyFont="1" applyFill="1" applyBorder="1" applyAlignment="1">
      <alignment horizontal="center" vertical="center" wrapText="1"/>
    </xf>
    <xf numFmtId="0" fontId="2" fillId="4" borderId="18" xfId="0" applyFont="1" applyFill="1" applyBorder="1" applyAlignment="1">
      <alignment horizontal="center" vertical="center" wrapText="1"/>
    </xf>
    <xf numFmtId="0" fontId="2" fillId="4" borderId="18" xfId="0" applyFont="1" applyFill="1" applyBorder="1" applyAlignment="1">
      <alignment wrapText="1"/>
    </xf>
    <xf numFmtId="0" fontId="1" fillId="3" borderId="18" xfId="0" applyFont="1" applyFill="1" applyBorder="1" applyAlignment="1">
      <alignment horizontal="center" vertical="center" wrapText="1"/>
    </xf>
    <xf numFmtId="9" fontId="3" fillId="2" borderId="0" xfId="0" applyNumberFormat="1" applyFont="1" applyFill="1" applyAlignment="1">
      <alignment horizontal="center"/>
    </xf>
    <xf numFmtId="0" fontId="3" fillId="2" borderId="18" xfId="0" applyFont="1" applyFill="1" applyBorder="1" applyAlignment="1">
      <alignment horizontal="center"/>
    </xf>
    <xf numFmtId="9" fontId="0" fillId="2" borderId="18" xfId="0" applyNumberFormat="1" applyFill="1" applyBorder="1" applyAlignment="1">
      <alignment horizontal="center"/>
    </xf>
    <xf numFmtId="9" fontId="3" fillId="5" borderId="18" xfId="2" applyFont="1" applyFill="1" applyBorder="1" applyAlignment="1">
      <alignment horizontal="center"/>
    </xf>
    <xf numFmtId="0" fontId="0" fillId="2" borderId="26" xfId="0" applyFill="1" applyBorder="1" applyAlignment="1">
      <alignment horizontal="center"/>
    </xf>
    <xf numFmtId="9" fontId="0" fillId="2" borderId="26" xfId="0" applyNumberFormat="1" applyFill="1" applyBorder="1" applyAlignment="1">
      <alignment horizontal="center"/>
    </xf>
    <xf numFmtId="0" fontId="0" fillId="2" borderId="34" xfId="0" applyFill="1" applyBorder="1" applyAlignment="1">
      <alignment horizontal="center"/>
    </xf>
    <xf numFmtId="0" fontId="0" fillId="2" borderId="31" xfId="0" applyFill="1" applyBorder="1"/>
    <xf numFmtId="0" fontId="0" fillId="2" borderId="29" xfId="0" applyFill="1" applyBorder="1"/>
    <xf numFmtId="0" fontId="0" fillId="2" borderId="32" xfId="0" applyFill="1" applyBorder="1"/>
    <xf numFmtId="0" fontId="0" fillId="2" borderId="35" xfId="0" applyFill="1" applyBorder="1"/>
    <xf numFmtId="0" fontId="0" fillId="2" borderId="36" xfId="0" applyFill="1" applyBorder="1"/>
    <xf numFmtId="0" fontId="12" fillId="2" borderId="37" xfId="0" applyFont="1" applyFill="1" applyBorder="1"/>
    <xf numFmtId="0" fontId="0" fillId="2" borderId="40" xfId="0" applyFill="1" applyBorder="1"/>
    <xf numFmtId="0" fontId="0" fillId="2" borderId="33" xfId="0" applyFill="1" applyBorder="1" applyAlignment="1">
      <alignment horizontal="center"/>
    </xf>
    <xf numFmtId="9" fontId="0" fillId="2" borderId="34" xfId="0" applyNumberFormat="1" applyFill="1" applyBorder="1" applyAlignment="1">
      <alignment horizontal="center"/>
    </xf>
    <xf numFmtId="0" fontId="0" fillId="2" borderId="30" xfId="0" applyFill="1" applyBorder="1"/>
    <xf numFmtId="9" fontId="3" fillId="5" borderId="18" xfId="0" applyNumberFormat="1" applyFont="1" applyFill="1" applyBorder="1" applyAlignment="1">
      <alignment horizontal="center"/>
    </xf>
    <xf numFmtId="0" fontId="10" fillId="2" borderId="0" xfId="0" applyFont="1" applyFill="1"/>
    <xf numFmtId="0" fontId="10" fillId="2" borderId="36" xfId="0" applyFont="1" applyFill="1" applyBorder="1"/>
    <xf numFmtId="0" fontId="0" fillId="2" borderId="38" xfId="0" applyFill="1" applyBorder="1"/>
    <xf numFmtId="9" fontId="0" fillId="2" borderId="33" xfId="0" applyNumberFormat="1" applyFill="1" applyBorder="1" applyAlignment="1">
      <alignment horizontal="center"/>
    </xf>
    <xf numFmtId="9" fontId="0" fillId="2" borderId="26" xfId="2" applyFont="1" applyFill="1" applyBorder="1" applyAlignment="1">
      <alignment horizontal="center"/>
    </xf>
    <xf numFmtId="9" fontId="0" fillId="2" borderId="33" xfId="2" applyFont="1" applyFill="1" applyBorder="1" applyAlignment="1">
      <alignment horizontal="center"/>
    </xf>
    <xf numFmtId="9" fontId="0" fillId="2" borderId="34" xfId="2" applyFont="1" applyFill="1" applyBorder="1" applyAlignment="1">
      <alignment horizontal="center"/>
    </xf>
    <xf numFmtId="0" fontId="0" fillId="2" borderId="37" xfId="0" applyFill="1" applyBorder="1"/>
    <xf numFmtId="0" fontId="0" fillId="2" borderId="0" xfId="0" applyFill="1" applyAlignment="1">
      <alignment horizontal="right"/>
    </xf>
    <xf numFmtId="10" fontId="0" fillId="2" borderId="18" xfId="2" applyNumberFormat="1" applyFont="1" applyFill="1" applyBorder="1" applyAlignment="1">
      <alignment horizontal="center"/>
    </xf>
    <xf numFmtId="0" fontId="3" fillId="2" borderId="0" xfId="0" applyFont="1" applyFill="1" applyAlignment="1">
      <alignment horizontal="right"/>
    </xf>
    <xf numFmtId="165" fontId="3" fillId="2" borderId="18" xfId="1" applyNumberFormat="1" applyFont="1" applyFill="1" applyBorder="1" applyAlignment="1">
      <alignment horizontal="center"/>
    </xf>
    <xf numFmtId="0" fontId="16" fillId="2" borderId="0" xfId="0" applyFont="1" applyFill="1"/>
    <xf numFmtId="0" fontId="0" fillId="4" borderId="18" xfId="0" applyFill="1" applyBorder="1"/>
    <xf numFmtId="9" fontId="0" fillId="2" borderId="33" xfId="2" applyNumberFormat="1" applyFont="1" applyFill="1" applyBorder="1" applyAlignment="1">
      <alignment horizontal="center"/>
    </xf>
    <xf numFmtId="9" fontId="0" fillId="2" borderId="26" xfId="2" applyNumberFormat="1" applyFont="1" applyFill="1" applyBorder="1" applyAlignment="1">
      <alignment horizontal="center"/>
    </xf>
    <xf numFmtId="9" fontId="0" fillId="2" borderId="34" xfId="2" applyNumberFormat="1" applyFont="1" applyFill="1" applyBorder="1" applyAlignment="1">
      <alignment horizontal="center"/>
    </xf>
    <xf numFmtId="165" fontId="3" fillId="2" borderId="18" xfId="1" applyNumberFormat="1" applyFont="1" applyFill="1" applyBorder="1"/>
    <xf numFmtId="9" fontId="0" fillId="2" borderId="8" xfId="0" applyNumberFormat="1" applyFill="1" applyBorder="1" applyAlignment="1">
      <alignment horizontal="center"/>
    </xf>
    <xf numFmtId="165" fontId="0" fillId="2" borderId="8" xfId="0" applyNumberFormat="1" applyFill="1" applyBorder="1"/>
    <xf numFmtId="166" fontId="0" fillId="2" borderId="31" xfId="0" applyNumberFormat="1" applyFill="1" applyBorder="1"/>
    <xf numFmtId="9" fontId="0" fillId="2" borderId="0" xfId="0" applyNumberFormat="1" applyFill="1" applyBorder="1" applyAlignment="1">
      <alignment horizontal="center"/>
    </xf>
    <xf numFmtId="165" fontId="0" fillId="2" borderId="0" xfId="0" applyNumberFormat="1" applyFill="1" applyBorder="1"/>
    <xf numFmtId="166" fontId="0" fillId="2" borderId="32" xfId="0" applyNumberFormat="1" applyFill="1" applyBorder="1"/>
    <xf numFmtId="9" fontId="0" fillId="2" borderId="19" xfId="0" applyNumberFormat="1" applyFill="1" applyBorder="1" applyAlignment="1">
      <alignment horizontal="center"/>
    </xf>
    <xf numFmtId="165" fontId="0" fillId="2" borderId="19" xfId="0" applyNumberFormat="1" applyFill="1" applyBorder="1"/>
    <xf numFmtId="166" fontId="0" fillId="2" borderId="36" xfId="0" applyNumberFormat="1" applyFill="1" applyBorder="1"/>
    <xf numFmtId="166" fontId="3" fillId="2" borderId="18" xfId="0" applyNumberFormat="1" applyFont="1" applyFill="1" applyBorder="1"/>
    <xf numFmtId="0" fontId="18" fillId="2" borderId="0" xfId="0" applyFont="1" applyFill="1" applyAlignment="1">
      <alignment horizontal="right" vertical="center"/>
    </xf>
    <xf numFmtId="0" fontId="0" fillId="2" borderId="30" xfId="0" applyNumberFormat="1" applyFill="1" applyBorder="1"/>
    <xf numFmtId="0" fontId="0" fillId="2" borderId="29" xfId="0" applyNumberFormat="1" applyFill="1" applyBorder="1"/>
    <xf numFmtId="0" fontId="0" fillId="2" borderId="35" xfId="0" applyNumberFormat="1" applyFill="1" applyBorder="1"/>
    <xf numFmtId="165" fontId="0" fillId="2" borderId="31" xfId="0" applyNumberFormat="1" applyFill="1" applyBorder="1"/>
    <xf numFmtId="165" fontId="0" fillId="2" borderId="32" xfId="0" applyNumberFormat="1" applyFill="1" applyBorder="1"/>
    <xf numFmtId="165" fontId="0" fillId="2" borderId="36" xfId="0" applyNumberFormat="1" applyFill="1" applyBorder="1"/>
    <xf numFmtId="167" fontId="2" fillId="0" borderId="18" xfId="0" applyNumberFormat="1" applyFont="1" applyFill="1" applyBorder="1" applyAlignment="1">
      <alignment horizontal="center"/>
    </xf>
    <xf numFmtId="0" fontId="1" fillId="3" borderId="18" xfId="0" applyFont="1" applyFill="1" applyBorder="1" applyAlignment="1">
      <alignment horizontal="center" vertical="center" wrapText="1"/>
    </xf>
    <xf numFmtId="0" fontId="0" fillId="2" borderId="26" xfId="0" applyFill="1" applyBorder="1"/>
    <xf numFmtId="0" fontId="0" fillId="2" borderId="34" xfId="0" applyFill="1" applyBorder="1"/>
    <xf numFmtId="0" fontId="0" fillId="2" borderId="33" xfId="0" applyFill="1" applyBorder="1"/>
    <xf numFmtId="0" fontId="0" fillId="4" borderId="38" xfId="0" applyFill="1" applyBorder="1"/>
    <xf numFmtId="0" fontId="1" fillId="3" borderId="33" xfId="0" applyFont="1" applyFill="1" applyBorder="1" applyAlignment="1">
      <alignment horizontal="center" vertical="center" wrapText="1"/>
    </xf>
    <xf numFmtId="165" fontId="0" fillId="2" borderId="30" xfId="0" applyNumberFormat="1" applyFill="1" applyBorder="1"/>
    <xf numFmtId="165" fontId="0" fillId="2" borderId="29" xfId="0" applyNumberFormat="1" applyFill="1" applyBorder="1"/>
    <xf numFmtId="165" fontId="0" fillId="2" borderId="35" xfId="0" applyNumberFormat="1" applyFill="1" applyBorder="1"/>
    <xf numFmtId="166" fontId="0" fillId="2" borderId="33" xfId="0" applyNumberFormat="1" applyFill="1" applyBorder="1"/>
    <xf numFmtId="166" fontId="0" fillId="2" borderId="26" xfId="0" applyNumberFormat="1" applyFill="1" applyBorder="1"/>
    <xf numFmtId="166" fontId="0" fillId="2" borderId="34" xfId="0" applyNumberFormat="1" applyFill="1" applyBorder="1"/>
    <xf numFmtId="165" fontId="3" fillId="2" borderId="0" xfId="1" applyNumberFormat="1" applyFont="1" applyFill="1" applyBorder="1"/>
    <xf numFmtId="9" fontId="0" fillId="4" borderId="18" xfId="0" applyNumberFormat="1" applyFill="1" applyBorder="1" applyAlignment="1">
      <alignment horizontal="center"/>
    </xf>
    <xf numFmtId="168" fontId="0" fillId="2" borderId="18" xfId="0" applyNumberFormat="1" applyFill="1" applyBorder="1"/>
    <xf numFmtId="0" fontId="1" fillId="3" borderId="18" xfId="0" applyFont="1" applyFill="1" applyBorder="1" applyAlignment="1">
      <alignment vertical="center" wrapText="1"/>
    </xf>
    <xf numFmtId="0" fontId="0" fillId="4" borderId="18" xfId="0" applyFill="1" applyBorder="1" applyAlignment="1">
      <alignment wrapText="1"/>
    </xf>
    <xf numFmtId="1" fontId="0" fillId="0" borderId="18" xfId="0" applyNumberFormat="1" applyFill="1" applyBorder="1" applyAlignment="1">
      <alignment horizontal="center"/>
    </xf>
    <xf numFmtId="168" fontId="0" fillId="4" borderId="18" xfId="0" applyNumberFormat="1" applyFill="1" applyBorder="1"/>
    <xf numFmtId="14" fontId="0" fillId="2" borderId="0" xfId="0" applyNumberFormat="1" applyFill="1"/>
    <xf numFmtId="0" fontId="1" fillId="3" borderId="18" xfId="0" applyFont="1" applyFill="1" applyBorder="1" applyAlignment="1">
      <alignment horizontal="center" vertical="center" wrapText="1"/>
    </xf>
    <xf numFmtId="0" fontId="1" fillId="3" borderId="18" xfId="0" applyFont="1" applyFill="1" applyBorder="1" applyAlignment="1">
      <alignment horizontal="center" vertical="center" wrapText="1"/>
    </xf>
    <xf numFmtId="0" fontId="2" fillId="2" borderId="18" xfId="0" applyFont="1" applyFill="1" applyBorder="1" applyAlignment="1">
      <alignment horizontal="center"/>
    </xf>
    <xf numFmtId="14" fontId="0" fillId="2" borderId="18" xfId="0" applyNumberFormat="1" applyFill="1" applyBorder="1"/>
    <xf numFmtId="14" fontId="2" fillId="2" borderId="18" xfId="0" applyNumberFormat="1" applyFont="1" applyFill="1" applyBorder="1"/>
    <xf numFmtId="0" fontId="2" fillId="2" borderId="18" xfId="0" applyFont="1" applyFill="1" applyBorder="1"/>
    <xf numFmtId="0" fontId="0" fillId="2" borderId="18" xfId="0" applyFill="1" applyBorder="1" applyAlignment="1">
      <alignment wrapText="1"/>
    </xf>
    <xf numFmtId="0" fontId="2" fillId="2" borderId="18" xfId="0" applyFont="1" applyFill="1" applyBorder="1" applyAlignment="1">
      <alignment wrapText="1"/>
    </xf>
    <xf numFmtId="49" fontId="3" fillId="2" borderId="18" xfId="0" applyNumberFormat="1" applyFont="1" applyFill="1" applyBorder="1" applyAlignment="1">
      <alignment horizontal="right"/>
    </xf>
    <xf numFmtId="0" fontId="0" fillId="2" borderId="18" xfId="0" applyNumberFormat="1" applyFill="1" applyBorder="1" applyAlignment="1">
      <alignment horizontal="left"/>
    </xf>
    <xf numFmtId="9" fontId="0" fillId="2" borderId="31" xfId="0" applyNumberFormat="1" applyFill="1" applyBorder="1" applyAlignment="1">
      <alignment horizontal="center"/>
    </xf>
    <xf numFmtId="9" fontId="0" fillId="2" borderId="32" xfId="0" applyNumberFormat="1" applyFill="1" applyBorder="1" applyAlignment="1">
      <alignment horizontal="center"/>
    </xf>
    <xf numFmtId="0" fontId="12" fillId="2" borderId="30" xfId="0" applyFont="1" applyFill="1" applyBorder="1"/>
    <xf numFmtId="9" fontId="3" fillId="5" borderId="34" xfId="0" applyNumberFormat="1" applyFont="1" applyFill="1" applyBorder="1" applyAlignment="1">
      <alignment horizontal="center"/>
    </xf>
    <xf numFmtId="0" fontId="3" fillId="2" borderId="33" xfId="0" applyFont="1" applyFill="1" applyBorder="1" applyAlignment="1">
      <alignment horizontal="center"/>
    </xf>
    <xf numFmtId="0" fontId="0" fillId="2" borderId="8" xfId="0" applyFill="1" applyBorder="1"/>
    <xf numFmtId="0" fontId="19" fillId="2" borderId="0" xfId="0" applyFont="1" applyFill="1" applyAlignment="1">
      <alignment horizontal="right"/>
    </xf>
    <xf numFmtId="166" fontId="16" fillId="2" borderId="0" xfId="0" applyNumberFormat="1" applyFont="1" applyFill="1"/>
    <xf numFmtId="9" fontId="0" fillId="2" borderId="18" xfId="2" applyFont="1" applyFill="1" applyBorder="1" applyAlignment="1">
      <alignment horizontal="center"/>
    </xf>
    <xf numFmtId="169" fontId="11" fillId="4" borderId="18" xfId="0" applyNumberFormat="1" applyFont="1" applyFill="1" applyBorder="1"/>
    <xf numFmtId="0" fontId="0" fillId="4" borderId="18" xfId="0" applyFill="1" applyBorder="1" applyProtection="1"/>
    <xf numFmtId="0" fontId="1" fillId="3" borderId="18" xfId="0" applyFont="1" applyFill="1" applyBorder="1" applyAlignment="1">
      <alignment horizontal="center" vertical="center" wrapText="1"/>
    </xf>
    <xf numFmtId="0" fontId="16" fillId="2" borderId="0" xfId="0" applyFont="1" applyFill="1" applyAlignment="1">
      <alignment horizontal="center"/>
    </xf>
    <xf numFmtId="0" fontId="1" fillId="3" borderId="18" xfId="0" applyFont="1" applyFill="1" applyBorder="1" applyAlignment="1">
      <alignment horizontal="center" vertical="center" wrapText="1"/>
    </xf>
    <xf numFmtId="166" fontId="3" fillId="2" borderId="18" xfId="0" applyNumberFormat="1" applyFont="1" applyFill="1" applyBorder="1" applyAlignment="1">
      <alignment horizontal="center"/>
    </xf>
    <xf numFmtId="169" fontId="11" fillId="4" borderId="18" xfId="0" applyNumberFormat="1" applyFont="1" applyFill="1" applyBorder="1" applyAlignment="1">
      <alignment horizontal="center"/>
    </xf>
    <xf numFmtId="0" fontId="1" fillId="3" borderId="18" xfId="0" applyFont="1" applyFill="1" applyBorder="1" applyAlignment="1">
      <alignment horizontal="center" vertical="center" wrapText="1"/>
    </xf>
    <xf numFmtId="0" fontId="1" fillId="3" borderId="18" xfId="0" applyFont="1" applyFill="1" applyBorder="1" applyAlignment="1">
      <alignment horizontal="center" vertical="center" wrapText="1"/>
    </xf>
    <xf numFmtId="0" fontId="2" fillId="4" borderId="18" xfId="0" applyFont="1" applyFill="1" applyBorder="1" applyAlignment="1">
      <alignment horizontal="left" vertical="center"/>
    </xf>
    <xf numFmtId="0" fontId="2" fillId="4" borderId="18" xfId="0" applyFont="1" applyFill="1" applyBorder="1" applyProtection="1"/>
    <xf numFmtId="0" fontId="2" fillId="4" borderId="30" xfId="0" applyFont="1" applyFill="1" applyBorder="1" applyAlignment="1" applyProtection="1">
      <alignment horizontal="left" vertical="top"/>
    </xf>
    <xf numFmtId="0" fontId="2" fillId="4" borderId="8" xfId="0" applyFont="1" applyFill="1" applyBorder="1" applyAlignment="1" applyProtection="1">
      <alignment horizontal="left" vertical="top"/>
    </xf>
    <xf numFmtId="0" fontId="2" fillId="4" borderId="31" xfId="0" applyFont="1" applyFill="1" applyBorder="1" applyAlignment="1" applyProtection="1">
      <alignment horizontal="left" vertical="top"/>
    </xf>
    <xf numFmtId="0" fontId="2" fillId="4" borderId="29" xfId="0" applyFont="1" applyFill="1" applyBorder="1" applyAlignment="1" applyProtection="1">
      <alignment horizontal="left" vertical="top"/>
    </xf>
    <xf numFmtId="0" fontId="2" fillId="4" borderId="0" xfId="0" applyFont="1" applyFill="1" applyBorder="1" applyAlignment="1" applyProtection="1">
      <alignment horizontal="left" vertical="top"/>
    </xf>
    <xf numFmtId="0" fontId="2" fillId="4" borderId="32" xfId="0" applyFont="1" applyFill="1" applyBorder="1" applyAlignment="1" applyProtection="1">
      <alignment horizontal="left" vertical="top"/>
    </xf>
    <xf numFmtId="0" fontId="2" fillId="4" borderId="35" xfId="0" applyFont="1" applyFill="1" applyBorder="1" applyAlignment="1" applyProtection="1">
      <alignment horizontal="left" vertical="top"/>
    </xf>
    <xf numFmtId="0" fontId="2" fillId="4" borderId="19" xfId="0" applyFont="1" applyFill="1" applyBorder="1" applyAlignment="1" applyProtection="1">
      <alignment horizontal="left" vertical="top"/>
    </xf>
    <xf numFmtId="0" fontId="2" fillId="4" borderId="36" xfId="0" applyFont="1" applyFill="1" applyBorder="1" applyAlignment="1" applyProtection="1">
      <alignment horizontal="left" vertical="top"/>
    </xf>
    <xf numFmtId="14" fontId="2" fillId="4" borderId="33" xfId="0" applyNumberFormat="1" applyFont="1" applyFill="1" applyBorder="1" applyAlignment="1" applyProtection="1">
      <alignment horizontal="center" vertical="center"/>
    </xf>
    <xf numFmtId="0" fontId="2" fillId="4" borderId="34" xfId="0" applyFont="1" applyFill="1" applyBorder="1" applyAlignment="1" applyProtection="1">
      <alignment horizontal="center" vertical="center"/>
    </xf>
    <xf numFmtId="14" fontId="2" fillId="4" borderId="26" xfId="0" applyNumberFormat="1" applyFont="1" applyFill="1" applyBorder="1" applyAlignment="1" applyProtection="1">
      <alignment horizontal="center" vertical="center"/>
    </xf>
    <xf numFmtId="0" fontId="1" fillId="3" borderId="18" xfId="0" applyFont="1" applyFill="1" applyBorder="1" applyAlignment="1">
      <alignment horizontal="center" vertical="center" wrapText="1"/>
    </xf>
    <xf numFmtId="0" fontId="1" fillId="3" borderId="37" xfId="0" applyFont="1" applyFill="1" applyBorder="1" applyAlignment="1">
      <alignment horizontal="center" vertical="center" wrapText="1"/>
    </xf>
    <xf numFmtId="0" fontId="1" fillId="3" borderId="38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2" fillId="4" borderId="11" xfId="0" applyFont="1" applyFill="1" applyBorder="1" applyAlignment="1">
      <alignment horizontal="center" wrapText="1"/>
    </xf>
    <xf numFmtId="0" fontId="2" fillId="4" borderId="8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0" fontId="2" fillId="4" borderId="13" xfId="0" applyFont="1" applyFill="1" applyBorder="1" applyAlignment="1">
      <alignment horizontal="center"/>
    </xf>
    <xf numFmtId="0" fontId="2" fillId="4" borderId="14" xfId="0" applyFont="1" applyFill="1" applyBorder="1" applyAlignment="1">
      <alignment horizontal="center"/>
    </xf>
    <xf numFmtId="0" fontId="2" fillId="4" borderId="15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27" xfId="0" applyFont="1" applyFill="1" applyBorder="1" applyAlignment="1">
      <alignment horizontal="center" vertical="center" wrapText="1"/>
    </xf>
    <xf numFmtId="0" fontId="1" fillId="3" borderId="28" xfId="0" applyFont="1" applyFill="1" applyBorder="1" applyAlignment="1">
      <alignment horizontal="center" vertical="center" wrapText="1"/>
    </xf>
    <xf numFmtId="0" fontId="13" fillId="6" borderId="18" xfId="0" applyFont="1" applyFill="1" applyBorder="1" applyAlignment="1">
      <alignment horizontal="center" vertical="center" wrapText="1"/>
    </xf>
    <xf numFmtId="0" fontId="13" fillId="6" borderId="39" xfId="0" applyFont="1" applyFill="1" applyBorder="1" applyAlignment="1">
      <alignment horizontal="center" vertical="center" wrapText="1"/>
    </xf>
    <xf numFmtId="0" fontId="13" fillId="6" borderId="38" xfId="0" applyFont="1" applyFill="1" applyBorder="1" applyAlignment="1">
      <alignment horizontal="center" vertical="center" wrapText="1"/>
    </xf>
    <xf numFmtId="0" fontId="2" fillId="4" borderId="33" xfId="0" applyFont="1" applyFill="1" applyBorder="1" applyAlignment="1">
      <alignment horizontal="center" vertical="center"/>
    </xf>
    <xf numFmtId="0" fontId="2" fillId="4" borderId="26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14" fontId="2" fillId="4" borderId="33" xfId="0" applyNumberFormat="1" applyFont="1" applyFill="1" applyBorder="1" applyAlignment="1" applyProtection="1">
      <alignment horizontal="center" vertical="center"/>
    </xf>
    <xf numFmtId="0" fontId="2" fillId="4" borderId="26" xfId="0" applyFont="1" applyFill="1" applyBorder="1" applyAlignment="1" applyProtection="1">
      <alignment horizontal="center" vertical="center"/>
    </xf>
    <xf numFmtId="0" fontId="2" fillId="4" borderId="34" xfId="0" applyFont="1" applyFill="1" applyBorder="1" applyAlignment="1" applyProtection="1">
      <alignment horizontal="center" vertical="center"/>
    </xf>
    <xf numFmtId="0" fontId="2" fillId="4" borderId="30" xfId="0" applyFont="1" applyFill="1" applyBorder="1" applyAlignment="1" applyProtection="1">
      <alignment horizontal="left" vertical="top"/>
    </xf>
    <xf numFmtId="0" fontId="2" fillId="4" borderId="8" xfId="0" applyFont="1" applyFill="1" applyBorder="1" applyAlignment="1" applyProtection="1">
      <alignment horizontal="left" vertical="top"/>
    </xf>
    <xf numFmtId="0" fontId="2" fillId="4" borderId="31" xfId="0" applyFont="1" applyFill="1" applyBorder="1" applyAlignment="1" applyProtection="1">
      <alignment horizontal="left" vertical="top"/>
    </xf>
    <xf numFmtId="0" fontId="2" fillId="4" borderId="29" xfId="0" applyFont="1" applyFill="1" applyBorder="1" applyAlignment="1" applyProtection="1">
      <alignment horizontal="left" vertical="top"/>
    </xf>
    <xf numFmtId="0" fontId="2" fillId="4" borderId="0" xfId="0" applyFont="1" applyFill="1" applyBorder="1" applyAlignment="1" applyProtection="1">
      <alignment horizontal="left" vertical="top"/>
    </xf>
    <xf numFmtId="0" fontId="2" fillId="4" borderId="32" xfId="0" applyFont="1" applyFill="1" applyBorder="1" applyAlignment="1" applyProtection="1">
      <alignment horizontal="left" vertical="top"/>
    </xf>
    <xf numFmtId="0" fontId="2" fillId="4" borderId="35" xfId="0" applyFont="1" applyFill="1" applyBorder="1" applyAlignment="1" applyProtection="1">
      <alignment horizontal="left" vertical="top"/>
    </xf>
    <xf numFmtId="0" fontId="2" fillId="4" borderId="19" xfId="0" applyFont="1" applyFill="1" applyBorder="1" applyAlignment="1" applyProtection="1">
      <alignment horizontal="left" vertical="top"/>
    </xf>
    <xf numFmtId="0" fontId="2" fillId="4" borderId="36" xfId="0" applyFont="1" applyFill="1" applyBorder="1" applyAlignment="1" applyProtection="1">
      <alignment horizontal="left" vertical="top"/>
    </xf>
    <xf numFmtId="0" fontId="2" fillId="4" borderId="30" xfId="0" applyFont="1" applyFill="1" applyBorder="1" applyAlignment="1">
      <alignment horizontal="left" vertical="top"/>
    </xf>
    <xf numFmtId="0" fontId="2" fillId="4" borderId="8" xfId="0" applyFont="1" applyFill="1" applyBorder="1" applyAlignment="1">
      <alignment horizontal="left" vertical="top"/>
    </xf>
    <xf numFmtId="0" fontId="2" fillId="4" borderId="31" xfId="0" applyFont="1" applyFill="1" applyBorder="1" applyAlignment="1">
      <alignment horizontal="left" vertical="top"/>
    </xf>
    <xf numFmtId="0" fontId="2" fillId="4" borderId="29" xfId="0" applyFont="1" applyFill="1" applyBorder="1" applyAlignment="1">
      <alignment horizontal="left" vertical="top"/>
    </xf>
    <xf numFmtId="0" fontId="2" fillId="4" borderId="0" xfId="0" applyFont="1" applyFill="1" applyBorder="1" applyAlignment="1">
      <alignment horizontal="left" vertical="top"/>
    </xf>
    <xf numFmtId="0" fontId="2" fillId="4" borderId="32" xfId="0" applyFont="1" applyFill="1" applyBorder="1" applyAlignment="1">
      <alignment horizontal="left" vertical="top"/>
    </xf>
    <xf numFmtId="0" fontId="2" fillId="4" borderId="35" xfId="0" applyFont="1" applyFill="1" applyBorder="1" applyAlignment="1">
      <alignment horizontal="left" vertical="top"/>
    </xf>
    <xf numFmtId="0" fontId="2" fillId="4" borderId="19" xfId="0" applyFont="1" applyFill="1" applyBorder="1" applyAlignment="1">
      <alignment horizontal="left" vertical="top"/>
    </xf>
    <xf numFmtId="0" fontId="2" fillId="4" borderId="36" xfId="0" applyFont="1" applyFill="1" applyBorder="1" applyAlignment="1">
      <alignment horizontal="left" vertical="top"/>
    </xf>
    <xf numFmtId="14" fontId="2" fillId="4" borderId="33" xfId="0" applyNumberFormat="1" applyFont="1" applyFill="1" applyBorder="1" applyAlignment="1">
      <alignment horizontal="center" vertical="center"/>
    </xf>
    <xf numFmtId="0" fontId="2" fillId="4" borderId="30" xfId="0" applyFont="1" applyFill="1" applyBorder="1" applyAlignment="1">
      <alignment horizontal="left" vertical="top" wrapText="1"/>
    </xf>
    <xf numFmtId="0" fontId="2" fillId="4" borderId="30" xfId="0" applyFont="1" applyFill="1" applyBorder="1" applyAlignment="1" applyProtection="1">
      <alignment horizontal="left" vertical="top" wrapText="1"/>
    </xf>
    <xf numFmtId="0" fontId="15" fillId="3" borderId="37" xfId="0" applyFont="1" applyFill="1" applyBorder="1" applyAlignment="1">
      <alignment horizontal="left" vertical="center" wrapText="1"/>
    </xf>
    <xf numFmtId="0" fontId="15" fillId="3" borderId="38" xfId="0" applyFont="1" applyFill="1" applyBorder="1" applyAlignment="1">
      <alignment horizontal="left" vertical="center" wrapText="1"/>
    </xf>
    <xf numFmtId="0" fontId="0" fillId="7" borderId="30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0" fillId="7" borderId="31" xfId="0" applyFill="1" applyBorder="1" applyAlignment="1">
      <alignment horizontal="center"/>
    </xf>
    <xf numFmtId="0" fontId="0" fillId="7" borderId="29" xfId="0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0" fillId="7" borderId="32" xfId="0" applyFill="1" applyBorder="1" applyAlignment="1">
      <alignment horizontal="center"/>
    </xf>
    <xf numFmtId="0" fontId="0" fillId="7" borderId="35" xfId="0" applyFill="1" applyBorder="1" applyAlignment="1">
      <alignment horizontal="center"/>
    </xf>
    <xf numFmtId="0" fontId="0" fillId="7" borderId="19" xfId="0" applyFill="1" applyBorder="1" applyAlignment="1">
      <alignment horizontal="center"/>
    </xf>
    <xf numFmtId="0" fontId="0" fillId="7" borderId="36" xfId="0" applyFill="1" applyBorder="1" applyAlignment="1">
      <alignment horizontal="center"/>
    </xf>
    <xf numFmtId="0" fontId="0" fillId="7" borderId="37" xfId="0" applyFill="1" applyBorder="1" applyAlignment="1">
      <alignment horizontal="center"/>
    </xf>
    <xf numFmtId="0" fontId="0" fillId="7" borderId="40" xfId="0" applyFill="1" applyBorder="1" applyAlignment="1">
      <alignment horizontal="center"/>
    </xf>
    <xf numFmtId="0" fontId="0" fillId="7" borderId="38" xfId="0" applyFill="1" applyBorder="1" applyAlignment="1">
      <alignment horizontal="center"/>
    </xf>
    <xf numFmtId="0" fontId="17" fillId="4" borderId="37" xfId="0" applyFont="1" applyFill="1" applyBorder="1" applyAlignment="1">
      <alignment horizontal="left"/>
    </xf>
    <xf numFmtId="0" fontId="17" fillId="4" borderId="38" xfId="0" applyFont="1" applyFill="1" applyBorder="1" applyAlignment="1">
      <alignment horizontal="left"/>
    </xf>
    <xf numFmtId="0" fontId="0" fillId="0" borderId="38" xfId="0" applyBorder="1" applyAlignment="1">
      <alignment horizontal="left"/>
    </xf>
    <xf numFmtId="0" fontId="1" fillId="3" borderId="30" xfId="0" applyFont="1" applyFill="1" applyBorder="1" applyAlignment="1">
      <alignment horizontal="center" vertical="center" wrapText="1"/>
    </xf>
    <xf numFmtId="0" fontId="1" fillId="3" borderId="31" xfId="0" applyFont="1" applyFill="1" applyBorder="1" applyAlignment="1">
      <alignment horizontal="center" vertical="center" wrapText="1"/>
    </xf>
    <xf numFmtId="0" fontId="15" fillId="3" borderId="30" xfId="0" applyFont="1" applyFill="1" applyBorder="1" applyAlignment="1">
      <alignment horizontal="left" vertical="center" wrapText="1"/>
    </xf>
    <xf numFmtId="0" fontId="15" fillId="3" borderId="31" xfId="0" applyFont="1" applyFill="1" applyBorder="1" applyAlignment="1">
      <alignment horizontal="left" vertical="center" wrapText="1"/>
    </xf>
    <xf numFmtId="0" fontId="0" fillId="4" borderId="18" xfId="0" applyFill="1" applyBorder="1" applyAlignment="1">
      <alignment horizontal="left" wrapText="1"/>
    </xf>
    <xf numFmtId="0" fontId="1" fillId="3" borderId="40" xfId="0" applyFont="1" applyFill="1" applyBorder="1" applyAlignment="1">
      <alignment horizontal="center" vertical="center" wrapText="1"/>
    </xf>
  </cellXfs>
  <cellStyles count="3">
    <cellStyle name="Normal" xfId="0" builtinId="0"/>
    <cellStyle name="Porcentagem" xfId="2" builtinId="5"/>
    <cellStyle name="Vírgula" xfId="1" builtinId="3"/>
  </cellStyles>
  <dxfs count="7"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92D050"/>
        </patternFill>
      </fill>
    </dxf>
  </dxfs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1023021</xdr:colOff>
      <xdr:row>3</xdr:row>
      <xdr:rowOff>178594</xdr:rowOff>
    </xdr:to>
    <xdr:pic>
      <xdr:nvPicPr>
        <xdr:cNvPr id="2" name="Imagem 1" descr="Logo Spei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475459" cy="750094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611065</xdr:colOff>
      <xdr:row>3</xdr:row>
      <xdr:rowOff>178594</xdr:rowOff>
    </xdr:to>
    <xdr:pic>
      <xdr:nvPicPr>
        <xdr:cNvPr id="2" name="Imagem 1" descr="Logo Spei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468315" cy="75009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858715</xdr:colOff>
      <xdr:row>3</xdr:row>
      <xdr:rowOff>178594</xdr:rowOff>
    </xdr:to>
    <xdr:pic>
      <xdr:nvPicPr>
        <xdr:cNvPr id="3" name="Imagem 2" descr="Logo Spei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468315" cy="75009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858715</xdr:colOff>
      <xdr:row>3</xdr:row>
      <xdr:rowOff>178594</xdr:rowOff>
    </xdr:to>
    <xdr:pic>
      <xdr:nvPicPr>
        <xdr:cNvPr id="4" name="Imagem 3" descr="Logo Spei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468315" cy="75009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858715</xdr:colOff>
      <xdr:row>3</xdr:row>
      <xdr:rowOff>178594</xdr:rowOff>
    </xdr:to>
    <xdr:pic>
      <xdr:nvPicPr>
        <xdr:cNvPr id="5" name="Imagem 4" descr="Logo Spei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468315" cy="750094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611065</xdr:colOff>
      <xdr:row>3</xdr:row>
      <xdr:rowOff>178594</xdr:rowOff>
    </xdr:to>
    <xdr:pic>
      <xdr:nvPicPr>
        <xdr:cNvPr id="2" name="Imagem 1" descr="Logo Spei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8284" cy="750094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611065</xdr:colOff>
      <xdr:row>3</xdr:row>
      <xdr:rowOff>178594</xdr:rowOff>
    </xdr:to>
    <xdr:pic>
      <xdr:nvPicPr>
        <xdr:cNvPr id="2" name="Imagem 1" descr="Logo Spei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8284" cy="750094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611065</xdr:colOff>
      <xdr:row>3</xdr:row>
      <xdr:rowOff>178594</xdr:rowOff>
    </xdr:to>
    <xdr:pic>
      <xdr:nvPicPr>
        <xdr:cNvPr id="2" name="Imagem 1" descr="Logo Spei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20665" cy="750094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63378</xdr:colOff>
      <xdr:row>3</xdr:row>
      <xdr:rowOff>178594</xdr:rowOff>
    </xdr:to>
    <xdr:pic>
      <xdr:nvPicPr>
        <xdr:cNvPr id="2" name="Imagem 1" descr="Logo Spei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20665" cy="75009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63378</xdr:colOff>
      <xdr:row>3</xdr:row>
      <xdr:rowOff>178594</xdr:rowOff>
    </xdr:to>
    <xdr:pic>
      <xdr:nvPicPr>
        <xdr:cNvPr id="3" name="Imagem 2" descr="Logo Spei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468315" cy="750094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122910</xdr:colOff>
      <xdr:row>3</xdr:row>
      <xdr:rowOff>178594</xdr:rowOff>
    </xdr:to>
    <xdr:pic>
      <xdr:nvPicPr>
        <xdr:cNvPr id="2" name="Imagem 1" descr="Logo Spei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5903" cy="75009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122910</xdr:colOff>
      <xdr:row>3</xdr:row>
      <xdr:rowOff>178594</xdr:rowOff>
    </xdr:to>
    <xdr:pic>
      <xdr:nvPicPr>
        <xdr:cNvPr id="3" name="Imagem 2" descr="Logo Spei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5903" cy="75009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63378</xdr:colOff>
      <xdr:row>3</xdr:row>
      <xdr:rowOff>178594</xdr:rowOff>
    </xdr:to>
    <xdr:pic>
      <xdr:nvPicPr>
        <xdr:cNvPr id="4" name="Imagem 3" descr="Logo Spei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5903" cy="75009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63378</xdr:colOff>
      <xdr:row>3</xdr:row>
      <xdr:rowOff>178594</xdr:rowOff>
    </xdr:to>
    <xdr:pic>
      <xdr:nvPicPr>
        <xdr:cNvPr id="5" name="Imagem 4" descr="Logo Spei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5903" cy="750094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611065</xdr:colOff>
      <xdr:row>3</xdr:row>
      <xdr:rowOff>178594</xdr:rowOff>
    </xdr:to>
    <xdr:pic>
      <xdr:nvPicPr>
        <xdr:cNvPr id="2" name="Imagem 1" descr="Logo Spei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20665" cy="750094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611065</xdr:colOff>
      <xdr:row>3</xdr:row>
      <xdr:rowOff>178594</xdr:rowOff>
    </xdr:to>
    <xdr:pic>
      <xdr:nvPicPr>
        <xdr:cNvPr id="2" name="Imagem 1" descr="Logo Spei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20665" cy="750094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156246</xdr:colOff>
      <xdr:row>3</xdr:row>
      <xdr:rowOff>178594</xdr:rowOff>
    </xdr:to>
    <xdr:pic>
      <xdr:nvPicPr>
        <xdr:cNvPr id="2" name="Imagem 1" descr="Logo Spei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470696" cy="75009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2</xdr:row>
      <xdr:rowOff>0</xdr:rowOff>
    </xdr:from>
    <xdr:to>
      <xdr:col>15</xdr:col>
      <xdr:colOff>378619</xdr:colOff>
      <xdr:row>8</xdr:row>
      <xdr:rowOff>123825</xdr:rowOff>
    </xdr:to>
    <xdr:sp macro="" textlink="">
      <xdr:nvSpPr>
        <xdr:cNvPr id="1025" name="AutoShape 1" descr="http://www.spei.br/imagens/topo_geral2.jpg"/>
        <xdr:cNvSpPr>
          <a:spLocks noChangeAspect="1" noChangeArrowheads="1"/>
        </xdr:cNvSpPr>
      </xdr:nvSpPr>
      <xdr:spPr bwMode="auto">
        <a:xfrm>
          <a:off x="1219200" y="381000"/>
          <a:ext cx="7419975" cy="12668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11919</xdr:colOff>
      <xdr:row>0</xdr:row>
      <xdr:rowOff>9524</xdr:rowOff>
    </xdr:from>
    <xdr:to>
      <xdr:col>14</xdr:col>
      <xdr:colOff>561624</xdr:colOff>
      <xdr:row>10</xdr:row>
      <xdr:rowOff>11906</xdr:rowOff>
    </xdr:to>
    <xdr:pic>
      <xdr:nvPicPr>
        <xdr:cNvPr id="3" name="Imagem 2" descr="Banner Spei TCC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919" y="9524"/>
          <a:ext cx="11146268" cy="190738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291977</xdr:colOff>
      <xdr:row>3</xdr:row>
      <xdr:rowOff>178594</xdr:rowOff>
    </xdr:to>
    <xdr:pic>
      <xdr:nvPicPr>
        <xdr:cNvPr id="4" name="Imagem 3" descr="Logo Spei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470696" cy="75009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858715</xdr:colOff>
      <xdr:row>3</xdr:row>
      <xdr:rowOff>178594</xdr:rowOff>
    </xdr:to>
    <xdr:pic>
      <xdr:nvPicPr>
        <xdr:cNvPr id="3" name="Imagem 2" descr="Logo Spei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470696" cy="75009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863477</xdr:colOff>
      <xdr:row>3</xdr:row>
      <xdr:rowOff>178594</xdr:rowOff>
    </xdr:to>
    <xdr:pic>
      <xdr:nvPicPr>
        <xdr:cNvPr id="2" name="Imagem 1" descr="Logo Spei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470696" cy="75009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263403</xdr:colOff>
      <xdr:row>3</xdr:row>
      <xdr:rowOff>178594</xdr:rowOff>
    </xdr:to>
    <xdr:pic>
      <xdr:nvPicPr>
        <xdr:cNvPr id="2" name="Imagem 1" descr="Logo Spei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465934" cy="75009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251496</xdr:colOff>
      <xdr:row>3</xdr:row>
      <xdr:rowOff>178594</xdr:rowOff>
    </xdr:to>
    <xdr:pic>
      <xdr:nvPicPr>
        <xdr:cNvPr id="2" name="Imagem 1" descr="Logo Spei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465934" cy="750094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251496</xdr:colOff>
      <xdr:row>3</xdr:row>
      <xdr:rowOff>178594</xdr:rowOff>
    </xdr:to>
    <xdr:pic>
      <xdr:nvPicPr>
        <xdr:cNvPr id="2" name="Imagem 1" descr="Logo Spei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465934" cy="75009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251496</xdr:colOff>
      <xdr:row>3</xdr:row>
      <xdr:rowOff>178594</xdr:rowOff>
    </xdr:to>
    <xdr:pic>
      <xdr:nvPicPr>
        <xdr:cNvPr id="3" name="Imagem 2" descr="Logo Spei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470696" cy="75009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858715</xdr:colOff>
      <xdr:row>3</xdr:row>
      <xdr:rowOff>178594</xdr:rowOff>
    </xdr:to>
    <xdr:pic>
      <xdr:nvPicPr>
        <xdr:cNvPr id="2" name="Imagem 1" descr="Logo Spei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465934" cy="75009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zoomScale="80" zoomScaleNormal="80" workbookViewId="0">
      <selection activeCell="F15" sqref="F15"/>
    </sheetView>
  </sheetViews>
  <sheetFormatPr defaultRowHeight="15" x14ac:dyDescent="0.25"/>
  <cols>
    <col min="1" max="1" width="19.7109375" style="1" customWidth="1"/>
    <col min="2" max="2" width="30.85546875" style="1" customWidth="1"/>
    <col min="3" max="3" width="14.42578125" style="1" customWidth="1"/>
    <col min="4" max="4" width="9.140625" style="1"/>
    <col min="5" max="5" width="25.5703125" style="1" customWidth="1"/>
    <col min="6" max="6" width="24.85546875" style="1" customWidth="1"/>
    <col min="7" max="7" width="24.5703125" style="1" customWidth="1"/>
    <col min="8" max="8" width="25.7109375" style="1" customWidth="1"/>
    <col min="9" max="9" width="18.7109375" style="1" customWidth="1"/>
    <col min="10" max="16384" width="9.140625" style="1"/>
  </cols>
  <sheetData>
    <row r="1" spans="1:9" ht="38.25" x14ac:dyDescent="0.25">
      <c r="A1" s="19" t="s">
        <v>150</v>
      </c>
      <c r="B1" s="69" t="s">
        <v>171</v>
      </c>
      <c r="C1" s="190" t="s">
        <v>216</v>
      </c>
      <c r="D1" s="190"/>
      <c r="E1" s="128" t="s">
        <v>261</v>
      </c>
      <c r="F1" s="128" t="s">
        <v>267</v>
      </c>
      <c r="G1" s="128" t="s">
        <v>271</v>
      </c>
      <c r="H1" s="169" t="s">
        <v>330</v>
      </c>
      <c r="I1" s="174" t="s">
        <v>337</v>
      </c>
    </row>
    <row r="2" spans="1:9" x14ac:dyDescent="0.25">
      <c r="A2" s="46" t="s">
        <v>18</v>
      </c>
      <c r="B2" s="99" t="s">
        <v>172</v>
      </c>
      <c r="C2" s="13" t="s">
        <v>221</v>
      </c>
      <c r="D2" s="76">
        <v>1</v>
      </c>
      <c r="E2" s="13" t="s">
        <v>262</v>
      </c>
      <c r="F2" s="13" t="s">
        <v>265</v>
      </c>
      <c r="G2" s="13" t="s">
        <v>272</v>
      </c>
      <c r="H2" s="13" t="s">
        <v>331</v>
      </c>
      <c r="I2" s="13" t="s">
        <v>331</v>
      </c>
    </row>
    <row r="3" spans="1:9" x14ac:dyDescent="0.25">
      <c r="A3" s="46" t="s">
        <v>20</v>
      </c>
      <c r="B3" s="99" t="s">
        <v>173</v>
      </c>
      <c r="C3" s="13" t="s">
        <v>217</v>
      </c>
      <c r="D3" s="76">
        <v>0.9</v>
      </c>
      <c r="E3" s="20" t="str">
        <f>IF(ISBLANK('Dados do Projeto'!$C$17),"",'Dados do Projeto'!$C$17)</f>
        <v>Luiz Fernando Nascimento da Cruz</v>
      </c>
      <c r="F3" s="13" t="s">
        <v>268</v>
      </c>
      <c r="G3" s="13" t="s">
        <v>273</v>
      </c>
      <c r="H3" s="13" t="s">
        <v>332</v>
      </c>
      <c r="I3" s="13" t="s">
        <v>332</v>
      </c>
    </row>
    <row r="4" spans="1:9" x14ac:dyDescent="0.25">
      <c r="A4" s="46" t="s">
        <v>22</v>
      </c>
      <c r="B4" s="99" t="s">
        <v>174</v>
      </c>
      <c r="C4" s="13" t="s">
        <v>218</v>
      </c>
      <c r="D4" s="76">
        <v>0.7</v>
      </c>
      <c r="E4" s="20" t="str">
        <f>IF(ISBLANK('Dados do Projeto'!$C$18),"",'Dados do Projeto'!$C$18)</f>
        <v>Jaqueline Talita Winckes</v>
      </c>
    </row>
    <row r="5" spans="1:9" x14ac:dyDescent="0.25">
      <c r="B5" s="99" t="s">
        <v>175</v>
      </c>
      <c r="C5" s="13" t="s">
        <v>219</v>
      </c>
      <c r="D5" s="76">
        <v>0.5</v>
      </c>
      <c r="E5" s="20" t="str">
        <f>IF(ISBLANK('Dados do Projeto'!$C$19),"",'Dados do Projeto'!$C$19)</f>
        <v>Paulo Henrique Ferreira de Lima</v>
      </c>
    </row>
    <row r="6" spans="1:9" x14ac:dyDescent="0.25">
      <c r="C6" s="13" t="s">
        <v>220</v>
      </c>
      <c r="D6" s="76">
        <v>0.3</v>
      </c>
    </row>
  </sheetData>
  <sheetProtection password="8352" sheet="1" objects="1" scenarios="1"/>
  <mergeCells count="1">
    <mergeCell ref="C1:D1"/>
  </mergeCells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J195"/>
  <sheetViews>
    <sheetView zoomScale="80" zoomScaleNormal="80" workbookViewId="0">
      <selection activeCell="B117" sqref="B117:C117"/>
    </sheetView>
  </sheetViews>
  <sheetFormatPr defaultRowHeight="15" x14ac:dyDescent="0.25"/>
  <cols>
    <col min="1" max="1" width="9.140625" style="1"/>
    <col min="2" max="2" width="22.85546875" style="1" customWidth="1"/>
    <col min="3" max="3" width="50" style="1" customWidth="1"/>
    <col min="4" max="4" width="13.7109375" style="1" customWidth="1"/>
    <col min="5" max="5" width="16.28515625" style="1" customWidth="1"/>
    <col min="6" max="6" width="18.42578125" style="1" customWidth="1"/>
    <col min="7" max="7" width="17" style="1" customWidth="1"/>
    <col min="8" max="8" width="18.42578125" style="1" customWidth="1"/>
    <col min="9" max="9" width="20.5703125" style="1" customWidth="1"/>
    <col min="10" max="10" width="23.5703125" style="1" customWidth="1"/>
    <col min="11" max="16384" width="9.140625" style="1"/>
  </cols>
  <sheetData>
    <row r="6" spans="1:4" x14ac:dyDescent="0.25">
      <c r="A6" s="11" t="s">
        <v>308</v>
      </c>
    </row>
    <row r="8" spans="1:4" ht="25.5" x14ac:dyDescent="0.25">
      <c r="B8" s="256" t="s">
        <v>25</v>
      </c>
      <c r="C8" s="257"/>
      <c r="D8" s="133" t="s">
        <v>230</v>
      </c>
    </row>
    <row r="9" spans="1:4" x14ac:dyDescent="0.25">
      <c r="A9" s="104">
        <f t="shared" ref="A9:A17" si="0">IF(AND(EXACT(B9,""),D9=0),0,1)</f>
        <v>1</v>
      </c>
      <c r="B9" s="121" t="str">
        <f>IF(ISBLANK(B37),"",B37)</f>
        <v>MyCluby Social Web: UC001 – Efetuar Login</v>
      </c>
      <c r="C9" s="110"/>
      <c r="D9" s="124">
        <f>IF(ISBLANK(B37),0,D43)</f>
        <v>0</v>
      </c>
    </row>
    <row r="10" spans="1:4" x14ac:dyDescent="0.25">
      <c r="A10" s="104">
        <f t="shared" si="0"/>
        <v>1</v>
      </c>
      <c r="B10" s="122" t="str">
        <f>IF(ISBLANK(B45),"",B45)</f>
        <v>MyCluby Social Web: UC002 – Cadastrar Conta</v>
      </c>
      <c r="C10" s="113"/>
      <c r="D10" s="125">
        <f>IF(ISBLANK(B45),0,D51)</f>
        <v>0</v>
      </c>
    </row>
    <row r="11" spans="1:4" x14ac:dyDescent="0.25">
      <c r="A11" s="104">
        <f t="shared" si="0"/>
        <v>1</v>
      </c>
      <c r="B11" s="122" t="str">
        <f>IF(ISBLANK(B53),"",B53)</f>
        <v>MyCluby Social Web: UC003 – Recuperar Senha</v>
      </c>
      <c r="C11" s="113"/>
      <c r="D11" s="125">
        <f>IF(ISBLANK(B53),0,D59)</f>
        <v>0</v>
      </c>
    </row>
    <row r="12" spans="1:4" x14ac:dyDescent="0.25">
      <c r="A12" s="104">
        <f t="shared" si="0"/>
        <v>1</v>
      </c>
      <c r="B12" s="122" t="str">
        <f>IF(ISBLANK(B61),"",B61)</f>
        <v>MyCluby Social Web: UC004 – Visualizar Políticas do Sistema</v>
      </c>
      <c r="C12" s="113"/>
      <c r="D12" s="125">
        <f>IF(ISBLANK(B61),0,D67)</f>
        <v>0</v>
      </c>
    </row>
    <row r="13" spans="1:4" x14ac:dyDescent="0.25">
      <c r="A13" s="104">
        <f t="shared" si="0"/>
        <v>1</v>
      </c>
      <c r="B13" s="122" t="str">
        <f>IF(ISBLANK(B69),"",B69)</f>
        <v>MyCluby Social Web: UC005 – Gerenciar Perfil</v>
      </c>
      <c r="C13" s="113"/>
      <c r="D13" s="125">
        <f>IF(ISBLANK(B69),0,D75)</f>
        <v>0</v>
      </c>
    </row>
    <row r="14" spans="1:4" x14ac:dyDescent="0.25">
      <c r="A14" s="104">
        <f t="shared" si="0"/>
        <v>1</v>
      </c>
      <c r="B14" s="122" t="str">
        <f>IF(ISBLANK(B77),"",B77)</f>
        <v>MyCluby Social Web: UC006 – Gerenciar Fotos</v>
      </c>
      <c r="C14" s="113"/>
      <c r="D14" s="125">
        <f>IF(ISBLANK(B77),0,D83)</f>
        <v>0</v>
      </c>
    </row>
    <row r="15" spans="1:4" x14ac:dyDescent="0.25">
      <c r="A15" s="104">
        <f t="shared" si="0"/>
        <v>1</v>
      </c>
      <c r="B15" s="122" t="str">
        <f>IF(ISBLANK(B85),"",B85)</f>
        <v>MyCluby Social Web: UC007 – Gerenciar Amizades</v>
      </c>
      <c r="C15" s="113"/>
      <c r="D15" s="125">
        <f>IF(ISBLANK(B85),0,D91)</f>
        <v>0</v>
      </c>
    </row>
    <row r="16" spans="1:4" x14ac:dyDescent="0.25">
      <c r="A16" s="104">
        <f t="shared" si="0"/>
        <v>1</v>
      </c>
      <c r="B16" s="122" t="str">
        <f>IF(ISBLANK(B93),"",B93)</f>
        <v>MyCluby Social Web: UC008 – Gerenciar Grupos</v>
      </c>
      <c r="C16" s="113"/>
      <c r="D16" s="125">
        <f>IF(ISBLANK(B93),0,D99)</f>
        <v>0</v>
      </c>
    </row>
    <row r="17" spans="1:5" x14ac:dyDescent="0.25">
      <c r="A17" s="104">
        <f t="shared" si="0"/>
        <v>1</v>
      </c>
      <c r="B17" s="122" t="str">
        <f>IF(ISBLANK(B101),"",B101)</f>
        <v>MyCluby Social Web: UC009 – Gerenciar Mensagens</v>
      </c>
      <c r="C17" s="113"/>
      <c r="D17" s="125">
        <f>IF(ISBLANK(B101),0,D107)</f>
        <v>0</v>
      </c>
    </row>
    <row r="18" spans="1:5" x14ac:dyDescent="0.25">
      <c r="A18" s="104">
        <f>IF(AND(EXACT(B18,""),D18=0),0,1)</f>
        <v>1</v>
      </c>
      <c r="B18" s="122" t="str">
        <f>IF(ISBLANK(B109),"",B109)</f>
        <v>MyCluby Social Web: UC010 – Gerenciar Estabelecimentos para o Usuário</v>
      </c>
      <c r="C18" s="113"/>
      <c r="D18" s="125">
        <f>IF(ISBLANK(B109),0,D115)</f>
        <v>0</v>
      </c>
    </row>
    <row r="19" spans="1:5" x14ac:dyDescent="0.25">
      <c r="A19" s="104">
        <f t="shared" ref="A19:A27" si="1">IF(AND(EXACT(B19,""),D19=0),0,1)</f>
        <v>0</v>
      </c>
      <c r="B19" s="122" t="str">
        <f>IF(ISBLANK(B117),"",B117)</f>
        <v/>
      </c>
      <c r="C19" s="113"/>
      <c r="D19" s="125">
        <f>IF(ISBLANK(B117),0,D123)</f>
        <v>0</v>
      </c>
    </row>
    <row r="20" spans="1:5" x14ac:dyDescent="0.25">
      <c r="A20" s="104">
        <f t="shared" si="1"/>
        <v>0</v>
      </c>
      <c r="B20" s="122" t="str">
        <f>IF(ISBLANK(B125),"",B125)</f>
        <v/>
      </c>
      <c r="C20" s="113"/>
      <c r="D20" s="125">
        <f>IF(ISBLANK(B125),0,D131)</f>
        <v>0</v>
      </c>
    </row>
    <row r="21" spans="1:5" x14ac:dyDescent="0.25">
      <c r="A21" s="104">
        <f t="shared" si="1"/>
        <v>0</v>
      </c>
      <c r="B21" s="122" t="str">
        <f>IF(ISBLANK(B133),"",B133)</f>
        <v/>
      </c>
      <c r="C21" s="113"/>
      <c r="D21" s="125">
        <f>IF(ISBLANK(B133),0,D139)</f>
        <v>0</v>
      </c>
    </row>
    <row r="22" spans="1:5" x14ac:dyDescent="0.25">
      <c r="A22" s="104">
        <f t="shared" si="1"/>
        <v>0</v>
      </c>
      <c r="B22" s="122" t="str">
        <f>IF(ISBLANK(B141),"",B141)</f>
        <v/>
      </c>
      <c r="C22" s="113"/>
      <c r="D22" s="125">
        <f>IF(ISBLANK(B141),0,D147)</f>
        <v>0</v>
      </c>
    </row>
    <row r="23" spans="1:5" x14ac:dyDescent="0.25">
      <c r="A23" s="104">
        <f t="shared" si="1"/>
        <v>0</v>
      </c>
      <c r="B23" s="122" t="str">
        <f>IF(ISBLANK(B149),"",B149)</f>
        <v/>
      </c>
      <c r="C23" s="113"/>
      <c r="D23" s="125">
        <f>IF(ISBLANK(B149),0,D155)</f>
        <v>0</v>
      </c>
    </row>
    <row r="24" spans="1:5" x14ac:dyDescent="0.25">
      <c r="A24" s="104">
        <f t="shared" si="1"/>
        <v>0</v>
      </c>
      <c r="B24" s="122" t="str">
        <f>IF(ISBLANK(B157),"",B157)</f>
        <v/>
      </c>
      <c r="C24" s="113"/>
      <c r="D24" s="125">
        <f>IF(ISBLANK(B157),0,D163)</f>
        <v>0</v>
      </c>
    </row>
    <row r="25" spans="1:5" x14ac:dyDescent="0.25">
      <c r="A25" s="104">
        <f t="shared" si="1"/>
        <v>0</v>
      </c>
      <c r="B25" s="122" t="str">
        <f>IF(ISBLANK(B165),"",B165)</f>
        <v/>
      </c>
      <c r="C25" s="113"/>
      <c r="D25" s="125">
        <f>IF(ISBLANK(B165),0,D171)</f>
        <v>0</v>
      </c>
    </row>
    <row r="26" spans="1:5" x14ac:dyDescent="0.25">
      <c r="A26" s="104">
        <f t="shared" si="1"/>
        <v>0</v>
      </c>
      <c r="B26" s="122" t="str">
        <f>IF(ISBLANK(B173),"",B173)</f>
        <v/>
      </c>
      <c r="C26" s="113"/>
      <c r="D26" s="125">
        <f>IF(ISBLANK(B173),0,D179)</f>
        <v>0</v>
      </c>
    </row>
    <row r="27" spans="1:5" x14ac:dyDescent="0.25">
      <c r="A27" s="104">
        <f t="shared" si="1"/>
        <v>0</v>
      </c>
      <c r="B27" s="122" t="str">
        <f>IF(ISBLANK(B181),"",B181)</f>
        <v/>
      </c>
      <c r="C27" s="113"/>
      <c r="D27" s="125">
        <f>IF(ISBLANK(B181),0,D187)</f>
        <v>0</v>
      </c>
    </row>
    <row r="28" spans="1:5" x14ac:dyDescent="0.25">
      <c r="A28" s="104">
        <f t="shared" ref="A28" si="2">IF(AND(EXACT(B28,""),D28=0),0,1)</f>
        <v>0</v>
      </c>
      <c r="B28" s="123" t="str">
        <f>IF(ISBLANK(B189),"",B189)</f>
        <v/>
      </c>
      <c r="C28" s="116"/>
      <c r="D28" s="126">
        <f>IF(ISBLANK(B189),0,D195)</f>
        <v>0</v>
      </c>
    </row>
    <row r="29" spans="1:5" x14ac:dyDescent="0.25">
      <c r="D29" s="104">
        <f>IF(SUM(A9:A28)=0,0,SUM(D9:D28)/SUM(A9:A28))</f>
        <v>0</v>
      </c>
    </row>
    <row r="30" spans="1:5" x14ac:dyDescent="0.25">
      <c r="C30" s="100" t="s">
        <v>237</v>
      </c>
      <c r="D30" s="172">
        <f>IF(D29 - (D29*10%*E31)&lt;0,0,(D29- (D29*10%*E31)))</f>
        <v>0</v>
      </c>
    </row>
    <row r="31" spans="1:5" x14ac:dyDescent="0.25">
      <c r="C31" s="164" t="s">
        <v>310</v>
      </c>
      <c r="D31" s="173">
        <v>0</v>
      </c>
      <c r="E31" s="104">
        <f>IF(EXACT(D32,Parâmetros!$H$2),D31,D31+1)</f>
        <v>0</v>
      </c>
    </row>
    <row r="32" spans="1:5" x14ac:dyDescent="0.25">
      <c r="C32" s="164" t="s">
        <v>333</v>
      </c>
      <c r="D32" s="173" t="s">
        <v>331</v>
      </c>
    </row>
    <row r="34" spans="1:10" x14ac:dyDescent="0.25">
      <c r="A34" s="11" t="s">
        <v>236</v>
      </c>
    </row>
    <row r="37" spans="1:10" ht="25.5" x14ac:dyDescent="0.3">
      <c r="A37" s="120" t="s">
        <v>234</v>
      </c>
      <c r="B37" s="253" t="s">
        <v>400</v>
      </c>
      <c r="C37" s="255"/>
      <c r="D37" s="73" t="s">
        <v>15</v>
      </c>
      <c r="E37" s="73" t="s">
        <v>212</v>
      </c>
      <c r="F37" s="73" t="s">
        <v>212</v>
      </c>
      <c r="G37" s="73" t="s">
        <v>213</v>
      </c>
      <c r="H37" s="73" t="s">
        <v>213</v>
      </c>
      <c r="I37" s="73" t="s">
        <v>215</v>
      </c>
      <c r="J37" s="73" t="s">
        <v>214</v>
      </c>
    </row>
    <row r="38" spans="1:10" x14ac:dyDescent="0.25">
      <c r="B38" s="82"/>
      <c r="C38" s="14" t="s">
        <v>233</v>
      </c>
      <c r="D38" s="97">
        <f>Entregáveis!$D$82</f>
        <v>1</v>
      </c>
      <c r="E38" s="105"/>
      <c r="F38" s="101">
        <f>IF(ISBLANK(E38),,VLOOKUP($E38,Parâmetros!$C$2:$D$6,2,FALSE)*D38)</f>
        <v>0</v>
      </c>
      <c r="G38" s="168"/>
      <c r="H38" s="101">
        <f>IF(ISBLANK(G38),,VLOOKUP($G38,Parâmetros!$C$2:$D$6,2,FALSE)*D38)</f>
        <v>0</v>
      </c>
      <c r="I38" s="144"/>
      <c r="J38" s="144"/>
    </row>
    <row r="39" spans="1:10" x14ac:dyDescent="0.25">
      <c r="B39" s="82"/>
      <c r="C39" s="14" t="str">
        <f>Entregáveis!$C$91</f>
        <v>Diagrama de Seqüência do Fluxo Básico</v>
      </c>
      <c r="D39" s="96">
        <f>Entregáveis!$D$91</f>
        <v>0.2</v>
      </c>
      <c r="E39" s="168"/>
      <c r="F39" s="101">
        <f>IF(ISBLANK(E39),,VLOOKUP($E39,Parâmetros!$C$2:$D$6,2,FALSE)*D39)</f>
        <v>0</v>
      </c>
      <c r="G39" s="168"/>
      <c r="H39" s="101">
        <f>IF(ISBLANK(G39),,VLOOKUP($G39,Parâmetros!$C$2:$D$6,2,FALSE)*D39)</f>
        <v>0</v>
      </c>
      <c r="I39" s="144"/>
      <c r="J39" s="144"/>
    </row>
    <row r="40" spans="1:10" x14ac:dyDescent="0.25">
      <c r="B40" s="82"/>
      <c r="C40" s="14" t="str">
        <f>Entregáveis!$C$92</f>
        <v>Diagramas de Seqüência dos Fluxos Alternativos</v>
      </c>
      <c r="D40" s="96">
        <f>Entregáveis!$D$92</f>
        <v>0.5</v>
      </c>
      <c r="E40" s="168"/>
      <c r="F40" s="101">
        <f>IF(ISBLANK(E40),,VLOOKUP($E40,Parâmetros!$C$2:$D$6,2,FALSE)*D40)</f>
        <v>0</v>
      </c>
      <c r="G40" s="168"/>
      <c r="H40" s="101">
        <f>IF(ISBLANK(G40),,VLOOKUP($G40,Parâmetros!$C$2:$D$6,2,FALSE)*D40)</f>
        <v>0</v>
      </c>
      <c r="I40" s="144"/>
      <c r="J40" s="144"/>
    </row>
    <row r="41" spans="1:10" x14ac:dyDescent="0.25">
      <c r="B41" s="84"/>
      <c r="C41" s="56" t="str">
        <f>Entregáveis!$C$96</f>
        <v>Visão das Classes Participantes</v>
      </c>
      <c r="D41" s="98">
        <f>Entregáveis!$D$96</f>
        <v>0.3</v>
      </c>
      <c r="E41" s="168"/>
      <c r="F41" s="101">
        <f>IF(ISBLANK(E41),,VLOOKUP($E41,Parâmetros!$C$2:$D$6,2,FALSE)*D41)</f>
        <v>0</v>
      </c>
      <c r="G41" s="168"/>
      <c r="H41" s="101">
        <f>IF(ISBLANK(G41),,VLOOKUP($G41,Parâmetros!$C$2:$D$6,2,FALSE)*D41)</f>
        <v>0</v>
      </c>
      <c r="I41" s="144"/>
      <c r="J41" s="144"/>
    </row>
    <row r="43" spans="1:10" x14ac:dyDescent="0.25">
      <c r="C43" s="100" t="s">
        <v>235</v>
      </c>
      <c r="D43" s="119">
        <f>((SUM(F38:F41)/4) + (SUM(H38:H41)/4))*10</f>
        <v>0</v>
      </c>
    </row>
    <row r="45" spans="1:10" ht="25.5" x14ac:dyDescent="0.3">
      <c r="A45" s="120" t="s">
        <v>234</v>
      </c>
      <c r="B45" s="253" t="s">
        <v>402</v>
      </c>
      <c r="C45" s="254"/>
      <c r="D45" s="73" t="s">
        <v>15</v>
      </c>
      <c r="E45" s="73" t="s">
        <v>212</v>
      </c>
      <c r="F45" s="73" t="s">
        <v>212</v>
      </c>
      <c r="G45" s="73" t="s">
        <v>213</v>
      </c>
      <c r="H45" s="73" t="s">
        <v>213</v>
      </c>
      <c r="I45" s="73" t="s">
        <v>215</v>
      </c>
      <c r="J45" s="73" t="s">
        <v>214</v>
      </c>
    </row>
    <row r="46" spans="1:10" x14ac:dyDescent="0.25">
      <c r="B46" s="82"/>
      <c r="C46" s="14" t="s">
        <v>233</v>
      </c>
      <c r="D46" s="97">
        <f>Entregáveis!$D$82</f>
        <v>1</v>
      </c>
      <c r="E46" s="105"/>
      <c r="F46" s="101">
        <f>IF(ISBLANK(E46),,VLOOKUP($E46,Parâmetros!$C$2:$D$6,2,FALSE)*D46)</f>
        <v>0</v>
      </c>
      <c r="G46" s="105"/>
      <c r="H46" s="101">
        <f>IF(ISBLANK(G46),,VLOOKUP($G46,Parâmetros!$C$2:$D$6,2,FALSE)*D46)</f>
        <v>0</v>
      </c>
      <c r="I46" s="144"/>
      <c r="J46" s="144"/>
    </row>
    <row r="47" spans="1:10" x14ac:dyDescent="0.25">
      <c r="B47" s="82"/>
      <c r="C47" s="14" t="str">
        <f>Entregáveis!$C$91</f>
        <v>Diagrama de Seqüência do Fluxo Básico</v>
      </c>
      <c r="D47" s="96">
        <f>Entregáveis!$D$91</f>
        <v>0.2</v>
      </c>
      <c r="E47" s="105"/>
      <c r="F47" s="101">
        <f>IF(ISBLANK(E47),,VLOOKUP($E47,Parâmetros!$C$2:$D$6,2,FALSE)*D47)</f>
        <v>0</v>
      </c>
      <c r="G47" s="105"/>
      <c r="H47" s="101">
        <f>IF(ISBLANK(G47),,VLOOKUP($G47,Parâmetros!$C$2:$D$6,2,FALSE)*D47)</f>
        <v>0</v>
      </c>
      <c r="I47" s="144"/>
      <c r="J47" s="144"/>
    </row>
    <row r="48" spans="1:10" x14ac:dyDescent="0.25">
      <c r="B48" s="82"/>
      <c r="C48" s="14" t="str">
        <f>Entregáveis!$C$92</f>
        <v>Diagramas de Seqüência dos Fluxos Alternativos</v>
      </c>
      <c r="D48" s="96">
        <f>Entregáveis!$D$92</f>
        <v>0.5</v>
      </c>
      <c r="E48" s="105"/>
      <c r="F48" s="101">
        <f>IF(ISBLANK(E48),,VLOOKUP($E48,Parâmetros!$C$2:$D$6,2,FALSE)*D48)</f>
        <v>0</v>
      </c>
      <c r="G48" s="105"/>
      <c r="H48" s="101">
        <f>IF(ISBLANK(G48),,VLOOKUP($G48,Parâmetros!$C$2:$D$6,2,FALSE)*D48)</f>
        <v>0</v>
      </c>
      <c r="I48" s="144"/>
      <c r="J48" s="144"/>
    </row>
    <row r="49" spans="1:10" x14ac:dyDescent="0.25">
      <c r="B49" s="84"/>
      <c r="C49" s="56" t="str">
        <f>Entregáveis!$C$96</f>
        <v>Visão das Classes Participantes</v>
      </c>
      <c r="D49" s="98">
        <f>Entregáveis!$D$96</f>
        <v>0.3</v>
      </c>
      <c r="E49" s="105"/>
      <c r="F49" s="101">
        <f>IF(ISBLANK(E49),,VLOOKUP($E49,Parâmetros!$C$2:$D$6,2,FALSE)*D49)</f>
        <v>0</v>
      </c>
      <c r="G49" s="105"/>
      <c r="H49" s="101">
        <f>IF(ISBLANK(G49),,VLOOKUP($G49,Parâmetros!$C$2:$D$6,2,FALSE)*D49)</f>
        <v>0</v>
      </c>
      <c r="I49" s="144"/>
      <c r="J49" s="144"/>
    </row>
    <row r="51" spans="1:10" x14ac:dyDescent="0.25">
      <c r="C51" s="100" t="s">
        <v>235</v>
      </c>
      <c r="D51" s="119">
        <f>((SUM(F46:F49)/4) + (SUM(H46:H49)/4))*10</f>
        <v>0</v>
      </c>
    </row>
    <row r="53" spans="1:10" ht="25.5" x14ac:dyDescent="0.3">
      <c r="A53" s="120" t="s">
        <v>234</v>
      </c>
      <c r="B53" s="253" t="s">
        <v>401</v>
      </c>
      <c r="C53" s="254"/>
      <c r="D53" s="73" t="s">
        <v>15</v>
      </c>
      <c r="E53" s="73" t="s">
        <v>212</v>
      </c>
      <c r="F53" s="73" t="s">
        <v>212</v>
      </c>
      <c r="G53" s="73" t="s">
        <v>213</v>
      </c>
      <c r="H53" s="73" t="s">
        <v>213</v>
      </c>
      <c r="I53" s="73" t="s">
        <v>215</v>
      </c>
      <c r="J53" s="73" t="s">
        <v>214</v>
      </c>
    </row>
    <row r="54" spans="1:10" x14ac:dyDescent="0.25">
      <c r="B54" s="82"/>
      <c r="C54" s="14" t="s">
        <v>233</v>
      </c>
      <c r="D54" s="97">
        <f>Entregáveis!$D$82</f>
        <v>1</v>
      </c>
      <c r="E54" s="105"/>
      <c r="F54" s="101">
        <f>IF(ISBLANK(E54),,VLOOKUP($E54,Parâmetros!$C$2:$D$6,2,FALSE)*D54)</f>
        <v>0</v>
      </c>
      <c r="G54" s="105"/>
      <c r="H54" s="101">
        <f>IF(ISBLANK(G54),,VLOOKUP($G54,Parâmetros!$C$2:$D$6,2,FALSE)*D54)</f>
        <v>0</v>
      </c>
      <c r="I54" s="144"/>
      <c r="J54" s="144"/>
    </row>
    <row r="55" spans="1:10" x14ac:dyDescent="0.25">
      <c r="B55" s="82"/>
      <c r="C55" s="14" t="str">
        <f>Entregáveis!$C$91</f>
        <v>Diagrama de Seqüência do Fluxo Básico</v>
      </c>
      <c r="D55" s="96">
        <f>Entregáveis!$D$91</f>
        <v>0.2</v>
      </c>
      <c r="E55" s="105"/>
      <c r="F55" s="101">
        <f>IF(ISBLANK(E55),,VLOOKUP($E55,Parâmetros!$C$2:$D$6,2,FALSE)*D55)</f>
        <v>0</v>
      </c>
      <c r="G55" s="105"/>
      <c r="H55" s="101">
        <f>IF(ISBLANK(G55),,VLOOKUP($G55,Parâmetros!$C$2:$D$6,2,FALSE)*D55)</f>
        <v>0</v>
      </c>
      <c r="I55" s="144"/>
      <c r="J55" s="144"/>
    </row>
    <row r="56" spans="1:10" x14ac:dyDescent="0.25">
      <c r="B56" s="82"/>
      <c r="C56" s="14" t="str">
        <f>Entregáveis!$C$92</f>
        <v>Diagramas de Seqüência dos Fluxos Alternativos</v>
      </c>
      <c r="D56" s="96">
        <f>Entregáveis!$D$92</f>
        <v>0.5</v>
      </c>
      <c r="E56" s="105"/>
      <c r="F56" s="101">
        <f>IF(ISBLANK(E56),,VLOOKUP($E56,Parâmetros!$C$2:$D$6,2,FALSE)*D56)</f>
        <v>0</v>
      </c>
      <c r="G56" s="105"/>
      <c r="H56" s="101">
        <f>IF(ISBLANK(G56),,VLOOKUP($G56,Parâmetros!$C$2:$D$6,2,FALSE)*D56)</f>
        <v>0</v>
      </c>
      <c r="I56" s="144"/>
      <c r="J56" s="144"/>
    </row>
    <row r="57" spans="1:10" x14ac:dyDescent="0.25">
      <c r="B57" s="84"/>
      <c r="C57" s="56" t="str">
        <f>Entregáveis!$C$96</f>
        <v>Visão das Classes Participantes</v>
      </c>
      <c r="D57" s="98">
        <f>Entregáveis!$D$96</f>
        <v>0.3</v>
      </c>
      <c r="E57" s="105"/>
      <c r="F57" s="101">
        <f>IF(ISBLANK(E57),,VLOOKUP($E57,Parâmetros!$C$2:$D$6,2,FALSE)*D57)</f>
        <v>0</v>
      </c>
      <c r="G57" s="105"/>
      <c r="H57" s="101">
        <f>IF(ISBLANK(G57),,VLOOKUP($G57,Parâmetros!$C$2:$D$6,2,FALSE)*D57)</f>
        <v>0</v>
      </c>
      <c r="I57" s="144"/>
      <c r="J57" s="144"/>
    </row>
    <row r="59" spans="1:10" x14ac:dyDescent="0.25">
      <c r="C59" s="100" t="s">
        <v>235</v>
      </c>
      <c r="D59" s="119">
        <f>((SUM(F54:F57)/4) + (SUM(H54:H57)/4))*10</f>
        <v>0</v>
      </c>
    </row>
    <row r="61" spans="1:10" ht="25.5" x14ac:dyDescent="0.3">
      <c r="A61" s="120" t="s">
        <v>234</v>
      </c>
      <c r="B61" s="253" t="s">
        <v>403</v>
      </c>
      <c r="C61" s="254"/>
      <c r="D61" s="73" t="s">
        <v>15</v>
      </c>
      <c r="E61" s="73" t="s">
        <v>212</v>
      </c>
      <c r="F61" s="73" t="s">
        <v>212</v>
      </c>
      <c r="G61" s="73" t="s">
        <v>213</v>
      </c>
      <c r="H61" s="73" t="s">
        <v>213</v>
      </c>
      <c r="I61" s="73" t="s">
        <v>215</v>
      </c>
      <c r="J61" s="73" t="s">
        <v>214</v>
      </c>
    </row>
    <row r="62" spans="1:10" x14ac:dyDescent="0.25">
      <c r="B62" s="82"/>
      <c r="C62" s="14" t="s">
        <v>233</v>
      </c>
      <c r="D62" s="97">
        <f>Entregáveis!$D$82</f>
        <v>1</v>
      </c>
      <c r="E62" s="105"/>
      <c r="F62" s="101">
        <f>IF(ISBLANK(E62),,VLOOKUP($E62,Parâmetros!$C$2:$D$6,2,FALSE)*D62)</f>
        <v>0</v>
      </c>
      <c r="G62" s="105"/>
      <c r="H62" s="101">
        <f>IF(ISBLANK(G62),,VLOOKUP($G62,Parâmetros!$C$2:$D$6,2,FALSE)*D62)</f>
        <v>0</v>
      </c>
      <c r="I62" s="144"/>
      <c r="J62" s="144"/>
    </row>
    <row r="63" spans="1:10" x14ac:dyDescent="0.25">
      <c r="B63" s="82"/>
      <c r="C63" s="14" t="str">
        <f>Entregáveis!$C$91</f>
        <v>Diagrama de Seqüência do Fluxo Básico</v>
      </c>
      <c r="D63" s="96">
        <f>Entregáveis!$D$91</f>
        <v>0.2</v>
      </c>
      <c r="E63" s="105"/>
      <c r="F63" s="101">
        <f>IF(ISBLANK(E63),,VLOOKUP($E63,Parâmetros!$C$2:$D$6,2,FALSE)*D63)</f>
        <v>0</v>
      </c>
      <c r="G63" s="105"/>
      <c r="H63" s="101">
        <f>IF(ISBLANK(G63),,VLOOKUP($G63,Parâmetros!$C$2:$D$6,2,FALSE)*D63)</f>
        <v>0</v>
      </c>
      <c r="I63" s="144"/>
      <c r="J63" s="144"/>
    </row>
    <row r="64" spans="1:10" x14ac:dyDescent="0.25">
      <c r="B64" s="82"/>
      <c r="C64" s="14" t="str">
        <f>Entregáveis!$C$92</f>
        <v>Diagramas de Seqüência dos Fluxos Alternativos</v>
      </c>
      <c r="D64" s="96">
        <f>Entregáveis!$D$92</f>
        <v>0.5</v>
      </c>
      <c r="E64" s="105"/>
      <c r="F64" s="101">
        <f>IF(ISBLANK(E64),,VLOOKUP($E64,Parâmetros!$C$2:$D$6,2,FALSE)*D64)</f>
        <v>0</v>
      </c>
      <c r="G64" s="105"/>
      <c r="H64" s="101">
        <f>IF(ISBLANK(G64),,VLOOKUP($G64,Parâmetros!$C$2:$D$6,2,FALSE)*D64)</f>
        <v>0</v>
      </c>
      <c r="I64" s="144"/>
      <c r="J64" s="144"/>
    </row>
    <row r="65" spans="1:10" x14ac:dyDescent="0.25">
      <c r="B65" s="84"/>
      <c r="C65" s="56" t="str">
        <f>Entregáveis!$C$96</f>
        <v>Visão das Classes Participantes</v>
      </c>
      <c r="D65" s="98">
        <f>Entregáveis!$D$96</f>
        <v>0.3</v>
      </c>
      <c r="E65" s="105"/>
      <c r="F65" s="101">
        <f>IF(ISBLANK(E65),,VLOOKUP($E65,Parâmetros!$C$2:$D$6,2,FALSE)*D65)</f>
        <v>0</v>
      </c>
      <c r="G65" s="105"/>
      <c r="H65" s="101">
        <f>IF(ISBLANK(G65),,VLOOKUP($G65,Parâmetros!$C$2:$D$6,2,FALSE)*D65)</f>
        <v>0</v>
      </c>
      <c r="I65" s="144"/>
      <c r="J65" s="144"/>
    </row>
    <row r="67" spans="1:10" x14ac:dyDescent="0.25">
      <c r="C67" s="100" t="s">
        <v>235</v>
      </c>
      <c r="D67" s="119">
        <f>((SUM(F62:F65)/4) + (SUM(H62:H65)/4))*10</f>
        <v>0</v>
      </c>
    </row>
    <row r="69" spans="1:10" ht="25.5" x14ac:dyDescent="0.3">
      <c r="A69" s="120" t="s">
        <v>234</v>
      </c>
      <c r="B69" s="253" t="s">
        <v>404</v>
      </c>
      <c r="C69" s="254"/>
      <c r="D69" s="73" t="s">
        <v>15</v>
      </c>
      <c r="E69" s="73" t="s">
        <v>212</v>
      </c>
      <c r="F69" s="73" t="s">
        <v>212</v>
      </c>
      <c r="G69" s="73" t="s">
        <v>213</v>
      </c>
      <c r="H69" s="73" t="s">
        <v>213</v>
      </c>
      <c r="I69" s="73" t="s">
        <v>215</v>
      </c>
      <c r="J69" s="73" t="s">
        <v>214</v>
      </c>
    </row>
    <row r="70" spans="1:10" x14ac:dyDescent="0.25">
      <c r="B70" s="82"/>
      <c r="C70" s="14" t="s">
        <v>233</v>
      </c>
      <c r="D70" s="97">
        <f>Entregáveis!$D$82</f>
        <v>1</v>
      </c>
      <c r="E70" s="105"/>
      <c r="F70" s="101">
        <f>IF(ISBLANK(E70),,VLOOKUP($E70,Parâmetros!$C$2:$D$6,2,FALSE)*D70)</f>
        <v>0</v>
      </c>
      <c r="G70" s="105"/>
      <c r="H70" s="101">
        <f>IF(ISBLANK(G70),,VLOOKUP($G70,Parâmetros!$C$2:$D$6,2,FALSE)*D70)</f>
        <v>0</v>
      </c>
      <c r="I70" s="144"/>
      <c r="J70" s="144"/>
    </row>
    <row r="71" spans="1:10" x14ac:dyDescent="0.25">
      <c r="B71" s="82"/>
      <c r="C71" s="14" t="str">
        <f>Entregáveis!$C$91</f>
        <v>Diagrama de Seqüência do Fluxo Básico</v>
      </c>
      <c r="D71" s="96">
        <f>Entregáveis!$D$91</f>
        <v>0.2</v>
      </c>
      <c r="E71" s="105"/>
      <c r="F71" s="101">
        <f>IF(ISBLANK(E71),,VLOOKUP($E71,Parâmetros!$C$2:$D$6,2,FALSE)*D71)</f>
        <v>0</v>
      </c>
      <c r="G71" s="105"/>
      <c r="H71" s="101">
        <f>IF(ISBLANK(G71),,VLOOKUP($G71,Parâmetros!$C$2:$D$6,2,FALSE)*D71)</f>
        <v>0</v>
      </c>
      <c r="I71" s="144"/>
      <c r="J71" s="144"/>
    </row>
    <row r="72" spans="1:10" x14ac:dyDescent="0.25">
      <c r="B72" s="82"/>
      <c r="C72" s="14" t="str">
        <f>Entregáveis!$C$92</f>
        <v>Diagramas de Seqüência dos Fluxos Alternativos</v>
      </c>
      <c r="D72" s="96">
        <f>Entregáveis!$D$92</f>
        <v>0.5</v>
      </c>
      <c r="E72" s="105"/>
      <c r="F72" s="101">
        <f>IF(ISBLANK(E72),,VLOOKUP($E72,Parâmetros!$C$2:$D$6,2,FALSE)*D72)</f>
        <v>0</v>
      </c>
      <c r="G72" s="105"/>
      <c r="H72" s="101">
        <f>IF(ISBLANK(G72),,VLOOKUP($G72,Parâmetros!$C$2:$D$6,2,FALSE)*D72)</f>
        <v>0</v>
      </c>
      <c r="I72" s="144"/>
      <c r="J72" s="144"/>
    </row>
    <row r="73" spans="1:10" x14ac:dyDescent="0.25">
      <c r="B73" s="84"/>
      <c r="C73" s="56" t="str">
        <f>Entregáveis!$C$96</f>
        <v>Visão das Classes Participantes</v>
      </c>
      <c r="D73" s="98">
        <f>Entregáveis!$D$96</f>
        <v>0.3</v>
      </c>
      <c r="E73" s="105"/>
      <c r="F73" s="101">
        <f>IF(ISBLANK(E73),,VLOOKUP($E73,Parâmetros!$C$2:$D$6,2,FALSE)*D73)</f>
        <v>0</v>
      </c>
      <c r="G73" s="105"/>
      <c r="H73" s="101">
        <f>IF(ISBLANK(G73),,VLOOKUP($G73,Parâmetros!$C$2:$D$6,2,FALSE)*D73)</f>
        <v>0</v>
      </c>
      <c r="I73" s="144"/>
      <c r="J73" s="144"/>
    </row>
    <row r="75" spans="1:10" x14ac:dyDescent="0.25">
      <c r="C75" s="100" t="s">
        <v>235</v>
      </c>
      <c r="D75" s="119">
        <f>((SUM(F70:F73)/4) + (SUM(H70:H73)/4))*10</f>
        <v>0</v>
      </c>
    </row>
    <row r="77" spans="1:10" ht="25.5" x14ac:dyDescent="0.3">
      <c r="A77" s="120" t="s">
        <v>234</v>
      </c>
      <c r="B77" s="253" t="s">
        <v>405</v>
      </c>
      <c r="C77" s="254"/>
      <c r="D77" s="73" t="s">
        <v>15</v>
      </c>
      <c r="E77" s="73" t="s">
        <v>212</v>
      </c>
      <c r="F77" s="73" t="s">
        <v>212</v>
      </c>
      <c r="G77" s="73" t="s">
        <v>213</v>
      </c>
      <c r="H77" s="73" t="s">
        <v>213</v>
      </c>
      <c r="I77" s="73" t="s">
        <v>215</v>
      </c>
      <c r="J77" s="73" t="s">
        <v>214</v>
      </c>
    </row>
    <row r="78" spans="1:10" x14ac:dyDescent="0.25">
      <c r="B78" s="82"/>
      <c r="C78" s="14" t="s">
        <v>233</v>
      </c>
      <c r="D78" s="97">
        <f>Entregáveis!$D$82</f>
        <v>1</v>
      </c>
      <c r="E78" s="105"/>
      <c r="F78" s="101">
        <f>IF(ISBLANK(E78),,VLOOKUP($E78,Parâmetros!$C$2:$D$6,2,FALSE)*D78)</f>
        <v>0</v>
      </c>
      <c r="G78" s="105"/>
      <c r="H78" s="101">
        <f>IF(ISBLANK(G78),,VLOOKUP($G78,Parâmetros!$C$2:$D$6,2,FALSE)*D78)</f>
        <v>0</v>
      </c>
      <c r="I78" s="144"/>
      <c r="J78" s="144"/>
    </row>
    <row r="79" spans="1:10" x14ac:dyDescent="0.25">
      <c r="B79" s="82"/>
      <c r="C79" s="14" t="str">
        <f>Entregáveis!$C$91</f>
        <v>Diagrama de Seqüência do Fluxo Básico</v>
      </c>
      <c r="D79" s="96">
        <f>Entregáveis!$D$91</f>
        <v>0.2</v>
      </c>
      <c r="E79" s="105"/>
      <c r="F79" s="101">
        <f>IF(ISBLANK(E79),,VLOOKUP($E79,Parâmetros!$C$2:$D$6,2,FALSE)*D79)</f>
        <v>0</v>
      </c>
      <c r="G79" s="105"/>
      <c r="H79" s="101">
        <f>IF(ISBLANK(G79),,VLOOKUP($G79,Parâmetros!$C$2:$D$6,2,FALSE)*D79)</f>
        <v>0</v>
      </c>
      <c r="I79" s="144"/>
      <c r="J79" s="144"/>
    </row>
    <row r="80" spans="1:10" x14ac:dyDescent="0.25">
      <c r="B80" s="82"/>
      <c r="C80" s="14" t="str">
        <f>Entregáveis!$C$92</f>
        <v>Diagramas de Seqüência dos Fluxos Alternativos</v>
      </c>
      <c r="D80" s="96">
        <f>Entregáveis!$D$92</f>
        <v>0.5</v>
      </c>
      <c r="E80" s="105"/>
      <c r="F80" s="101">
        <f>IF(ISBLANK(E80),,VLOOKUP($E80,Parâmetros!$C$2:$D$6,2,FALSE)*D80)</f>
        <v>0</v>
      </c>
      <c r="G80" s="105"/>
      <c r="H80" s="101">
        <f>IF(ISBLANK(G80),,VLOOKUP($G80,Parâmetros!$C$2:$D$6,2,FALSE)*D80)</f>
        <v>0</v>
      </c>
      <c r="I80" s="144"/>
      <c r="J80" s="144"/>
    </row>
    <row r="81" spans="1:10" x14ac:dyDescent="0.25">
      <c r="B81" s="84"/>
      <c r="C81" s="56" t="str">
        <f>Entregáveis!$C$96</f>
        <v>Visão das Classes Participantes</v>
      </c>
      <c r="D81" s="98">
        <f>Entregáveis!$D$96</f>
        <v>0.3</v>
      </c>
      <c r="E81" s="105"/>
      <c r="F81" s="101">
        <f>IF(ISBLANK(E81),,VLOOKUP($E81,Parâmetros!$C$2:$D$6,2,FALSE)*D81)</f>
        <v>0</v>
      </c>
      <c r="G81" s="105"/>
      <c r="H81" s="101">
        <f>IF(ISBLANK(G81),,VLOOKUP($G81,Parâmetros!$C$2:$D$6,2,FALSE)*D81)</f>
        <v>0</v>
      </c>
      <c r="I81" s="144"/>
      <c r="J81" s="144"/>
    </row>
    <row r="83" spans="1:10" x14ac:dyDescent="0.25">
      <c r="C83" s="100" t="s">
        <v>235</v>
      </c>
      <c r="D83" s="119">
        <f>((SUM(F78:F81)/4) + (SUM(H78:H81)/4))*10</f>
        <v>0</v>
      </c>
    </row>
    <row r="85" spans="1:10" ht="25.5" x14ac:dyDescent="0.3">
      <c r="A85" s="120" t="s">
        <v>234</v>
      </c>
      <c r="B85" s="253" t="s">
        <v>407</v>
      </c>
      <c r="C85" s="254"/>
      <c r="D85" s="73" t="s">
        <v>15</v>
      </c>
      <c r="E85" s="73" t="s">
        <v>212</v>
      </c>
      <c r="F85" s="73" t="s">
        <v>212</v>
      </c>
      <c r="G85" s="73" t="s">
        <v>213</v>
      </c>
      <c r="H85" s="73" t="s">
        <v>213</v>
      </c>
      <c r="I85" s="73" t="s">
        <v>215</v>
      </c>
      <c r="J85" s="73" t="s">
        <v>214</v>
      </c>
    </row>
    <row r="86" spans="1:10" x14ac:dyDescent="0.25">
      <c r="B86" s="82"/>
      <c r="C86" s="14" t="s">
        <v>233</v>
      </c>
      <c r="D86" s="97">
        <f>Entregáveis!$D$82</f>
        <v>1</v>
      </c>
      <c r="E86" s="105"/>
      <c r="F86" s="101">
        <f>IF(ISBLANK(E86),,VLOOKUP($E86,Parâmetros!$C$2:$D$6,2,FALSE)*D86)</f>
        <v>0</v>
      </c>
      <c r="G86" s="105"/>
      <c r="H86" s="101">
        <f>IF(ISBLANK(G86),,VLOOKUP($G86,Parâmetros!$C$2:$D$6,2,FALSE)*D86)</f>
        <v>0</v>
      </c>
      <c r="I86" s="144"/>
      <c r="J86" s="144"/>
    </row>
    <row r="87" spans="1:10" x14ac:dyDescent="0.25">
      <c r="B87" s="82"/>
      <c r="C87" s="14" t="str">
        <f>Entregáveis!$C$91</f>
        <v>Diagrama de Seqüência do Fluxo Básico</v>
      </c>
      <c r="D87" s="96">
        <f>Entregáveis!$D$91</f>
        <v>0.2</v>
      </c>
      <c r="E87" s="105"/>
      <c r="F87" s="101">
        <f>IF(ISBLANK(E87),,VLOOKUP($E87,Parâmetros!$C$2:$D$6,2,FALSE)*D87)</f>
        <v>0</v>
      </c>
      <c r="G87" s="105"/>
      <c r="H87" s="101">
        <f>IF(ISBLANK(G87),,VLOOKUP($G87,Parâmetros!$C$2:$D$6,2,FALSE)*D87)</f>
        <v>0</v>
      </c>
      <c r="I87" s="144"/>
      <c r="J87" s="144"/>
    </row>
    <row r="88" spans="1:10" x14ac:dyDescent="0.25">
      <c r="B88" s="82"/>
      <c r="C88" s="14" t="str">
        <f>Entregáveis!$C$92</f>
        <v>Diagramas de Seqüência dos Fluxos Alternativos</v>
      </c>
      <c r="D88" s="96">
        <f>Entregáveis!$D$92</f>
        <v>0.5</v>
      </c>
      <c r="E88" s="105"/>
      <c r="F88" s="101">
        <f>IF(ISBLANK(E88),,VLOOKUP($E88,Parâmetros!$C$2:$D$6,2,FALSE)*D88)</f>
        <v>0</v>
      </c>
      <c r="G88" s="105"/>
      <c r="H88" s="101">
        <f>IF(ISBLANK(G88),,VLOOKUP($G88,Parâmetros!$C$2:$D$6,2,FALSE)*D88)</f>
        <v>0</v>
      </c>
      <c r="I88" s="144"/>
      <c r="J88" s="144"/>
    </row>
    <row r="89" spans="1:10" x14ac:dyDescent="0.25">
      <c r="B89" s="84"/>
      <c r="C89" s="56" t="str">
        <f>Entregáveis!$C$96</f>
        <v>Visão das Classes Participantes</v>
      </c>
      <c r="D89" s="98">
        <f>Entregáveis!$D$96</f>
        <v>0.3</v>
      </c>
      <c r="E89" s="105"/>
      <c r="F89" s="101">
        <f>IF(ISBLANK(E89),,VLOOKUP($E89,Parâmetros!$C$2:$D$6,2,FALSE)*D89)</f>
        <v>0</v>
      </c>
      <c r="G89" s="105"/>
      <c r="H89" s="101">
        <f>IF(ISBLANK(G89),,VLOOKUP($G89,Parâmetros!$C$2:$D$6,2,FALSE)*D89)</f>
        <v>0</v>
      </c>
      <c r="I89" s="144"/>
      <c r="J89" s="144"/>
    </row>
    <row r="91" spans="1:10" x14ac:dyDescent="0.25">
      <c r="C91" s="100" t="s">
        <v>235</v>
      </c>
      <c r="D91" s="119">
        <f>((SUM(F86:F89)/4) + (SUM(H86:H89)/4))*10</f>
        <v>0</v>
      </c>
    </row>
    <row r="93" spans="1:10" ht="25.5" x14ac:dyDescent="0.3">
      <c r="A93" s="120" t="s">
        <v>234</v>
      </c>
      <c r="B93" s="253" t="s">
        <v>406</v>
      </c>
      <c r="C93" s="254"/>
      <c r="D93" s="73" t="s">
        <v>15</v>
      </c>
      <c r="E93" s="73" t="s">
        <v>212</v>
      </c>
      <c r="F93" s="73" t="s">
        <v>212</v>
      </c>
      <c r="G93" s="73" t="s">
        <v>213</v>
      </c>
      <c r="H93" s="73" t="s">
        <v>213</v>
      </c>
      <c r="I93" s="73" t="s">
        <v>215</v>
      </c>
      <c r="J93" s="73" t="s">
        <v>214</v>
      </c>
    </row>
    <row r="94" spans="1:10" x14ac:dyDescent="0.25">
      <c r="B94" s="82"/>
      <c r="C94" s="14" t="s">
        <v>233</v>
      </c>
      <c r="D94" s="97">
        <f>Entregáveis!$D$82</f>
        <v>1</v>
      </c>
      <c r="E94" s="105"/>
      <c r="F94" s="101">
        <f>IF(ISBLANK(E94),,VLOOKUP($E94,Parâmetros!$C$2:$D$6,2,FALSE)*D94)</f>
        <v>0</v>
      </c>
      <c r="G94" s="105"/>
      <c r="H94" s="101">
        <f>IF(ISBLANK(G94),,VLOOKUP($G94,Parâmetros!$C$2:$D$6,2,FALSE)*D94)</f>
        <v>0</v>
      </c>
      <c r="I94" s="144"/>
      <c r="J94" s="144"/>
    </row>
    <row r="95" spans="1:10" x14ac:dyDescent="0.25">
      <c r="B95" s="82"/>
      <c r="C95" s="14" t="str">
        <f>Entregáveis!$C$91</f>
        <v>Diagrama de Seqüência do Fluxo Básico</v>
      </c>
      <c r="D95" s="96">
        <f>Entregáveis!$D$91</f>
        <v>0.2</v>
      </c>
      <c r="E95" s="105"/>
      <c r="F95" s="101">
        <f>IF(ISBLANK(E95),,VLOOKUP($E95,Parâmetros!$C$2:$D$6,2,FALSE)*D95)</f>
        <v>0</v>
      </c>
      <c r="G95" s="105"/>
      <c r="H95" s="101">
        <f>IF(ISBLANK(G95),,VLOOKUP($G95,Parâmetros!$C$2:$D$6,2,FALSE)*D95)</f>
        <v>0</v>
      </c>
      <c r="I95" s="144"/>
      <c r="J95" s="144"/>
    </row>
    <row r="96" spans="1:10" x14ac:dyDescent="0.25">
      <c r="B96" s="82"/>
      <c r="C96" s="14" t="str">
        <f>Entregáveis!$C$92</f>
        <v>Diagramas de Seqüência dos Fluxos Alternativos</v>
      </c>
      <c r="D96" s="96">
        <f>Entregáveis!$D$92</f>
        <v>0.5</v>
      </c>
      <c r="E96" s="105"/>
      <c r="F96" s="101">
        <f>IF(ISBLANK(E96),,VLOOKUP($E96,Parâmetros!$C$2:$D$6,2,FALSE)*D96)</f>
        <v>0</v>
      </c>
      <c r="G96" s="105"/>
      <c r="H96" s="101">
        <f>IF(ISBLANK(G96),,VLOOKUP($G96,Parâmetros!$C$2:$D$6,2,FALSE)*D96)</f>
        <v>0</v>
      </c>
      <c r="I96" s="144"/>
      <c r="J96" s="144"/>
    </row>
    <row r="97" spans="1:10" x14ac:dyDescent="0.25">
      <c r="B97" s="84"/>
      <c r="C97" s="56" t="str">
        <f>Entregáveis!$C$96</f>
        <v>Visão das Classes Participantes</v>
      </c>
      <c r="D97" s="98">
        <f>Entregáveis!$D$96</f>
        <v>0.3</v>
      </c>
      <c r="E97" s="105"/>
      <c r="F97" s="101">
        <f>IF(ISBLANK(E97),,VLOOKUP($E97,Parâmetros!$C$2:$D$6,2,FALSE)*D97)</f>
        <v>0</v>
      </c>
      <c r="G97" s="105"/>
      <c r="H97" s="101">
        <f>IF(ISBLANK(G97),,VLOOKUP($G97,Parâmetros!$C$2:$D$6,2,FALSE)*D97)</f>
        <v>0</v>
      </c>
      <c r="I97" s="144"/>
      <c r="J97" s="144"/>
    </row>
    <row r="99" spans="1:10" x14ac:dyDescent="0.25">
      <c r="C99" s="100" t="s">
        <v>235</v>
      </c>
      <c r="D99" s="119">
        <f>((SUM(F94:F97)/4) + (SUM(H94:H97)/4))*10</f>
        <v>0</v>
      </c>
    </row>
    <row r="101" spans="1:10" ht="25.5" x14ac:dyDescent="0.3">
      <c r="A101" s="120" t="s">
        <v>234</v>
      </c>
      <c r="B101" s="253" t="s">
        <v>408</v>
      </c>
      <c r="C101" s="254"/>
      <c r="D101" s="73" t="s">
        <v>15</v>
      </c>
      <c r="E101" s="73" t="s">
        <v>212</v>
      </c>
      <c r="F101" s="73" t="s">
        <v>212</v>
      </c>
      <c r="G101" s="73" t="s">
        <v>213</v>
      </c>
      <c r="H101" s="73" t="s">
        <v>213</v>
      </c>
      <c r="I101" s="73" t="s">
        <v>215</v>
      </c>
      <c r="J101" s="73" t="s">
        <v>214</v>
      </c>
    </row>
    <row r="102" spans="1:10" x14ac:dyDescent="0.25">
      <c r="B102" s="82"/>
      <c r="C102" s="14" t="s">
        <v>233</v>
      </c>
      <c r="D102" s="97">
        <f>Entregáveis!$D$82</f>
        <v>1</v>
      </c>
      <c r="E102" s="105"/>
      <c r="F102" s="101">
        <f>IF(ISBLANK(E102),,VLOOKUP($E102,Parâmetros!$C$2:$D$6,2,FALSE)*D102)</f>
        <v>0</v>
      </c>
      <c r="G102" s="105"/>
      <c r="H102" s="101">
        <f>IF(ISBLANK(G102),,VLOOKUP($G102,Parâmetros!$C$2:$D$6,2,FALSE)*D102)</f>
        <v>0</v>
      </c>
      <c r="I102" s="144"/>
      <c r="J102" s="144"/>
    </row>
    <row r="103" spans="1:10" x14ac:dyDescent="0.25">
      <c r="B103" s="82"/>
      <c r="C103" s="14" t="str">
        <f>Entregáveis!$C$91</f>
        <v>Diagrama de Seqüência do Fluxo Básico</v>
      </c>
      <c r="D103" s="96">
        <f>Entregáveis!$D$91</f>
        <v>0.2</v>
      </c>
      <c r="E103" s="105"/>
      <c r="F103" s="101">
        <f>IF(ISBLANK(E103),,VLOOKUP($E103,Parâmetros!$C$2:$D$6,2,FALSE)*D103)</f>
        <v>0</v>
      </c>
      <c r="G103" s="105"/>
      <c r="H103" s="101">
        <f>IF(ISBLANK(G103),,VLOOKUP($G103,Parâmetros!$C$2:$D$6,2,FALSE)*D103)</f>
        <v>0</v>
      </c>
      <c r="I103" s="144"/>
      <c r="J103" s="144"/>
    </row>
    <row r="104" spans="1:10" x14ac:dyDescent="0.25">
      <c r="B104" s="82"/>
      <c r="C104" s="14" t="str">
        <f>Entregáveis!$C$92</f>
        <v>Diagramas de Seqüência dos Fluxos Alternativos</v>
      </c>
      <c r="D104" s="96">
        <f>Entregáveis!$D$92</f>
        <v>0.5</v>
      </c>
      <c r="E104" s="105"/>
      <c r="F104" s="101">
        <f>IF(ISBLANK(E104),,VLOOKUP($E104,Parâmetros!$C$2:$D$6,2,FALSE)*D104)</f>
        <v>0</v>
      </c>
      <c r="G104" s="105"/>
      <c r="H104" s="101">
        <f>IF(ISBLANK(G104),,VLOOKUP($G104,Parâmetros!$C$2:$D$6,2,FALSE)*D104)</f>
        <v>0</v>
      </c>
      <c r="I104" s="144"/>
      <c r="J104" s="144"/>
    </row>
    <row r="105" spans="1:10" x14ac:dyDescent="0.25">
      <c r="B105" s="84"/>
      <c r="C105" s="56" t="str">
        <f>Entregáveis!$C$96</f>
        <v>Visão das Classes Participantes</v>
      </c>
      <c r="D105" s="98">
        <f>Entregáveis!$D$96</f>
        <v>0.3</v>
      </c>
      <c r="E105" s="105"/>
      <c r="F105" s="101">
        <f>IF(ISBLANK(E105),,VLOOKUP($E105,Parâmetros!$C$2:$D$6,2,FALSE)*D105)</f>
        <v>0</v>
      </c>
      <c r="G105" s="105"/>
      <c r="H105" s="101">
        <f>IF(ISBLANK(G105),,VLOOKUP($G105,Parâmetros!$C$2:$D$6,2,FALSE)*D105)</f>
        <v>0</v>
      </c>
      <c r="I105" s="144"/>
      <c r="J105" s="144"/>
    </row>
    <row r="107" spans="1:10" x14ac:dyDescent="0.25">
      <c r="C107" s="100" t="s">
        <v>235</v>
      </c>
      <c r="D107" s="119">
        <f>((SUM(F102:F105)/4) + (SUM(H102:H105)/4))*10</f>
        <v>0</v>
      </c>
    </row>
    <row r="109" spans="1:10" ht="25.5" x14ac:dyDescent="0.3">
      <c r="A109" s="120" t="s">
        <v>234</v>
      </c>
      <c r="B109" s="253" t="s">
        <v>409</v>
      </c>
      <c r="C109" s="254"/>
      <c r="D109" s="73" t="s">
        <v>15</v>
      </c>
      <c r="E109" s="73" t="s">
        <v>212</v>
      </c>
      <c r="F109" s="73" t="s">
        <v>212</v>
      </c>
      <c r="G109" s="73" t="s">
        <v>213</v>
      </c>
      <c r="H109" s="73" t="s">
        <v>213</v>
      </c>
      <c r="I109" s="73" t="s">
        <v>215</v>
      </c>
      <c r="J109" s="73" t="s">
        <v>214</v>
      </c>
    </row>
    <row r="110" spans="1:10" x14ac:dyDescent="0.25">
      <c r="B110" s="82"/>
      <c r="C110" s="14" t="s">
        <v>233</v>
      </c>
      <c r="D110" s="97">
        <f>Entregáveis!$D$82</f>
        <v>1</v>
      </c>
      <c r="E110" s="105"/>
      <c r="F110" s="101">
        <f>IF(ISBLANK(E110),,VLOOKUP($E110,Parâmetros!$C$2:$D$6,2,FALSE)*D110)</f>
        <v>0</v>
      </c>
      <c r="G110" s="105"/>
      <c r="H110" s="101">
        <f>IF(ISBLANK(G110),,VLOOKUP($G110,Parâmetros!$C$2:$D$6,2,FALSE)*D110)</f>
        <v>0</v>
      </c>
      <c r="I110" s="144"/>
      <c r="J110" s="144"/>
    </row>
    <row r="111" spans="1:10" x14ac:dyDescent="0.25">
      <c r="B111" s="82"/>
      <c r="C111" s="14" t="str">
        <f>Entregáveis!$C$91</f>
        <v>Diagrama de Seqüência do Fluxo Básico</v>
      </c>
      <c r="D111" s="96">
        <f>Entregáveis!$D$91</f>
        <v>0.2</v>
      </c>
      <c r="E111" s="105"/>
      <c r="F111" s="101">
        <f>IF(ISBLANK(E111),,VLOOKUP($E111,Parâmetros!$C$2:$D$6,2,FALSE)*D111)</f>
        <v>0</v>
      </c>
      <c r="G111" s="105"/>
      <c r="H111" s="101">
        <f>IF(ISBLANK(G111),,VLOOKUP($G111,Parâmetros!$C$2:$D$6,2,FALSE)*D111)</f>
        <v>0</v>
      </c>
      <c r="I111" s="144"/>
      <c r="J111" s="144"/>
    </row>
    <row r="112" spans="1:10" x14ac:dyDescent="0.25">
      <c r="B112" s="82"/>
      <c r="C112" s="14" t="str">
        <f>Entregáveis!$C$92</f>
        <v>Diagramas de Seqüência dos Fluxos Alternativos</v>
      </c>
      <c r="D112" s="96">
        <f>Entregáveis!$D$92</f>
        <v>0.5</v>
      </c>
      <c r="E112" s="105"/>
      <c r="F112" s="101">
        <f>IF(ISBLANK(E112),,VLOOKUP($E112,Parâmetros!$C$2:$D$6,2,FALSE)*D112)</f>
        <v>0</v>
      </c>
      <c r="G112" s="105"/>
      <c r="H112" s="101">
        <f>IF(ISBLANK(G112),,VLOOKUP($G112,Parâmetros!$C$2:$D$6,2,FALSE)*D112)</f>
        <v>0</v>
      </c>
      <c r="I112" s="144"/>
      <c r="J112" s="144"/>
    </row>
    <row r="113" spans="1:10" x14ac:dyDescent="0.25">
      <c r="B113" s="84"/>
      <c r="C113" s="56" t="str">
        <f>Entregáveis!$C$96</f>
        <v>Visão das Classes Participantes</v>
      </c>
      <c r="D113" s="98">
        <f>Entregáveis!$D$96</f>
        <v>0.3</v>
      </c>
      <c r="E113" s="105"/>
      <c r="F113" s="101">
        <f>IF(ISBLANK(E113),,VLOOKUP($E113,Parâmetros!$C$2:$D$6,2,FALSE)*D113)</f>
        <v>0</v>
      </c>
      <c r="G113" s="105"/>
      <c r="H113" s="101">
        <f>IF(ISBLANK(G113),,VLOOKUP($G113,Parâmetros!$C$2:$D$6,2,FALSE)*D113)</f>
        <v>0</v>
      </c>
      <c r="I113" s="144"/>
      <c r="J113" s="144"/>
    </row>
    <row r="115" spans="1:10" x14ac:dyDescent="0.25">
      <c r="C115" s="100" t="s">
        <v>235</v>
      </c>
      <c r="D115" s="119">
        <f>((SUM(F110:F113)/4) + (SUM(H110:H113)/4))*10</f>
        <v>0</v>
      </c>
    </row>
    <row r="117" spans="1:10" ht="25.5" x14ac:dyDescent="0.3">
      <c r="A117" s="120" t="s">
        <v>234</v>
      </c>
      <c r="B117" s="253"/>
      <c r="C117" s="254"/>
      <c r="D117" s="169" t="s">
        <v>15</v>
      </c>
      <c r="E117" s="169" t="s">
        <v>212</v>
      </c>
      <c r="F117" s="169" t="s">
        <v>212</v>
      </c>
      <c r="G117" s="169" t="s">
        <v>213</v>
      </c>
      <c r="H117" s="169" t="s">
        <v>213</v>
      </c>
      <c r="I117" s="169" t="s">
        <v>215</v>
      </c>
      <c r="J117" s="169" t="s">
        <v>214</v>
      </c>
    </row>
    <row r="118" spans="1:10" x14ac:dyDescent="0.25">
      <c r="B118" s="82"/>
      <c r="C118" s="14" t="s">
        <v>233</v>
      </c>
      <c r="D118" s="97">
        <f>Entregáveis!$D$82</f>
        <v>1</v>
      </c>
      <c r="E118" s="105"/>
      <c r="F118" s="101">
        <f>IF(ISBLANK(E118),,VLOOKUP($E118,Parâmetros!$C$2:$D$6,2,FALSE)*D118)</f>
        <v>0</v>
      </c>
      <c r="G118" s="105"/>
      <c r="H118" s="101">
        <f>IF(ISBLANK(G118),,VLOOKUP($G118,Parâmetros!$C$2:$D$6,2,FALSE)*D118)</f>
        <v>0</v>
      </c>
      <c r="I118" s="144"/>
      <c r="J118" s="144"/>
    </row>
    <row r="119" spans="1:10" x14ac:dyDescent="0.25">
      <c r="B119" s="82"/>
      <c r="C119" s="14" t="str">
        <f>Entregáveis!$C$91</f>
        <v>Diagrama de Seqüência do Fluxo Básico</v>
      </c>
      <c r="D119" s="96">
        <f>Entregáveis!$D$91</f>
        <v>0.2</v>
      </c>
      <c r="E119" s="105"/>
      <c r="F119" s="101">
        <f>IF(ISBLANK(E119),,VLOOKUP($E119,Parâmetros!$C$2:$D$6,2,FALSE)*D119)</f>
        <v>0</v>
      </c>
      <c r="G119" s="105"/>
      <c r="H119" s="101">
        <f>IF(ISBLANK(G119),,VLOOKUP($G119,Parâmetros!$C$2:$D$6,2,FALSE)*D119)</f>
        <v>0</v>
      </c>
      <c r="I119" s="144"/>
      <c r="J119" s="144"/>
    </row>
    <row r="120" spans="1:10" x14ac:dyDescent="0.25">
      <c r="B120" s="82"/>
      <c r="C120" s="14" t="str">
        <f>Entregáveis!$C$92</f>
        <v>Diagramas de Seqüência dos Fluxos Alternativos</v>
      </c>
      <c r="D120" s="96">
        <f>Entregáveis!$D$92</f>
        <v>0.5</v>
      </c>
      <c r="E120" s="105"/>
      <c r="F120" s="101">
        <f>IF(ISBLANK(E120),,VLOOKUP($E120,Parâmetros!$C$2:$D$6,2,FALSE)*D120)</f>
        <v>0</v>
      </c>
      <c r="G120" s="105"/>
      <c r="H120" s="101">
        <f>IF(ISBLANK(G120),,VLOOKUP($G120,Parâmetros!$C$2:$D$6,2,FALSE)*D120)</f>
        <v>0</v>
      </c>
      <c r="I120" s="144"/>
      <c r="J120" s="144"/>
    </row>
    <row r="121" spans="1:10" x14ac:dyDescent="0.25">
      <c r="B121" s="84"/>
      <c r="C121" s="56" t="str">
        <f>Entregáveis!$C$96</f>
        <v>Visão das Classes Participantes</v>
      </c>
      <c r="D121" s="98">
        <f>Entregáveis!$D$96</f>
        <v>0.3</v>
      </c>
      <c r="E121" s="105"/>
      <c r="F121" s="101">
        <f>IF(ISBLANK(E121),,VLOOKUP($E121,Parâmetros!$C$2:$D$6,2,FALSE)*D121)</f>
        <v>0</v>
      </c>
      <c r="G121" s="105"/>
      <c r="H121" s="101">
        <f>IF(ISBLANK(G121),,VLOOKUP($G121,Parâmetros!$C$2:$D$6,2,FALSE)*D121)</f>
        <v>0</v>
      </c>
      <c r="I121" s="144"/>
      <c r="J121" s="144"/>
    </row>
    <row r="123" spans="1:10" x14ac:dyDescent="0.25">
      <c r="C123" s="100" t="s">
        <v>235</v>
      </c>
      <c r="D123" s="119">
        <f>((SUM(F118:F121)/4) + (SUM(H118:H121)/4))*10</f>
        <v>0</v>
      </c>
    </row>
    <row r="125" spans="1:10" ht="25.5" x14ac:dyDescent="0.3">
      <c r="A125" s="120" t="s">
        <v>234</v>
      </c>
      <c r="B125" s="253"/>
      <c r="C125" s="254"/>
      <c r="D125" s="169" t="s">
        <v>15</v>
      </c>
      <c r="E125" s="169" t="s">
        <v>212</v>
      </c>
      <c r="F125" s="169" t="s">
        <v>212</v>
      </c>
      <c r="G125" s="169" t="s">
        <v>213</v>
      </c>
      <c r="H125" s="169" t="s">
        <v>213</v>
      </c>
      <c r="I125" s="169" t="s">
        <v>215</v>
      </c>
      <c r="J125" s="169" t="s">
        <v>214</v>
      </c>
    </row>
    <row r="126" spans="1:10" x14ac:dyDescent="0.25">
      <c r="B126" s="82"/>
      <c r="C126" s="14" t="s">
        <v>233</v>
      </c>
      <c r="D126" s="97">
        <f>Entregáveis!$D$82</f>
        <v>1</v>
      </c>
      <c r="E126" s="105"/>
      <c r="F126" s="101">
        <f>IF(ISBLANK(E126),,VLOOKUP($E126,Parâmetros!$C$2:$D$6,2,FALSE)*D126)</f>
        <v>0</v>
      </c>
      <c r="G126" s="105"/>
      <c r="H126" s="101">
        <f>IF(ISBLANK(G126),,VLOOKUP($G126,Parâmetros!$C$2:$D$6,2,FALSE)*D126)</f>
        <v>0</v>
      </c>
      <c r="I126" s="144"/>
      <c r="J126" s="144"/>
    </row>
    <row r="127" spans="1:10" x14ac:dyDescent="0.25">
      <c r="B127" s="82"/>
      <c r="C127" s="14" t="str">
        <f>Entregáveis!$C$91</f>
        <v>Diagrama de Seqüência do Fluxo Básico</v>
      </c>
      <c r="D127" s="96">
        <f>Entregáveis!$D$91</f>
        <v>0.2</v>
      </c>
      <c r="E127" s="105"/>
      <c r="F127" s="101">
        <f>IF(ISBLANK(E127),,VLOOKUP($E127,Parâmetros!$C$2:$D$6,2,FALSE)*D127)</f>
        <v>0</v>
      </c>
      <c r="G127" s="105"/>
      <c r="H127" s="101">
        <f>IF(ISBLANK(G127),,VLOOKUP($G127,Parâmetros!$C$2:$D$6,2,FALSE)*D127)</f>
        <v>0</v>
      </c>
      <c r="I127" s="144"/>
      <c r="J127" s="144"/>
    </row>
    <row r="128" spans="1:10" x14ac:dyDescent="0.25">
      <c r="B128" s="82"/>
      <c r="C128" s="14" t="str">
        <f>Entregáveis!$C$92</f>
        <v>Diagramas de Seqüência dos Fluxos Alternativos</v>
      </c>
      <c r="D128" s="96">
        <f>Entregáveis!$D$92</f>
        <v>0.5</v>
      </c>
      <c r="E128" s="105"/>
      <c r="F128" s="101">
        <f>IF(ISBLANK(E128),,VLOOKUP($E128,Parâmetros!$C$2:$D$6,2,FALSE)*D128)</f>
        <v>0</v>
      </c>
      <c r="G128" s="105"/>
      <c r="H128" s="101">
        <f>IF(ISBLANK(G128),,VLOOKUP($G128,Parâmetros!$C$2:$D$6,2,FALSE)*D128)</f>
        <v>0</v>
      </c>
      <c r="I128" s="144"/>
      <c r="J128" s="144"/>
    </row>
    <row r="129" spans="1:10" x14ac:dyDescent="0.25">
      <c r="B129" s="84"/>
      <c r="C129" s="56" t="str">
        <f>Entregáveis!$C$96</f>
        <v>Visão das Classes Participantes</v>
      </c>
      <c r="D129" s="98">
        <f>Entregáveis!$D$96</f>
        <v>0.3</v>
      </c>
      <c r="E129" s="105"/>
      <c r="F129" s="101">
        <f>IF(ISBLANK(E129),,VLOOKUP($E129,Parâmetros!$C$2:$D$6,2,FALSE)*D129)</f>
        <v>0</v>
      </c>
      <c r="G129" s="105"/>
      <c r="H129" s="101">
        <f>IF(ISBLANK(G129),,VLOOKUP($G129,Parâmetros!$C$2:$D$6,2,FALSE)*D129)</f>
        <v>0</v>
      </c>
      <c r="I129" s="144"/>
      <c r="J129" s="144"/>
    </row>
    <row r="131" spans="1:10" x14ac:dyDescent="0.25">
      <c r="C131" s="100" t="s">
        <v>235</v>
      </c>
      <c r="D131" s="119">
        <f>((SUM(F126:F129)/4) + (SUM(H126:H129)/4))*10</f>
        <v>0</v>
      </c>
    </row>
    <row r="133" spans="1:10" ht="25.5" x14ac:dyDescent="0.3">
      <c r="A133" s="120" t="s">
        <v>234</v>
      </c>
      <c r="B133" s="253"/>
      <c r="C133" s="254"/>
      <c r="D133" s="169" t="s">
        <v>15</v>
      </c>
      <c r="E133" s="169" t="s">
        <v>212</v>
      </c>
      <c r="F133" s="169" t="s">
        <v>212</v>
      </c>
      <c r="G133" s="169" t="s">
        <v>213</v>
      </c>
      <c r="H133" s="169" t="s">
        <v>213</v>
      </c>
      <c r="I133" s="169" t="s">
        <v>215</v>
      </c>
      <c r="J133" s="169" t="s">
        <v>214</v>
      </c>
    </row>
    <row r="134" spans="1:10" x14ac:dyDescent="0.25">
      <c r="B134" s="82"/>
      <c r="C134" s="14" t="s">
        <v>233</v>
      </c>
      <c r="D134" s="97">
        <f>Entregáveis!$D$82</f>
        <v>1</v>
      </c>
      <c r="E134" s="105"/>
      <c r="F134" s="101">
        <f>IF(ISBLANK(E134),,VLOOKUP($E134,Parâmetros!$C$2:$D$6,2,FALSE)*D134)</f>
        <v>0</v>
      </c>
      <c r="G134" s="105"/>
      <c r="H134" s="101">
        <f>IF(ISBLANK(G134),,VLOOKUP($G134,Parâmetros!$C$2:$D$6,2,FALSE)*D134)</f>
        <v>0</v>
      </c>
      <c r="I134" s="144"/>
      <c r="J134" s="144"/>
    </row>
    <row r="135" spans="1:10" x14ac:dyDescent="0.25">
      <c r="B135" s="82"/>
      <c r="C135" s="14" t="str">
        <f>Entregáveis!$C$91</f>
        <v>Diagrama de Seqüência do Fluxo Básico</v>
      </c>
      <c r="D135" s="96">
        <f>Entregáveis!$D$91</f>
        <v>0.2</v>
      </c>
      <c r="E135" s="105"/>
      <c r="F135" s="101">
        <f>IF(ISBLANK(E135),,VLOOKUP($E135,Parâmetros!$C$2:$D$6,2,FALSE)*D135)</f>
        <v>0</v>
      </c>
      <c r="G135" s="105"/>
      <c r="H135" s="101">
        <f>IF(ISBLANK(G135),,VLOOKUP($G135,Parâmetros!$C$2:$D$6,2,FALSE)*D135)</f>
        <v>0</v>
      </c>
      <c r="I135" s="144"/>
      <c r="J135" s="144"/>
    </row>
    <row r="136" spans="1:10" x14ac:dyDescent="0.25">
      <c r="B136" s="82"/>
      <c r="C136" s="14" t="str">
        <f>Entregáveis!$C$92</f>
        <v>Diagramas de Seqüência dos Fluxos Alternativos</v>
      </c>
      <c r="D136" s="96">
        <f>Entregáveis!$D$92</f>
        <v>0.5</v>
      </c>
      <c r="E136" s="105"/>
      <c r="F136" s="101">
        <f>IF(ISBLANK(E136),,VLOOKUP($E136,Parâmetros!$C$2:$D$6,2,FALSE)*D136)</f>
        <v>0</v>
      </c>
      <c r="G136" s="105"/>
      <c r="H136" s="101">
        <f>IF(ISBLANK(G136),,VLOOKUP($G136,Parâmetros!$C$2:$D$6,2,FALSE)*D136)</f>
        <v>0</v>
      </c>
      <c r="I136" s="144"/>
      <c r="J136" s="144"/>
    </row>
    <row r="137" spans="1:10" x14ac:dyDescent="0.25">
      <c r="B137" s="84"/>
      <c r="C137" s="56" t="str">
        <f>Entregáveis!$C$96</f>
        <v>Visão das Classes Participantes</v>
      </c>
      <c r="D137" s="98">
        <f>Entregáveis!$D$96</f>
        <v>0.3</v>
      </c>
      <c r="E137" s="105"/>
      <c r="F137" s="101">
        <f>IF(ISBLANK(E137),,VLOOKUP($E137,Parâmetros!$C$2:$D$6,2,FALSE)*D137)</f>
        <v>0</v>
      </c>
      <c r="G137" s="105"/>
      <c r="H137" s="101">
        <f>IF(ISBLANK(G137),,VLOOKUP($G137,Parâmetros!$C$2:$D$6,2,FALSE)*D137)</f>
        <v>0</v>
      </c>
      <c r="I137" s="144"/>
      <c r="J137" s="144"/>
    </row>
    <row r="139" spans="1:10" x14ac:dyDescent="0.25">
      <c r="C139" s="100" t="s">
        <v>235</v>
      </c>
      <c r="D139" s="119">
        <f>((SUM(F134:F137)/4) + (SUM(H134:H137)/4))*10</f>
        <v>0</v>
      </c>
    </row>
    <row r="141" spans="1:10" ht="25.5" x14ac:dyDescent="0.3">
      <c r="A141" s="120" t="s">
        <v>234</v>
      </c>
      <c r="B141" s="253"/>
      <c r="C141" s="254"/>
      <c r="D141" s="169" t="s">
        <v>15</v>
      </c>
      <c r="E141" s="169" t="s">
        <v>212</v>
      </c>
      <c r="F141" s="169" t="s">
        <v>212</v>
      </c>
      <c r="G141" s="169" t="s">
        <v>213</v>
      </c>
      <c r="H141" s="169" t="s">
        <v>213</v>
      </c>
      <c r="I141" s="169" t="s">
        <v>215</v>
      </c>
      <c r="J141" s="169" t="s">
        <v>214</v>
      </c>
    </row>
    <row r="142" spans="1:10" x14ac:dyDescent="0.25">
      <c r="B142" s="82"/>
      <c r="C142" s="14" t="s">
        <v>233</v>
      </c>
      <c r="D142" s="97">
        <f>Entregáveis!$D$82</f>
        <v>1</v>
      </c>
      <c r="E142" s="105"/>
      <c r="F142" s="101">
        <f>IF(ISBLANK(E142),,VLOOKUP($E142,Parâmetros!$C$2:$D$6,2,FALSE)*D142)</f>
        <v>0</v>
      </c>
      <c r="G142" s="105"/>
      <c r="H142" s="101">
        <f>IF(ISBLANK(G142),,VLOOKUP($G142,Parâmetros!$C$2:$D$6,2,FALSE)*D142)</f>
        <v>0</v>
      </c>
      <c r="I142" s="144"/>
      <c r="J142" s="144"/>
    </row>
    <row r="143" spans="1:10" x14ac:dyDescent="0.25">
      <c r="B143" s="82"/>
      <c r="C143" s="14" t="str">
        <f>Entregáveis!$C$91</f>
        <v>Diagrama de Seqüência do Fluxo Básico</v>
      </c>
      <c r="D143" s="96">
        <f>Entregáveis!$D$91</f>
        <v>0.2</v>
      </c>
      <c r="E143" s="105"/>
      <c r="F143" s="101">
        <f>IF(ISBLANK(E143),,VLOOKUP($E143,Parâmetros!$C$2:$D$6,2,FALSE)*D143)</f>
        <v>0</v>
      </c>
      <c r="G143" s="105"/>
      <c r="H143" s="101">
        <f>IF(ISBLANK(G143),,VLOOKUP($G143,Parâmetros!$C$2:$D$6,2,FALSE)*D143)</f>
        <v>0</v>
      </c>
      <c r="I143" s="144"/>
      <c r="J143" s="144"/>
    </row>
    <row r="144" spans="1:10" x14ac:dyDescent="0.25">
      <c r="B144" s="82"/>
      <c r="C144" s="14" t="str">
        <f>Entregáveis!$C$92</f>
        <v>Diagramas de Seqüência dos Fluxos Alternativos</v>
      </c>
      <c r="D144" s="96">
        <f>Entregáveis!$D$92</f>
        <v>0.5</v>
      </c>
      <c r="E144" s="105"/>
      <c r="F144" s="101">
        <f>IF(ISBLANK(E144),,VLOOKUP($E144,Parâmetros!$C$2:$D$6,2,FALSE)*D144)</f>
        <v>0</v>
      </c>
      <c r="G144" s="105"/>
      <c r="H144" s="101">
        <f>IF(ISBLANK(G144),,VLOOKUP($G144,Parâmetros!$C$2:$D$6,2,FALSE)*D144)</f>
        <v>0</v>
      </c>
      <c r="I144" s="144"/>
      <c r="J144" s="144"/>
    </row>
    <row r="145" spans="1:10" x14ac:dyDescent="0.25">
      <c r="B145" s="84"/>
      <c r="C145" s="56" t="str">
        <f>Entregáveis!$C$96</f>
        <v>Visão das Classes Participantes</v>
      </c>
      <c r="D145" s="98">
        <f>Entregáveis!$D$96</f>
        <v>0.3</v>
      </c>
      <c r="E145" s="105"/>
      <c r="F145" s="101">
        <f>IF(ISBLANK(E145),,VLOOKUP($E145,Parâmetros!$C$2:$D$6,2,FALSE)*D145)</f>
        <v>0</v>
      </c>
      <c r="G145" s="105"/>
      <c r="H145" s="101">
        <f>IF(ISBLANK(G145),,VLOOKUP($G145,Parâmetros!$C$2:$D$6,2,FALSE)*D145)</f>
        <v>0</v>
      </c>
      <c r="I145" s="144"/>
      <c r="J145" s="144"/>
    </row>
    <row r="147" spans="1:10" x14ac:dyDescent="0.25">
      <c r="C147" s="100" t="s">
        <v>235</v>
      </c>
      <c r="D147" s="119">
        <f>((SUM(F142:F145)/4) + (SUM(H142:H145)/4))*10</f>
        <v>0</v>
      </c>
    </row>
    <row r="149" spans="1:10" ht="25.5" x14ac:dyDescent="0.3">
      <c r="A149" s="120" t="s">
        <v>234</v>
      </c>
      <c r="B149" s="253"/>
      <c r="C149" s="254"/>
      <c r="D149" s="169" t="s">
        <v>15</v>
      </c>
      <c r="E149" s="169" t="s">
        <v>212</v>
      </c>
      <c r="F149" s="169" t="s">
        <v>212</v>
      </c>
      <c r="G149" s="169" t="s">
        <v>213</v>
      </c>
      <c r="H149" s="169" t="s">
        <v>213</v>
      </c>
      <c r="I149" s="169" t="s">
        <v>215</v>
      </c>
      <c r="J149" s="169" t="s">
        <v>214</v>
      </c>
    </row>
    <row r="150" spans="1:10" x14ac:dyDescent="0.25">
      <c r="B150" s="82"/>
      <c r="C150" s="14" t="s">
        <v>233</v>
      </c>
      <c r="D150" s="97">
        <f>Entregáveis!$D$82</f>
        <v>1</v>
      </c>
      <c r="E150" s="105"/>
      <c r="F150" s="101">
        <f>IF(ISBLANK(E150),,VLOOKUP($E150,Parâmetros!$C$2:$D$6,2,FALSE)*D150)</f>
        <v>0</v>
      </c>
      <c r="G150" s="105"/>
      <c r="H150" s="101">
        <f>IF(ISBLANK(G150),,VLOOKUP($G150,Parâmetros!$C$2:$D$6,2,FALSE)*D150)</f>
        <v>0</v>
      </c>
      <c r="I150" s="144"/>
      <c r="J150" s="144"/>
    </row>
    <row r="151" spans="1:10" x14ac:dyDescent="0.25">
      <c r="B151" s="82"/>
      <c r="C151" s="14" t="str">
        <f>Entregáveis!$C$91</f>
        <v>Diagrama de Seqüência do Fluxo Básico</v>
      </c>
      <c r="D151" s="96">
        <f>Entregáveis!$D$91</f>
        <v>0.2</v>
      </c>
      <c r="E151" s="105"/>
      <c r="F151" s="101">
        <f>IF(ISBLANK(E151),,VLOOKUP($E151,Parâmetros!$C$2:$D$6,2,FALSE)*D151)</f>
        <v>0</v>
      </c>
      <c r="G151" s="105"/>
      <c r="H151" s="101">
        <f>IF(ISBLANK(G151),,VLOOKUP($G151,Parâmetros!$C$2:$D$6,2,FALSE)*D151)</f>
        <v>0</v>
      </c>
      <c r="I151" s="144"/>
      <c r="J151" s="144"/>
    </row>
    <row r="152" spans="1:10" x14ac:dyDescent="0.25">
      <c r="B152" s="82"/>
      <c r="C152" s="14" t="str">
        <f>Entregáveis!$C$92</f>
        <v>Diagramas de Seqüência dos Fluxos Alternativos</v>
      </c>
      <c r="D152" s="96">
        <f>Entregáveis!$D$92</f>
        <v>0.5</v>
      </c>
      <c r="E152" s="105"/>
      <c r="F152" s="101">
        <f>IF(ISBLANK(E152),,VLOOKUP($E152,Parâmetros!$C$2:$D$6,2,FALSE)*D152)</f>
        <v>0</v>
      </c>
      <c r="G152" s="105"/>
      <c r="H152" s="101">
        <f>IF(ISBLANK(G152),,VLOOKUP($G152,Parâmetros!$C$2:$D$6,2,FALSE)*D152)</f>
        <v>0</v>
      </c>
      <c r="I152" s="144"/>
      <c r="J152" s="144"/>
    </row>
    <row r="153" spans="1:10" x14ac:dyDescent="0.25">
      <c r="B153" s="84"/>
      <c r="C153" s="56" t="str">
        <f>Entregáveis!$C$96</f>
        <v>Visão das Classes Participantes</v>
      </c>
      <c r="D153" s="98">
        <f>Entregáveis!$D$96</f>
        <v>0.3</v>
      </c>
      <c r="E153" s="105"/>
      <c r="F153" s="101">
        <f>IF(ISBLANK(E153),,VLOOKUP($E153,Parâmetros!$C$2:$D$6,2,FALSE)*D153)</f>
        <v>0</v>
      </c>
      <c r="G153" s="105"/>
      <c r="H153" s="101">
        <f>IF(ISBLANK(G153),,VLOOKUP($G153,Parâmetros!$C$2:$D$6,2,FALSE)*D153)</f>
        <v>0</v>
      </c>
      <c r="I153" s="144"/>
      <c r="J153" s="144"/>
    </row>
    <row r="155" spans="1:10" x14ac:dyDescent="0.25">
      <c r="C155" s="100" t="s">
        <v>235</v>
      </c>
      <c r="D155" s="119">
        <f>((SUM(F150:F153)/4) + (SUM(H150:H153)/4))*10</f>
        <v>0</v>
      </c>
    </row>
    <row r="157" spans="1:10" ht="25.5" x14ac:dyDescent="0.3">
      <c r="A157" s="120" t="s">
        <v>234</v>
      </c>
      <c r="B157" s="253"/>
      <c r="C157" s="254"/>
      <c r="D157" s="169" t="s">
        <v>15</v>
      </c>
      <c r="E157" s="169" t="s">
        <v>212</v>
      </c>
      <c r="F157" s="169" t="s">
        <v>212</v>
      </c>
      <c r="G157" s="169" t="s">
        <v>213</v>
      </c>
      <c r="H157" s="169" t="s">
        <v>213</v>
      </c>
      <c r="I157" s="169" t="s">
        <v>215</v>
      </c>
      <c r="J157" s="169" t="s">
        <v>214</v>
      </c>
    </row>
    <row r="158" spans="1:10" x14ac:dyDescent="0.25">
      <c r="B158" s="82"/>
      <c r="C158" s="14" t="s">
        <v>233</v>
      </c>
      <c r="D158" s="97">
        <f>Entregáveis!$D$82</f>
        <v>1</v>
      </c>
      <c r="E158" s="105"/>
      <c r="F158" s="101">
        <f>IF(ISBLANK(E158),,VLOOKUP($E158,Parâmetros!$C$2:$D$6,2,FALSE)*D158)</f>
        <v>0</v>
      </c>
      <c r="G158" s="105"/>
      <c r="H158" s="101">
        <f>IF(ISBLANK(G158),,VLOOKUP($G158,Parâmetros!$C$2:$D$6,2,FALSE)*D158)</f>
        <v>0</v>
      </c>
      <c r="I158" s="144"/>
      <c r="J158" s="144"/>
    </row>
    <row r="159" spans="1:10" x14ac:dyDescent="0.25">
      <c r="B159" s="82"/>
      <c r="C159" s="14" t="str">
        <f>Entregáveis!$C$91</f>
        <v>Diagrama de Seqüência do Fluxo Básico</v>
      </c>
      <c r="D159" s="96">
        <f>Entregáveis!$D$91</f>
        <v>0.2</v>
      </c>
      <c r="E159" s="105"/>
      <c r="F159" s="101">
        <f>IF(ISBLANK(E159),,VLOOKUP($E159,Parâmetros!$C$2:$D$6,2,FALSE)*D159)</f>
        <v>0</v>
      </c>
      <c r="G159" s="105"/>
      <c r="H159" s="101">
        <f>IF(ISBLANK(G159),,VLOOKUP($G159,Parâmetros!$C$2:$D$6,2,FALSE)*D159)</f>
        <v>0</v>
      </c>
      <c r="I159" s="144"/>
      <c r="J159" s="144"/>
    </row>
    <row r="160" spans="1:10" x14ac:dyDescent="0.25">
      <c r="B160" s="82"/>
      <c r="C160" s="14" t="str">
        <f>Entregáveis!$C$92</f>
        <v>Diagramas de Seqüência dos Fluxos Alternativos</v>
      </c>
      <c r="D160" s="96">
        <f>Entregáveis!$D$92</f>
        <v>0.5</v>
      </c>
      <c r="E160" s="105"/>
      <c r="F160" s="101">
        <f>IF(ISBLANK(E160),,VLOOKUP($E160,Parâmetros!$C$2:$D$6,2,FALSE)*D160)</f>
        <v>0</v>
      </c>
      <c r="G160" s="105"/>
      <c r="H160" s="101">
        <f>IF(ISBLANK(G160),,VLOOKUP($G160,Parâmetros!$C$2:$D$6,2,FALSE)*D160)</f>
        <v>0</v>
      </c>
      <c r="I160" s="144"/>
      <c r="J160" s="144"/>
    </row>
    <row r="161" spans="1:10" x14ac:dyDescent="0.25">
      <c r="B161" s="84"/>
      <c r="C161" s="56" t="str">
        <f>Entregáveis!$C$96</f>
        <v>Visão das Classes Participantes</v>
      </c>
      <c r="D161" s="98">
        <f>Entregáveis!$D$96</f>
        <v>0.3</v>
      </c>
      <c r="E161" s="105"/>
      <c r="F161" s="101">
        <f>IF(ISBLANK(E161),,VLOOKUP($E161,Parâmetros!$C$2:$D$6,2,FALSE)*D161)</f>
        <v>0</v>
      </c>
      <c r="G161" s="105"/>
      <c r="H161" s="101">
        <f>IF(ISBLANK(G161),,VLOOKUP($G161,Parâmetros!$C$2:$D$6,2,FALSE)*D161)</f>
        <v>0</v>
      </c>
      <c r="I161" s="144"/>
      <c r="J161" s="144"/>
    </row>
    <row r="163" spans="1:10" x14ac:dyDescent="0.25">
      <c r="C163" s="100" t="s">
        <v>235</v>
      </c>
      <c r="D163" s="119">
        <f>((SUM(F158:F161)/4) + (SUM(H158:H161)/4))*10</f>
        <v>0</v>
      </c>
    </row>
    <row r="165" spans="1:10" ht="25.5" x14ac:dyDescent="0.3">
      <c r="A165" s="120" t="s">
        <v>234</v>
      </c>
      <c r="B165" s="253"/>
      <c r="C165" s="254"/>
      <c r="D165" s="169" t="s">
        <v>15</v>
      </c>
      <c r="E165" s="169" t="s">
        <v>212</v>
      </c>
      <c r="F165" s="169" t="s">
        <v>212</v>
      </c>
      <c r="G165" s="169" t="s">
        <v>213</v>
      </c>
      <c r="H165" s="169" t="s">
        <v>213</v>
      </c>
      <c r="I165" s="169" t="s">
        <v>215</v>
      </c>
      <c r="J165" s="169" t="s">
        <v>214</v>
      </c>
    </row>
    <row r="166" spans="1:10" x14ac:dyDescent="0.25">
      <c r="B166" s="82"/>
      <c r="C166" s="14" t="s">
        <v>233</v>
      </c>
      <c r="D166" s="97">
        <f>Entregáveis!$D$82</f>
        <v>1</v>
      </c>
      <c r="E166" s="105"/>
      <c r="F166" s="101">
        <f>IF(ISBLANK(E166),,VLOOKUP($E166,Parâmetros!$C$2:$D$6,2,FALSE)*D166)</f>
        <v>0</v>
      </c>
      <c r="G166" s="105"/>
      <c r="H166" s="101">
        <f>IF(ISBLANK(G166),,VLOOKUP($G166,Parâmetros!$C$2:$D$6,2,FALSE)*D166)</f>
        <v>0</v>
      </c>
      <c r="I166" s="144"/>
      <c r="J166" s="144"/>
    </row>
    <row r="167" spans="1:10" x14ac:dyDescent="0.25">
      <c r="B167" s="82"/>
      <c r="C167" s="14" t="str">
        <f>Entregáveis!$C$91</f>
        <v>Diagrama de Seqüência do Fluxo Básico</v>
      </c>
      <c r="D167" s="96">
        <f>Entregáveis!$D$91</f>
        <v>0.2</v>
      </c>
      <c r="E167" s="105"/>
      <c r="F167" s="101">
        <f>IF(ISBLANK(E167),,VLOOKUP($E167,Parâmetros!$C$2:$D$6,2,FALSE)*D167)</f>
        <v>0</v>
      </c>
      <c r="G167" s="105"/>
      <c r="H167" s="101">
        <f>IF(ISBLANK(G167),,VLOOKUP($G167,Parâmetros!$C$2:$D$6,2,FALSE)*D167)</f>
        <v>0</v>
      </c>
      <c r="I167" s="144"/>
      <c r="J167" s="144"/>
    </row>
    <row r="168" spans="1:10" x14ac:dyDescent="0.25">
      <c r="B168" s="82"/>
      <c r="C168" s="14" t="str">
        <f>Entregáveis!$C$92</f>
        <v>Diagramas de Seqüência dos Fluxos Alternativos</v>
      </c>
      <c r="D168" s="96">
        <f>Entregáveis!$D$92</f>
        <v>0.5</v>
      </c>
      <c r="E168" s="105"/>
      <c r="F168" s="101">
        <f>IF(ISBLANK(E168),,VLOOKUP($E168,Parâmetros!$C$2:$D$6,2,FALSE)*D168)</f>
        <v>0</v>
      </c>
      <c r="G168" s="105"/>
      <c r="H168" s="101">
        <f>IF(ISBLANK(G168),,VLOOKUP($G168,Parâmetros!$C$2:$D$6,2,FALSE)*D168)</f>
        <v>0</v>
      </c>
      <c r="I168" s="144"/>
      <c r="J168" s="144"/>
    </row>
    <row r="169" spans="1:10" x14ac:dyDescent="0.25">
      <c r="B169" s="84"/>
      <c r="C169" s="56" t="str">
        <f>Entregáveis!$C$96</f>
        <v>Visão das Classes Participantes</v>
      </c>
      <c r="D169" s="98">
        <f>Entregáveis!$D$96</f>
        <v>0.3</v>
      </c>
      <c r="E169" s="105"/>
      <c r="F169" s="101">
        <f>IF(ISBLANK(E169),,VLOOKUP($E169,Parâmetros!$C$2:$D$6,2,FALSE)*D169)</f>
        <v>0</v>
      </c>
      <c r="G169" s="105"/>
      <c r="H169" s="101">
        <f>IF(ISBLANK(G169),,VLOOKUP($G169,Parâmetros!$C$2:$D$6,2,FALSE)*D169)</f>
        <v>0</v>
      </c>
      <c r="I169" s="144"/>
      <c r="J169" s="144"/>
    </row>
    <row r="171" spans="1:10" x14ac:dyDescent="0.25">
      <c r="C171" s="100" t="s">
        <v>235</v>
      </c>
      <c r="D171" s="119">
        <f>((SUM(F166:F169)/4) + (SUM(H166:H169)/4))*10</f>
        <v>0</v>
      </c>
    </row>
    <row r="173" spans="1:10" ht="25.5" x14ac:dyDescent="0.3">
      <c r="A173" s="120" t="s">
        <v>234</v>
      </c>
      <c r="B173" s="253"/>
      <c r="C173" s="254"/>
      <c r="D173" s="169" t="s">
        <v>15</v>
      </c>
      <c r="E173" s="169" t="s">
        <v>212</v>
      </c>
      <c r="F173" s="169" t="s">
        <v>212</v>
      </c>
      <c r="G173" s="169" t="s">
        <v>213</v>
      </c>
      <c r="H173" s="169" t="s">
        <v>213</v>
      </c>
      <c r="I173" s="169" t="s">
        <v>215</v>
      </c>
      <c r="J173" s="169" t="s">
        <v>214</v>
      </c>
    </row>
    <row r="174" spans="1:10" x14ac:dyDescent="0.25">
      <c r="B174" s="82"/>
      <c r="C174" s="14" t="s">
        <v>233</v>
      </c>
      <c r="D174" s="97">
        <f>Entregáveis!$D$82</f>
        <v>1</v>
      </c>
      <c r="E174" s="105"/>
      <c r="F174" s="101">
        <f>IF(ISBLANK(E174),,VLOOKUP($E174,Parâmetros!$C$2:$D$6,2,FALSE)*D174)</f>
        <v>0</v>
      </c>
      <c r="G174" s="105"/>
      <c r="H174" s="101">
        <f>IF(ISBLANK(G174),,VLOOKUP($G174,Parâmetros!$C$2:$D$6,2,FALSE)*D174)</f>
        <v>0</v>
      </c>
      <c r="I174" s="144"/>
      <c r="J174" s="144"/>
    </row>
    <row r="175" spans="1:10" x14ac:dyDescent="0.25">
      <c r="B175" s="82"/>
      <c r="C175" s="14" t="str">
        <f>Entregáveis!$C$91</f>
        <v>Diagrama de Seqüência do Fluxo Básico</v>
      </c>
      <c r="D175" s="96">
        <f>Entregáveis!$D$91</f>
        <v>0.2</v>
      </c>
      <c r="E175" s="105"/>
      <c r="F175" s="101">
        <f>IF(ISBLANK(E175),,VLOOKUP($E175,Parâmetros!$C$2:$D$6,2,FALSE)*D175)</f>
        <v>0</v>
      </c>
      <c r="G175" s="105"/>
      <c r="H175" s="101">
        <f>IF(ISBLANK(G175),,VLOOKUP($G175,Parâmetros!$C$2:$D$6,2,FALSE)*D175)</f>
        <v>0</v>
      </c>
      <c r="I175" s="144"/>
      <c r="J175" s="144"/>
    </row>
    <row r="176" spans="1:10" x14ac:dyDescent="0.25">
      <c r="B176" s="82"/>
      <c r="C176" s="14" t="str">
        <f>Entregáveis!$C$92</f>
        <v>Diagramas de Seqüência dos Fluxos Alternativos</v>
      </c>
      <c r="D176" s="96">
        <f>Entregáveis!$D$92</f>
        <v>0.5</v>
      </c>
      <c r="E176" s="105"/>
      <c r="F176" s="101">
        <f>IF(ISBLANK(E176),,VLOOKUP($E176,Parâmetros!$C$2:$D$6,2,FALSE)*D176)</f>
        <v>0</v>
      </c>
      <c r="G176" s="105"/>
      <c r="H176" s="101">
        <f>IF(ISBLANK(G176),,VLOOKUP($G176,Parâmetros!$C$2:$D$6,2,FALSE)*D176)</f>
        <v>0</v>
      </c>
      <c r="I176" s="144"/>
      <c r="J176" s="144"/>
    </row>
    <row r="177" spans="1:10" x14ac:dyDescent="0.25">
      <c r="B177" s="84"/>
      <c r="C177" s="56" t="str">
        <f>Entregáveis!$C$96</f>
        <v>Visão das Classes Participantes</v>
      </c>
      <c r="D177" s="98">
        <f>Entregáveis!$D$96</f>
        <v>0.3</v>
      </c>
      <c r="E177" s="105"/>
      <c r="F177" s="101">
        <f>IF(ISBLANK(E177),,VLOOKUP($E177,Parâmetros!$C$2:$D$6,2,FALSE)*D177)</f>
        <v>0</v>
      </c>
      <c r="G177" s="105"/>
      <c r="H177" s="101">
        <f>IF(ISBLANK(G177),,VLOOKUP($G177,Parâmetros!$C$2:$D$6,2,FALSE)*D177)</f>
        <v>0</v>
      </c>
      <c r="I177" s="144"/>
      <c r="J177" s="144"/>
    </row>
    <row r="179" spans="1:10" x14ac:dyDescent="0.25">
      <c r="C179" s="100" t="s">
        <v>235</v>
      </c>
      <c r="D179" s="119">
        <f>((SUM(F174:F177)/4) + (SUM(H174:H177)/4))*10</f>
        <v>0</v>
      </c>
    </row>
    <row r="181" spans="1:10" ht="25.5" x14ac:dyDescent="0.3">
      <c r="A181" s="120" t="s">
        <v>234</v>
      </c>
      <c r="B181" s="253"/>
      <c r="C181" s="254"/>
      <c r="D181" s="169" t="s">
        <v>15</v>
      </c>
      <c r="E181" s="169" t="s">
        <v>212</v>
      </c>
      <c r="F181" s="169" t="s">
        <v>212</v>
      </c>
      <c r="G181" s="169" t="s">
        <v>213</v>
      </c>
      <c r="H181" s="169" t="s">
        <v>213</v>
      </c>
      <c r="I181" s="169" t="s">
        <v>215</v>
      </c>
      <c r="J181" s="169" t="s">
        <v>214</v>
      </c>
    </row>
    <row r="182" spans="1:10" x14ac:dyDescent="0.25">
      <c r="B182" s="82"/>
      <c r="C182" s="14" t="s">
        <v>233</v>
      </c>
      <c r="D182" s="97">
        <f>Entregáveis!$D$82</f>
        <v>1</v>
      </c>
      <c r="E182" s="105"/>
      <c r="F182" s="101">
        <f>IF(ISBLANK(E182),,VLOOKUP($E182,Parâmetros!$C$2:$D$6,2,FALSE)*D182)</f>
        <v>0</v>
      </c>
      <c r="G182" s="105"/>
      <c r="H182" s="101">
        <f>IF(ISBLANK(G182),,VLOOKUP($G182,Parâmetros!$C$2:$D$6,2,FALSE)*D182)</f>
        <v>0</v>
      </c>
      <c r="I182" s="144"/>
      <c r="J182" s="144"/>
    </row>
    <row r="183" spans="1:10" x14ac:dyDescent="0.25">
      <c r="B183" s="82"/>
      <c r="C183" s="14" t="str">
        <f>Entregáveis!$C$91</f>
        <v>Diagrama de Seqüência do Fluxo Básico</v>
      </c>
      <c r="D183" s="96">
        <f>Entregáveis!$D$91</f>
        <v>0.2</v>
      </c>
      <c r="E183" s="105"/>
      <c r="F183" s="101">
        <f>IF(ISBLANK(E183),,VLOOKUP($E183,Parâmetros!$C$2:$D$6,2,FALSE)*D183)</f>
        <v>0</v>
      </c>
      <c r="G183" s="105"/>
      <c r="H183" s="101">
        <f>IF(ISBLANK(G183),,VLOOKUP($G183,Parâmetros!$C$2:$D$6,2,FALSE)*D183)</f>
        <v>0</v>
      </c>
      <c r="I183" s="144"/>
      <c r="J183" s="144"/>
    </row>
    <row r="184" spans="1:10" x14ac:dyDescent="0.25">
      <c r="B184" s="82"/>
      <c r="C184" s="14" t="str">
        <f>Entregáveis!$C$92</f>
        <v>Diagramas de Seqüência dos Fluxos Alternativos</v>
      </c>
      <c r="D184" s="96">
        <f>Entregáveis!$D$92</f>
        <v>0.5</v>
      </c>
      <c r="E184" s="105"/>
      <c r="F184" s="101">
        <f>IF(ISBLANK(E184),,VLOOKUP($E184,Parâmetros!$C$2:$D$6,2,FALSE)*D184)</f>
        <v>0</v>
      </c>
      <c r="G184" s="105"/>
      <c r="H184" s="101">
        <f>IF(ISBLANK(G184),,VLOOKUP($G184,Parâmetros!$C$2:$D$6,2,FALSE)*D184)</f>
        <v>0</v>
      </c>
      <c r="I184" s="144"/>
      <c r="J184" s="144"/>
    </row>
    <row r="185" spans="1:10" x14ac:dyDescent="0.25">
      <c r="B185" s="84"/>
      <c r="C185" s="56" t="str">
        <f>Entregáveis!$C$96</f>
        <v>Visão das Classes Participantes</v>
      </c>
      <c r="D185" s="98">
        <f>Entregáveis!$D$96</f>
        <v>0.3</v>
      </c>
      <c r="E185" s="105"/>
      <c r="F185" s="101">
        <f>IF(ISBLANK(E185),,VLOOKUP($E185,Parâmetros!$C$2:$D$6,2,FALSE)*D185)</f>
        <v>0</v>
      </c>
      <c r="G185" s="105"/>
      <c r="H185" s="101">
        <f>IF(ISBLANK(G185),,VLOOKUP($G185,Parâmetros!$C$2:$D$6,2,FALSE)*D185)</f>
        <v>0</v>
      </c>
      <c r="I185" s="144"/>
      <c r="J185" s="144"/>
    </row>
    <row r="187" spans="1:10" x14ac:dyDescent="0.25">
      <c r="C187" s="100" t="s">
        <v>235</v>
      </c>
      <c r="D187" s="119">
        <f>((SUM(F182:F185)/4) + (SUM(H182:H185)/4))*10</f>
        <v>0</v>
      </c>
    </row>
    <row r="189" spans="1:10" ht="25.5" x14ac:dyDescent="0.3">
      <c r="A189" s="120" t="s">
        <v>234</v>
      </c>
      <c r="B189" s="253"/>
      <c r="C189" s="254"/>
      <c r="D189" s="169" t="s">
        <v>15</v>
      </c>
      <c r="E189" s="169" t="s">
        <v>212</v>
      </c>
      <c r="F189" s="169" t="s">
        <v>212</v>
      </c>
      <c r="G189" s="169" t="s">
        <v>213</v>
      </c>
      <c r="H189" s="169" t="s">
        <v>213</v>
      </c>
      <c r="I189" s="169" t="s">
        <v>215</v>
      </c>
      <c r="J189" s="169" t="s">
        <v>214</v>
      </c>
    </row>
    <row r="190" spans="1:10" x14ac:dyDescent="0.25">
      <c r="B190" s="82"/>
      <c r="C190" s="14" t="s">
        <v>233</v>
      </c>
      <c r="D190" s="97">
        <f>Entregáveis!$D$82</f>
        <v>1</v>
      </c>
      <c r="E190" s="105"/>
      <c r="F190" s="101">
        <f>IF(ISBLANK(E190),,VLOOKUP($E190,Parâmetros!$C$2:$D$6,2,FALSE)*D190)</f>
        <v>0</v>
      </c>
      <c r="G190" s="105"/>
      <c r="H190" s="101">
        <f>IF(ISBLANK(G190),,VLOOKUP($G190,Parâmetros!$C$2:$D$6,2,FALSE)*D190)</f>
        <v>0</v>
      </c>
      <c r="I190" s="144"/>
      <c r="J190" s="144"/>
    </row>
    <row r="191" spans="1:10" x14ac:dyDescent="0.25">
      <c r="B191" s="82"/>
      <c r="C191" s="14" t="str">
        <f>Entregáveis!$C$91</f>
        <v>Diagrama de Seqüência do Fluxo Básico</v>
      </c>
      <c r="D191" s="96">
        <f>Entregáveis!$D$91</f>
        <v>0.2</v>
      </c>
      <c r="E191" s="105"/>
      <c r="F191" s="101">
        <f>IF(ISBLANK(E191),,VLOOKUP($E191,Parâmetros!$C$2:$D$6,2,FALSE)*D191)</f>
        <v>0</v>
      </c>
      <c r="G191" s="105"/>
      <c r="H191" s="101">
        <f>IF(ISBLANK(G191),,VLOOKUP($G191,Parâmetros!$C$2:$D$6,2,FALSE)*D191)</f>
        <v>0</v>
      </c>
      <c r="I191" s="144"/>
      <c r="J191" s="144"/>
    </row>
    <row r="192" spans="1:10" x14ac:dyDescent="0.25">
      <c r="B192" s="82"/>
      <c r="C192" s="14" t="str">
        <f>Entregáveis!$C$92</f>
        <v>Diagramas de Seqüência dos Fluxos Alternativos</v>
      </c>
      <c r="D192" s="96">
        <f>Entregáveis!$D$92</f>
        <v>0.5</v>
      </c>
      <c r="E192" s="105"/>
      <c r="F192" s="101">
        <f>IF(ISBLANK(E192),,VLOOKUP($E192,Parâmetros!$C$2:$D$6,2,FALSE)*D192)</f>
        <v>0</v>
      </c>
      <c r="G192" s="105"/>
      <c r="H192" s="101">
        <f>IF(ISBLANK(G192),,VLOOKUP($G192,Parâmetros!$C$2:$D$6,2,FALSE)*D192)</f>
        <v>0</v>
      </c>
      <c r="I192" s="144"/>
      <c r="J192" s="144"/>
    </row>
    <row r="193" spans="2:10" x14ac:dyDescent="0.25">
      <c r="B193" s="84"/>
      <c r="C193" s="56" t="str">
        <f>Entregáveis!$C$96</f>
        <v>Visão das Classes Participantes</v>
      </c>
      <c r="D193" s="98">
        <f>Entregáveis!$D$96</f>
        <v>0.3</v>
      </c>
      <c r="E193" s="105"/>
      <c r="F193" s="101">
        <f>IF(ISBLANK(E193),,VLOOKUP($E193,Parâmetros!$C$2:$D$6,2,FALSE)*D193)</f>
        <v>0</v>
      </c>
      <c r="G193" s="105"/>
      <c r="H193" s="101">
        <f>IF(ISBLANK(G193),,VLOOKUP($G193,Parâmetros!$C$2:$D$6,2,FALSE)*D193)</f>
        <v>0</v>
      </c>
      <c r="I193" s="144"/>
      <c r="J193" s="144"/>
    </row>
    <row r="195" spans="2:10" x14ac:dyDescent="0.25">
      <c r="C195" s="100" t="s">
        <v>235</v>
      </c>
      <c r="D195" s="119">
        <f>((SUM(F190:F193)/4) + (SUM(H190:H193)/4))*10</f>
        <v>0</v>
      </c>
    </row>
  </sheetData>
  <sheetProtection password="8352" sheet="1" objects="1" scenarios="1"/>
  <protectedRanges>
    <protectedRange sqref="B77 E78:E81 G78:G81 I78:J81 B85 E86:E89 G86:G89 I86:J89 B93 E94:E97 G94:G97 I94:J97 B101 E102:E105 G102:G105 I102:J105 B109 I110:J113 B117 I118:J121 G126:G129 I126:J129 G134:G137 I134:J137 B141 G142:G145 I142:J145 B149 G150:G153 I150:J153 B157 G158:G161 I158:J161 B165 G166:G169 I166:J169 B173 E174:E177 G174:G177 I174:J177 B181 E182:E185 G182:G185 I182:J185 B189 I190:J193 E190:E193 G190:G193 E118:E121 G118:G121 E110:E113 G110:G113 B125 E126:E129 B133 E134:E137 E142:E145 E150:E153 E158:E161 E166:E169" name="UC002"/>
    <protectedRange sqref="B37 G38:G41 I38:J41 B45 E46:E49 G46:G49 I46:J49 B53 E54:E57 G54:G57 I54:J57 B61 E62:E65 G62:G65 I62:J65 B69 E70:E73 G70:G73 I70:J73 E38:E41" name="UC001"/>
    <protectedRange sqref="D31:D32" name="Avaliação"/>
  </protectedRanges>
  <mergeCells count="21">
    <mergeCell ref="B157:C157"/>
    <mergeCell ref="B165:C165"/>
    <mergeCell ref="B173:C173"/>
    <mergeCell ref="B181:C181"/>
    <mergeCell ref="B189:C189"/>
    <mergeCell ref="B117:C117"/>
    <mergeCell ref="B125:C125"/>
    <mergeCell ref="B133:C133"/>
    <mergeCell ref="B141:C141"/>
    <mergeCell ref="B149:C149"/>
    <mergeCell ref="B8:C8"/>
    <mergeCell ref="B77:C77"/>
    <mergeCell ref="B85:C85"/>
    <mergeCell ref="B93:C93"/>
    <mergeCell ref="B101:C101"/>
    <mergeCell ref="B109:C109"/>
    <mergeCell ref="B37:C37"/>
    <mergeCell ref="B45:C45"/>
    <mergeCell ref="B53:C53"/>
    <mergeCell ref="B61:C61"/>
    <mergeCell ref="B69:C69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22">
        <x14:dataValidation type="list" allowBlank="1" showInputMessage="1" showErrorMessage="1">
          <x14:formula1>
            <xm:f>Parâmetros!$C$2:$C$6</xm:f>
          </x14:formula1>
          <xm:sqref>G38:G41 G102:G105 E102:E105 G94:G97 E94:E97 G86:G89 E86:E89 G78:G81 E78:E81 G70:G73 E70:E73 G62:G65 E62:E65 G54:G57 E54:E57 G46:G49 E46:E49 G118:G121 E110:E113 E38:E41 G190:G193 E118:E121 G110:G113 G126:G129 E126:E129 G134:G137 E134:E137 G142:G145 E142:E145 G150:G153 E150:E153 G158:G161 E158:E161 G166:G169 E174:E177 G174:G177 E182:E185 G182:G185 E190:E193 E166:E169</xm:sqref>
        </x14:dataValidation>
        <x14:dataValidation type="list" allowBlank="1" showInputMessage="1" showErrorMessage="1">
          <x14:formula1>
            <xm:f>Parâmetros!$H$2:$H$3</xm:f>
          </x14:formula1>
          <xm:sqref>D32</xm:sqref>
        </x14:dataValidation>
        <x14:dataValidation type="list" allowBlank="1" showInputMessage="1" showErrorMessage="1">
          <x14:formula1>
            <xm:f>UCP!$C$32:$C$76</xm:f>
          </x14:formula1>
          <xm:sqref>B53</xm:sqref>
        </x14:dataValidation>
        <x14:dataValidation type="list" allowBlank="1" showInputMessage="1" showErrorMessage="1">
          <x14:formula1>
            <xm:f>UCP!$C$32:$C$76</xm:f>
          </x14:formula1>
          <xm:sqref>B101</xm:sqref>
        </x14:dataValidation>
        <x14:dataValidation type="list" allowBlank="1" showInputMessage="1" showErrorMessage="1">
          <x14:formula1>
            <xm:f>UCP!$C$32:$C$76</xm:f>
          </x14:formula1>
          <xm:sqref>B93</xm:sqref>
        </x14:dataValidation>
        <x14:dataValidation type="list" allowBlank="1" showInputMessage="1" showErrorMessage="1">
          <x14:formula1>
            <xm:f>UCP!$C$32:$C$76</xm:f>
          </x14:formula1>
          <xm:sqref>B85</xm:sqref>
        </x14:dataValidation>
        <x14:dataValidation type="list" allowBlank="1" showInputMessage="1" showErrorMessage="1">
          <x14:formula1>
            <xm:f>UCP!$C$32:$C$76</xm:f>
          </x14:formula1>
          <xm:sqref>B77</xm:sqref>
        </x14:dataValidation>
        <x14:dataValidation type="list" allowBlank="1" showInputMessage="1" showErrorMessage="1">
          <x14:formula1>
            <xm:f>UCP!$C$32:$C$76</xm:f>
          </x14:formula1>
          <xm:sqref>B69</xm:sqref>
        </x14:dataValidation>
        <x14:dataValidation type="list" allowBlank="1" showInputMessage="1" showErrorMessage="1">
          <x14:formula1>
            <xm:f>UCP!$C$32:$C$76</xm:f>
          </x14:formula1>
          <xm:sqref>B61</xm:sqref>
        </x14:dataValidation>
        <x14:dataValidation type="list" allowBlank="1" showInputMessage="1" showErrorMessage="1">
          <x14:formula1>
            <xm:f>UCP!$C$32:$C$76</xm:f>
          </x14:formula1>
          <xm:sqref>B45</xm:sqref>
        </x14:dataValidation>
        <x14:dataValidation type="list" allowBlank="1" showInputMessage="1" showErrorMessage="1">
          <x14:formula1>
            <xm:f>UCP!$C$32:$C$76</xm:f>
          </x14:formula1>
          <xm:sqref>B37</xm:sqref>
        </x14:dataValidation>
        <x14:dataValidation type="list" allowBlank="1" showInputMessage="1" showErrorMessage="1">
          <x14:formula1>
            <xm:f>UCP!$C$32:$C$76</xm:f>
          </x14:formula1>
          <xm:sqref>B109</xm:sqref>
        </x14:dataValidation>
        <x14:dataValidation type="list" allowBlank="1" showInputMessage="1" showErrorMessage="1">
          <x14:formula1>
            <xm:f>UCP!$C$32:$C$76</xm:f>
          </x14:formula1>
          <xm:sqref>B117</xm:sqref>
        </x14:dataValidation>
        <x14:dataValidation type="list" allowBlank="1" showInputMessage="1" showErrorMessage="1">
          <x14:formula1>
            <xm:f>UCP!$C$32:$C$76</xm:f>
          </x14:formula1>
          <xm:sqref>B189</xm:sqref>
        </x14:dataValidation>
        <x14:dataValidation type="list" allowBlank="1" showInputMessage="1" showErrorMessage="1">
          <x14:formula1>
            <xm:f>UCP!$C$32:$C$76</xm:f>
          </x14:formula1>
          <xm:sqref>B125</xm:sqref>
        </x14:dataValidation>
        <x14:dataValidation type="list" allowBlank="1" showInputMessage="1" showErrorMessage="1">
          <x14:formula1>
            <xm:f>UCP!$C$32:$C$76</xm:f>
          </x14:formula1>
          <xm:sqref>B141</xm:sqref>
        </x14:dataValidation>
        <x14:dataValidation type="list" allowBlank="1" showInputMessage="1" showErrorMessage="1">
          <x14:formula1>
            <xm:f>UCP!$C$32:$C$76</xm:f>
          </x14:formula1>
          <xm:sqref>B149</xm:sqref>
        </x14:dataValidation>
        <x14:dataValidation type="list" allowBlank="1" showInputMessage="1" showErrorMessage="1">
          <x14:formula1>
            <xm:f>UCP!$C$32:$C$76</xm:f>
          </x14:formula1>
          <xm:sqref>B157</xm:sqref>
        </x14:dataValidation>
        <x14:dataValidation type="list" allowBlank="1" showInputMessage="1" showErrorMessage="1">
          <x14:formula1>
            <xm:f>UCP!$C$32:$C$76</xm:f>
          </x14:formula1>
          <xm:sqref>B165</xm:sqref>
        </x14:dataValidation>
        <x14:dataValidation type="list" allowBlank="1" showInputMessage="1" showErrorMessage="1">
          <x14:formula1>
            <xm:f>UCP!$C$32:$C$76</xm:f>
          </x14:formula1>
          <xm:sqref>B173</xm:sqref>
        </x14:dataValidation>
        <x14:dataValidation type="list" allowBlank="1" showInputMessage="1" showErrorMessage="1">
          <x14:formula1>
            <xm:f>UCP!$C$32:$C$76</xm:f>
          </x14:formula1>
          <xm:sqref>B181</xm:sqref>
        </x14:dataValidation>
        <x14:dataValidation type="list" allowBlank="1" showInputMessage="1" showErrorMessage="1">
          <x14:formula1>
            <xm:f>UCP!$C$32:$C$76</xm:f>
          </x14:formula1>
          <xm:sqref>B133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J195"/>
  <sheetViews>
    <sheetView topLeftCell="A7" zoomScale="80" zoomScaleNormal="80" workbookViewId="0">
      <selection activeCell="B165" sqref="B165:C165"/>
    </sheetView>
  </sheetViews>
  <sheetFormatPr defaultRowHeight="15" x14ac:dyDescent="0.25"/>
  <cols>
    <col min="1" max="1" width="9.140625" style="1"/>
    <col min="2" max="2" width="22.85546875" style="1" customWidth="1"/>
    <col min="3" max="3" width="50" style="1" customWidth="1"/>
    <col min="4" max="4" width="13.7109375" style="1" customWidth="1"/>
    <col min="5" max="5" width="16.28515625" style="1" customWidth="1"/>
    <col min="6" max="6" width="18.42578125" style="1" customWidth="1"/>
    <col min="7" max="7" width="17" style="1" customWidth="1"/>
    <col min="8" max="8" width="18.42578125" style="1" customWidth="1"/>
    <col min="9" max="9" width="20.5703125" style="1" customWidth="1"/>
    <col min="10" max="10" width="23.5703125" style="1" customWidth="1"/>
    <col min="11" max="16384" width="9.140625" style="1"/>
  </cols>
  <sheetData>
    <row r="6" spans="1:4" x14ac:dyDescent="0.25">
      <c r="A6" s="11" t="s">
        <v>309</v>
      </c>
    </row>
    <row r="8" spans="1:4" ht="25.5" x14ac:dyDescent="0.25">
      <c r="B8" s="256" t="s">
        <v>25</v>
      </c>
      <c r="C8" s="257"/>
      <c r="D8" s="133" t="s">
        <v>230</v>
      </c>
    </row>
    <row r="9" spans="1:4" x14ac:dyDescent="0.25">
      <c r="A9" s="104">
        <f t="shared" ref="A9:A17" si="0">IF(AND(EXACT(B9,""),D9=0),0,1)</f>
        <v>1</v>
      </c>
      <c r="B9" s="121" t="str">
        <f>IF(ISBLANK(B37),"",B37)</f>
        <v>MyCluby Social Web: UC011 – Gerenciar Eventos</v>
      </c>
      <c r="C9" s="110"/>
      <c r="D9" s="124">
        <f>IF(ISBLANK(B37),0,D43)</f>
        <v>0</v>
      </c>
    </row>
    <row r="10" spans="1:4" x14ac:dyDescent="0.25">
      <c r="A10" s="104">
        <f t="shared" si="0"/>
        <v>1</v>
      </c>
      <c r="B10" s="122" t="str">
        <f>IF(ISBLANK(B45),"",B45)</f>
        <v>MyCluby Social Web: UC012 – Gerenciar Lugares de Maior Frequência</v>
      </c>
      <c r="C10" s="113"/>
      <c r="D10" s="125">
        <f>IF(ISBLANK(B45),0,D51)</f>
        <v>0</v>
      </c>
    </row>
    <row r="11" spans="1:4" x14ac:dyDescent="0.25">
      <c r="A11" s="104">
        <f t="shared" si="0"/>
        <v>1</v>
      </c>
      <c r="B11" s="122" t="str">
        <f>IF(ISBLANK(B53),"",B53)</f>
        <v>MyCluby Social Web: UC013 – Gerenciar Pagamentos</v>
      </c>
      <c r="C11" s="113"/>
      <c r="D11" s="125">
        <f>IF(ISBLANK(B53),0,D59)</f>
        <v>0</v>
      </c>
    </row>
    <row r="12" spans="1:4" x14ac:dyDescent="0.25">
      <c r="A12" s="104">
        <f t="shared" si="0"/>
        <v>1</v>
      </c>
      <c r="B12" s="122" t="str">
        <f>IF(ISBLANK(B61),"",B61)</f>
        <v>MyCluby Social Web: UC014 – Gerenciar Área para Estabelecimentos</v>
      </c>
      <c r="C12" s="113"/>
      <c r="D12" s="125">
        <f>IF(ISBLANK(B61),0,D67)</f>
        <v>0</v>
      </c>
    </row>
    <row r="13" spans="1:4" x14ac:dyDescent="0.25">
      <c r="A13" s="104">
        <f t="shared" si="0"/>
        <v>1</v>
      </c>
      <c r="B13" s="122" t="str">
        <f>IF(ISBLANK(B69),"",B69)</f>
        <v>MyCluby Social Mobile: UC015 – Efetuar Check-in</v>
      </c>
      <c r="C13" s="113"/>
      <c r="D13" s="125">
        <f>IF(ISBLANK(B69),0,D75)</f>
        <v>0</v>
      </c>
    </row>
    <row r="14" spans="1:4" x14ac:dyDescent="0.25">
      <c r="A14" s="104">
        <f t="shared" si="0"/>
        <v>1</v>
      </c>
      <c r="B14" s="122" t="str">
        <f>IF(ISBLANK(B77),"",B77)</f>
        <v>MyCluby Social Mobile: UC016 – Configurar Notificações</v>
      </c>
      <c r="C14" s="113"/>
      <c r="D14" s="125">
        <f>IF(ISBLANK(B77),0,D83)</f>
        <v>0</v>
      </c>
    </row>
    <row r="15" spans="1:4" x14ac:dyDescent="0.25">
      <c r="A15" s="104">
        <f t="shared" si="0"/>
        <v>1</v>
      </c>
      <c r="B15" s="122" t="str">
        <f>IF(ISBLANK(B85),"",B85)</f>
        <v>MyCluby Social Mobile: UC017 – Visualizar Cardápio</v>
      </c>
      <c r="C15" s="113"/>
      <c r="D15" s="125">
        <f>IF(ISBLANK(B85),0,D91)</f>
        <v>0</v>
      </c>
    </row>
    <row r="16" spans="1:4" x14ac:dyDescent="0.25">
      <c r="A16" s="104">
        <f t="shared" si="0"/>
        <v>1</v>
      </c>
      <c r="B16" s="122" t="str">
        <f>IF(ISBLANK(B93),"",B93)</f>
        <v>MyCluby Social Mobile: UC018 – Visualizar Consumação</v>
      </c>
      <c r="C16" s="113"/>
      <c r="D16" s="125">
        <f>IF(ISBLANK(B93),0,D99)</f>
        <v>0</v>
      </c>
    </row>
    <row r="17" spans="1:5" x14ac:dyDescent="0.25">
      <c r="A17" s="104">
        <f t="shared" si="0"/>
        <v>1</v>
      </c>
      <c r="B17" s="122" t="str">
        <f>IF(ISBLANK(B101),"",B101)</f>
        <v>MyCluby Social Mobile: UC019 – Visualizar Informações de Atendente</v>
      </c>
      <c r="C17" s="113"/>
      <c r="D17" s="125">
        <f>IF(ISBLANK(B101),0,D107)</f>
        <v>0</v>
      </c>
    </row>
    <row r="18" spans="1:5" x14ac:dyDescent="0.25">
      <c r="A18" s="104">
        <f>IF(AND(EXACT(B18,""),D18=0),0,1)</f>
        <v>1</v>
      </c>
      <c r="B18" s="122" t="str">
        <f>IF(ISBLANK(B109),"",B109)</f>
        <v>MyCluby Social Mobile: UC020 – Visualizar Notificações</v>
      </c>
      <c r="C18" s="113"/>
      <c r="D18" s="125">
        <f>IF(ISBLANK(B109),0,D115)</f>
        <v>0</v>
      </c>
    </row>
    <row r="19" spans="1:5" x14ac:dyDescent="0.25">
      <c r="A19" s="104">
        <f t="shared" ref="A19:A28" si="1">IF(AND(EXACT(B19,""),D19=0),0,1)</f>
        <v>1</v>
      </c>
      <c r="B19" s="122" t="str">
        <f>IF(ISBLANK(B117),"",B117)</f>
        <v>MyCluby Social Mobile: UC021 – Gerenciar Mensagens Internas</v>
      </c>
      <c r="C19" s="113"/>
      <c r="D19" s="125">
        <f>IF(ISBLANK(B117),0,D123)</f>
        <v>0</v>
      </c>
    </row>
    <row r="20" spans="1:5" x14ac:dyDescent="0.25">
      <c r="A20" s="104">
        <f t="shared" si="1"/>
        <v>1</v>
      </c>
      <c r="B20" s="122" t="str">
        <f>IF(ISBLANK(B125),"",B125)</f>
        <v>MyCluby Social Mobile: UC022 – Gerenciar Pagamentos Mobile</v>
      </c>
      <c r="C20" s="113"/>
      <c r="D20" s="125">
        <f>IF(ISBLANK(B125),0,D131)</f>
        <v>0</v>
      </c>
    </row>
    <row r="21" spans="1:5" x14ac:dyDescent="0.25">
      <c r="A21" s="104">
        <f t="shared" si="1"/>
        <v>1</v>
      </c>
      <c r="B21" s="122" t="str">
        <f>IF(ISBLANK(B133),"",B133)</f>
        <v>MyCluby Social Mobile: UC023 – Efetuar Check-out</v>
      </c>
      <c r="C21" s="113"/>
      <c r="D21" s="125">
        <f>IF(ISBLANK(B133),0,D139)</f>
        <v>0</v>
      </c>
    </row>
    <row r="22" spans="1:5" x14ac:dyDescent="0.25">
      <c r="A22" s="104">
        <f t="shared" si="1"/>
        <v>0</v>
      </c>
      <c r="B22" s="122" t="str">
        <f>IF(ISBLANK(B141),"",B141)</f>
        <v/>
      </c>
      <c r="C22" s="113"/>
      <c r="D22" s="125">
        <f>IF(ISBLANK(B141),0,D147)</f>
        <v>0</v>
      </c>
    </row>
    <row r="23" spans="1:5" x14ac:dyDescent="0.25">
      <c r="A23" s="104">
        <f t="shared" si="1"/>
        <v>0</v>
      </c>
      <c r="B23" s="122" t="str">
        <f>IF(ISBLANK(B149),"",B149)</f>
        <v/>
      </c>
      <c r="C23" s="113"/>
      <c r="D23" s="125">
        <f>IF(ISBLANK(B149),0,D155)</f>
        <v>0</v>
      </c>
    </row>
    <row r="24" spans="1:5" x14ac:dyDescent="0.25">
      <c r="A24" s="104">
        <f t="shared" si="1"/>
        <v>0</v>
      </c>
      <c r="B24" s="122" t="str">
        <f>IF(ISBLANK(B157),"",B157)</f>
        <v/>
      </c>
      <c r="C24" s="113"/>
      <c r="D24" s="125">
        <f>IF(ISBLANK(B157),0,D163)</f>
        <v>0</v>
      </c>
    </row>
    <row r="25" spans="1:5" x14ac:dyDescent="0.25">
      <c r="A25" s="104">
        <f t="shared" si="1"/>
        <v>0</v>
      </c>
      <c r="B25" s="122" t="str">
        <f>IF(ISBLANK(B165),"",B165)</f>
        <v/>
      </c>
      <c r="C25" s="113"/>
      <c r="D25" s="125">
        <f>IF(ISBLANK(B165),0,D171)</f>
        <v>0</v>
      </c>
    </row>
    <row r="26" spans="1:5" x14ac:dyDescent="0.25">
      <c r="A26" s="104">
        <f t="shared" si="1"/>
        <v>0</v>
      </c>
      <c r="B26" s="122" t="str">
        <f>IF(ISBLANK(B173),"",B173)</f>
        <v/>
      </c>
      <c r="C26" s="113"/>
      <c r="D26" s="125">
        <f>IF(ISBLANK(B173),0,D179)</f>
        <v>0</v>
      </c>
    </row>
    <row r="27" spans="1:5" x14ac:dyDescent="0.25">
      <c r="A27" s="104">
        <f t="shared" si="1"/>
        <v>0</v>
      </c>
      <c r="B27" s="122" t="str">
        <f>IF(ISBLANK(B181),"",B181)</f>
        <v/>
      </c>
      <c r="C27" s="113"/>
      <c r="D27" s="125">
        <f>IF(ISBLANK(B181),0,D187)</f>
        <v>0</v>
      </c>
    </row>
    <row r="28" spans="1:5" x14ac:dyDescent="0.25">
      <c r="A28" s="104">
        <f t="shared" si="1"/>
        <v>0</v>
      </c>
      <c r="B28" s="123" t="str">
        <f>IF(ISBLANK(B189),"",B189)</f>
        <v/>
      </c>
      <c r="C28" s="116"/>
      <c r="D28" s="126">
        <f>IF(ISBLANK(B189),0,D195)</f>
        <v>0</v>
      </c>
    </row>
    <row r="29" spans="1:5" x14ac:dyDescent="0.25">
      <c r="D29" s="104">
        <f>IF(SUM(A9:A28)=0,0,SUM(D9:D28)/SUM(A9:A28))</f>
        <v>0</v>
      </c>
    </row>
    <row r="30" spans="1:5" x14ac:dyDescent="0.25">
      <c r="C30" s="100" t="s">
        <v>311</v>
      </c>
      <c r="D30" s="172">
        <f>IF(D29 - (D29*10%*E31)&lt;0,0,(D29- (D29*10%*E31)))</f>
        <v>0</v>
      </c>
    </row>
    <row r="31" spans="1:5" x14ac:dyDescent="0.25">
      <c r="C31" s="164" t="s">
        <v>310</v>
      </c>
      <c r="D31" s="173">
        <v>0</v>
      </c>
      <c r="E31" s="104">
        <f>IF(EXACT(D32,Parâmetros!$H$2),D31,D31+1)</f>
        <v>0</v>
      </c>
    </row>
    <row r="32" spans="1:5" x14ac:dyDescent="0.25">
      <c r="C32" s="164" t="s">
        <v>333</v>
      </c>
      <c r="D32" s="173" t="s">
        <v>331</v>
      </c>
    </row>
    <row r="34" spans="1:10" x14ac:dyDescent="0.25">
      <c r="A34" s="11" t="s">
        <v>236</v>
      </c>
    </row>
    <row r="37" spans="1:10" ht="25.5" x14ac:dyDescent="0.3">
      <c r="A37" s="120" t="s">
        <v>234</v>
      </c>
      <c r="B37" s="253" t="s">
        <v>413</v>
      </c>
      <c r="C37" s="255"/>
      <c r="D37" s="169" t="s">
        <v>15</v>
      </c>
      <c r="E37" s="169" t="s">
        <v>212</v>
      </c>
      <c r="F37" s="169" t="s">
        <v>212</v>
      </c>
      <c r="G37" s="169" t="s">
        <v>213</v>
      </c>
      <c r="H37" s="169" t="s">
        <v>213</v>
      </c>
      <c r="I37" s="169" t="s">
        <v>215</v>
      </c>
      <c r="J37" s="169" t="s">
        <v>214</v>
      </c>
    </row>
    <row r="38" spans="1:10" x14ac:dyDescent="0.25">
      <c r="B38" s="82"/>
      <c r="C38" s="14" t="s">
        <v>233</v>
      </c>
      <c r="D38" s="97">
        <f>Entregáveis!$D$82</f>
        <v>1</v>
      </c>
      <c r="E38" s="105"/>
      <c r="F38" s="101">
        <f>IF(ISBLANK(E38),,VLOOKUP($E38,Parâmetros!$C$2:$D$6,2,FALSE)*D38)</f>
        <v>0</v>
      </c>
      <c r="G38" s="168"/>
      <c r="H38" s="101">
        <f>IF(ISBLANK(G38),,VLOOKUP($G38,Parâmetros!$C$2:$D$6,2,FALSE)*D38)</f>
        <v>0</v>
      </c>
      <c r="I38" s="144"/>
      <c r="J38" s="144"/>
    </row>
    <row r="39" spans="1:10" x14ac:dyDescent="0.25">
      <c r="B39" s="82"/>
      <c r="C39" s="14" t="str">
        <f>Entregáveis!$C$91</f>
        <v>Diagrama de Seqüência do Fluxo Básico</v>
      </c>
      <c r="D39" s="96">
        <f>Entregáveis!$D$91</f>
        <v>0.2</v>
      </c>
      <c r="E39" s="168"/>
      <c r="F39" s="101">
        <f>IF(ISBLANK(E39),,VLOOKUP($E39,Parâmetros!$C$2:$D$6,2,FALSE)*D39)</f>
        <v>0</v>
      </c>
      <c r="G39" s="168"/>
      <c r="H39" s="101">
        <f>IF(ISBLANK(G39),,VLOOKUP($G39,Parâmetros!$C$2:$D$6,2,FALSE)*D39)</f>
        <v>0</v>
      </c>
      <c r="I39" s="144"/>
      <c r="J39" s="144"/>
    </row>
    <row r="40" spans="1:10" x14ac:dyDescent="0.25">
      <c r="B40" s="82"/>
      <c r="C40" s="14" t="str">
        <f>Entregáveis!$C$92</f>
        <v>Diagramas de Seqüência dos Fluxos Alternativos</v>
      </c>
      <c r="D40" s="96">
        <f>Entregáveis!$D$92</f>
        <v>0.5</v>
      </c>
      <c r="E40" s="168"/>
      <c r="F40" s="101">
        <f>IF(ISBLANK(E40),,VLOOKUP($E40,Parâmetros!$C$2:$D$6,2,FALSE)*D40)</f>
        <v>0</v>
      </c>
      <c r="G40" s="168"/>
      <c r="H40" s="101">
        <f>IF(ISBLANK(G40),,VLOOKUP($G40,Parâmetros!$C$2:$D$6,2,FALSE)*D40)</f>
        <v>0</v>
      </c>
      <c r="I40" s="144"/>
      <c r="J40" s="144"/>
    </row>
    <row r="41" spans="1:10" x14ac:dyDescent="0.25">
      <c r="B41" s="84"/>
      <c r="C41" s="56" t="str">
        <f>Entregáveis!$C$96</f>
        <v>Visão das Classes Participantes</v>
      </c>
      <c r="D41" s="98">
        <f>Entregáveis!$D$96</f>
        <v>0.3</v>
      </c>
      <c r="E41" s="168"/>
      <c r="F41" s="101">
        <f>IF(ISBLANK(E41),,VLOOKUP($E41,Parâmetros!$C$2:$D$6,2,FALSE)*D41)</f>
        <v>0</v>
      </c>
      <c r="G41" s="168"/>
      <c r="H41" s="101">
        <f>IF(ISBLANK(G41),,VLOOKUP($G41,Parâmetros!$C$2:$D$6,2,FALSE)*D41)</f>
        <v>0</v>
      </c>
      <c r="I41" s="144"/>
      <c r="J41" s="144"/>
    </row>
    <row r="43" spans="1:10" x14ac:dyDescent="0.25">
      <c r="C43" s="100" t="s">
        <v>235</v>
      </c>
      <c r="D43" s="119">
        <f>((SUM(F38:F41)/4) + (SUM(H38:H41)/4))*10</f>
        <v>0</v>
      </c>
    </row>
    <row r="45" spans="1:10" ht="25.5" x14ac:dyDescent="0.3">
      <c r="A45" s="120" t="s">
        <v>234</v>
      </c>
      <c r="B45" s="253" t="s">
        <v>414</v>
      </c>
      <c r="C45" s="254"/>
      <c r="D45" s="169" t="s">
        <v>15</v>
      </c>
      <c r="E45" s="169" t="s">
        <v>212</v>
      </c>
      <c r="F45" s="169" t="s">
        <v>212</v>
      </c>
      <c r="G45" s="169" t="s">
        <v>213</v>
      </c>
      <c r="H45" s="169" t="s">
        <v>213</v>
      </c>
      <c r="I45" s="169" t="s">
        <v>215</v>
      </c>
      <c r="J45" s="169" t="s">
        <v>214</v>
      </c>
    </row>
    <row r="46" spans="1:10" x14ac:dyDescent="0.25">
      <c r="B46" s="82"/>
      <c r="C46" s="14" t="s">
        <v>233</v>
      </c>
      <c r="D46" s="97">
        <f>Entregáveis!$D$82</f>
        <v>1</v>
      </c>
      <c r="E46" s="105"/>
      <c r="F46" s="101">
        <f>IF(ISBLANK(E46),,VLOOKUP($E46,Parâmetros!$C$2:$D$6,2,FALSE)*D46)</f>
        <v>0</v>
      </c>
      <c r="G46" s="105"/>
      <c r="H46" s="101">
        <f>IF(ISBLANK(G46),,VLOOKUP($G46,Parâmetros!$C$2:$D$6,2,FALSE)*D46)</f>
        <v>0</v>
      </c>
      <c r="I46" s="144"/>
      <c r="J46" s="144"/>
    </row>
    <row r="47" spans="1:10" x14ac:dyDescent="0.25">
      <c r="B47" s="82"/>
      <c r="C47" s="14" t="str">
        <f>Entregáveis!$C$91</f>
        <v>Diagrama de Seqüência do Fluxo Básico</v>
      </c>
      <c r="D47" s="96">
        <f>Entregáveis!$D$91</f>
        <v>0.2</v>
      </c>
      <c r="E47" s="105"/>
      <c r="F47" s="101">
        <f>IF(ISBLANK(E47),,VLOOKUP($E47,Parâmetros!$C$2:$D$6,2,FALSE)*D47)</f>
        <v>0</v>
      </c>
      <c r="G47" s="105"/>
      <c r="H47" s="101">
        <f>IF(ISBLANK(G47),,VLOOKUP($G47,Parâmetros!$C$2:$D$6,2,FALSE)*D47)</f>
        <v>0</v>
      </c>
      <c r="I47" s="144"/>
      <c r="J47" s="144"/>
    </row>
    <row r="48" spans="1:10" x14ac:dyDescent="0.25">
      <c r="B48" s="82"/>
      <c r="C48" s="14" t="str">
        <f>Entregáveis!$C$92</f>
        <v>Diagramas de Seqüência dos Fluxos Alternativos</v>
      </c>
      <c r="D48" s="96">
        <f>Entregáveis!$D$92</f>
        <v>0.5</v>
      </c>
      <c r="E48" s="105"/>
      <c r="F48" s="101">
        <f>IF(ISBLANK(E48),,VLOOKUP($E48,Parâmetros!$C$2:$D$6,2,FALSE)*D48)</f>
        <v>0</v>
      </c>
      <c r="G48" s="105"/>
      <c r="H48" s="101">
        <f>IF(ISBLANK(G48),,VLOOKUP($G48,Parâmetros!$C$2:$D$6,2,FALSE)*D48)</f>
        <v>0</v>
      </c>
      <c r="I48" s="144"/>
      <c r="J48" s="144"/>
    </row>
    <row r="49" spans="1:10" x14ac:dyDescent="0.25">
      <c r="B49" s="84"/>
      <c r="C49" s="56" t="str">
        <f>Entregáveis!$C$96</f>
        <v>Visão das Classes Participantes</v>
      </c>
      <c r="D49" s="98">
        <f>Entregáveis!$D$96</f>
        <v>0.3</v>
      </c>
      <c r="E49" s="105"/>
      <c r="F49" s="101">
        <f>IF(ISBLANK(E49),,VLOOKUP($E49,Parâmetros!$C$2:$D$6,2,FALSE)*D49)</f>
        <v>0</v>
      </c>
      <c r="G49" s="105"/>
      <c r="H49" s="101">
        <f>IF(ISBLANK(G49),,VLOOKUP($G49,Parâmetros!$C$2:$D$6,2,FALSE)*D49)</f>
        <v>0</v>
      </c>
      <c r="I49" s="144"/>
      <c r="J49" s="144"/>
    </row>
    <row r="51" spans="1:10" x14ac:dyDescent="0.25">
      <c r="C51" s="100" t="s">
        <v>235</v>
      </c>
      <c r="D51" s="119">
        <f>((SUM(F46:F49)/4) + (SUM(H46:H49)/4))*10</f>
        <v>0</v>
      </c>
    </row>
    <row r="53" spans="1:10" ht="25.5" x14ac:dyDescent="0.3">
      <c r="A53" s="120" t="s">
        <v>234</v>
      </c>
      <c r="B53" s="253" t="s">
        <v>415</v>
      </c>
      <c r="C53" s="254"/>
      <c r="D53" s="169" t="s">
        <v>15</v>
      </c>
      <c r="E53" s="169" t="s">
        <v>212</v>
      </c>
      <c r="F53" s="169" t="s">
        <v>212</v>
      </c>
      <c r="G53" s="169" t="s">
        <v>213</v>
      </c>
      <c r="H53" s="169" t="s">
        <v>213</v>
      </c>
      <c r="I53" s="169" t="s">
        <v>215</v>
      </c>
      <c r="J53" s="169" t="s">
        <v>214</v>
      </c>
    </row>
    <row r="54" spans="1:10" x14ac:dyDescent="0.25">
      <c r="B54" s="82"/>
      <c r="C54" s="14" t="s">
        <v>233</v>
      </c>
      <c r="D54" s="97">
        <f>Entregáveis!$D$82</f>
        <v>1</v>
      </c>
      <c r="E54" s="105"/>
      <c r="F54" s="101">
        <f>IF(ISBLANK(E54),,VLOOKUP($E54,Parâmetros!$C$2:$D$6,2,FALSE)*D54)</f>
        <v>0</v>
      </c>
      <c r="G54" s="105"/>
      <c r="H54" s="101">
        <f>IF(ISBLANK(G54),,VLOOKUP($G54,Parâmetros!$C$2:$D$6,2,FALSE)*D54)</f>
        <v>0</v>
      </c>
      <c r="I54" s="144"/>
      <c r="J54" s="144"/>
    </row>
    <row r="55" spans="1:10" x14ac:dyDescent="0.25">
      <c r="B55" s="82"/>
      <c r="C55" s="14" t="str">
        <f>Entregáveis!$C$91</f>
        <v>Diagrama de Seqüência do Fluxo Básico</v>
      </c>
      <c r="D55" s="96">
        <f>Entregáveis!$D$91</f>
        <v>0.2</v>
      </c>
      <c r="E55" s="105"/>
      <c r="F55" s="101">
        <f>IF(ISBLANK(E55),,VLOOKUP($E55,Parâmetros!$C$2:$D$6,2,FALSE)*D55)</f>
        <v>0</v>
      </c>
      <c r="G55" s="105"/>
      <c r="H55" s="101">
        <f>IF(ISBLANK(G55),,VLOOKUP($G55,Parâmetros!$C$2:$D$6,2,FALSE)*D55)</f>
        <v>0</v>
      </c>
      <c r="I55" s="144"/>
      <c r="J55" s="144"/>
    </row>
    <row r="56" spans="1:10" x14ac:dyDescent="0.25">
      <c r="B56" s="82"/>
      <c r="C56" s="14" t="str">
        <f>Entregáveis!$C$92</f>
        <v>Diagramas de Seqüência dos Fluxos Alternativos</v>
      </c>
      <c r="D56" s="96">
        <f>Entregáveis!$D$92</f>
        <v>0.5</v>
      </c>
      <c r="E56" s="105"/>
      <c r="F56" s="101">
        <f>IF(ISBLANK(E56),,VLOOKUP($E56,Parâmetros!$C$2:$D$6,2,FALSE)*D56)</f>
        <v>0</v>
      </c>
      <c r="G56" s="105"/>
      <c r="H56" s="101">
        <f>IF(ISBLANK(G56),,VLOOKUP($G56,Parâmetros!$C$2:$D$6,2,FALSE)*D56)</f>
        <v>0</v>
      </c>
      <c r="I56" s="144"/>
      <c r="J56" s="144"/>
    </row>
    <row r="57" spans="1:10" x14ac:dyDescent="0.25">
      <c r="B57" s="84"/>
      <c r="C57" s="56" t="str">
        <f>Entregáveis!$C$96</f>
        <v>Visão das Classes Participantes</v>
      </c>
      <c r="D57" s="98">
        <f>Entregáveis!$D$96</f>
        <v>0.3</v>
      </c>
      <c r="E57" s="105"/>
      <c r="F57" s="101">
        <f>IF(ISBLANK(E57),,VLOOKUP($E57,Parâmetros!$C$2:$D$6,2,FALSE)*D57)</f>
        <v>0</v>
      </c>
      <c r="G57" s="105"/>
      <c r="H57" s="101">
        <f>IF(ISBLANK(G57),,VLOOKUP($G57,Parâmetros!$C$2:$D$6,2,FALSE)*D57)</f>
        <v>0</v>
      </c>
      <c r="I57" s="144"/>
      <c r="J57" s="144"/>
    </row>
    <row r="59" spans="1:10" x14ac:dyDescent="0.25">
      <c r="C59" s="100" t="s">
        <v>235</v>
      </c>
      <c r="D59" s="119">
        <f>((SUM(F54:F57)/4) + (SUM(H54:H57)/4))*10</f>
        <v>0</v>
      </c>
    </row>
    <row r="61" spans="1:10" ht="25.5" x14ac:dyDescent="0.3">
      <c r="A61" s="120" t="s">
        <v>234</v>
      </c>
      <c r="B61" s="253" t="s">
        <v>416</v>
      </c>
      <c r="C61" s="254"/>
      <c r="D61" s="169" t="s">
        <v>15</v>
      </c>
      <c r="E61" s="169" t="s">
        <v>212</v>
      </c>
      <c r="F61" s="169" t="s">
        <v>212</v>
      </c>
      <c r="G61" s="169" t="s">
        <v>213</v>
      </c>
      <c r="H61" s="169" t="s">
        <v>213</v>
      </c>
      <c r="I61" s="169" t="s">
        <v>215</v>
      </c>
      <c r="J61" s="169" t="s">
        <v>214</v>
      </c>
    </row>
    <row r="62" spans="1:10" x14ac:dyDescent="0.25">
      <c r="B62" s="82"/>
      <c r="C62" s="14" t="s">
        <v>233</v>
      </c>
      <c r="D62" s="97">
        <f>Entregáveis!$D$82</f>
        <v>1</v>
      </c>
      <c r="E62" s="105"/>
      <c r="F62" s="101">
        <f>IF(ISBLANK(E62),,VLOOKUP($E62,Parâmetros!$C$2:$D$6,2,FALSE)*D62)</f>
        <v>0</v>
      </c>
      <c r="G62" s="105"/>
      <c r="H62" s="101">
        <f>IF(ISBLANK(G62),,VLOOKUP($G62,Parâmetros!$C$2:$D$6,2,FALSE)*D62)</f>
        <v>0</v>
      </c>
      <c r="I62" s="144"/>
      <c r="J62" s="144"/>
    </row>
    <row r="63" spans="1:10" x14ac:dyDescent="0.25">
      <c r="B63" s="82"/>
      <c r="C63" s="14" t="str">
        <f>Entregáveis!$C$91</f>
        <v>Diagrama de Seqüência do Fluxo Básico</v>
      </c>
      <c r="D63" s="96">
        <f>Entregáveis!$D$91</f>
        <v>0.2</v>
      </c>
      <c r="E63" s="105"/>
      <c r="F63" s="101">
        <f>IF(ISBLANK(E63),,VLOOKUP($E63,Parâmetros!$C$2:$D$6,2,FALSE)*D63)</f>
        <v>0</v>
      </c>
      <c r="G63" s="105"/>
      <c r="H63" s="101">
        <f>IF(ISBLANK(G63),,VLOOKUP($G63,Parâmetros!$C$2:$D$6,2,FALSE)*D63)</f>
        <v>0</v>
      </c>
      <c r="I63" s="144"/>
      <c r="J63" s="144"/>
    </row>
    <row r="64" spans="1:10" x14ac:dyDescent="0.25">
      <c r="B64" s="82"/>
      <c r="C64" s="14" t="str">
        <f>Entregáveis!$C$92</f>
        <v>Diagramas de Seqüência dos Fluxos Alternativos</v>
      </c>
      <c r="D64" s="96">
        <f>Entregáveis!$D$92</f>
        <v>0.5</v>
      </c>
      <c r="E64" s="105"/>
      <c r="F64" s="101">
        <f>IF(ISBLANK(E64),,VLOOKUP($E64,Parâmetros!$C$2:$D$6,2,FALSE)*D64)</f>
        <v>0</v>
      </c>
      <c r="G64" s="105"/>
      <c r="H64" s="101">
        <f>IF(ISBLANK(G64),,VLOOKUP($G64,Parâmetros!$C$2:$D$6,2,FALSE)*D64)</f>
        <v>0</v>
      </c>
      <c r="I64" s="144"/>
      <c r="J64" s="144"/>
    </row>
    <row r="65" spans="1:10" x14ac:dyDescent="0.25">
      <c r="B65" s="84"/>
      <c r="C65" s="56" t="str">
        <f>Entregáveis!$C$96</f>
        <v>Visão das Classes Participantes</v>
      </c>
      <c r="D65" s="98">
        <f>Entregáveis!$D$96</f>
        <v>0.3</v>
      </c>
      <c r="E65" s="105"/>
      <c r="F65" s="101">
        <f>IF(ISBLANK(E65),,VLOOKUP($E65,Parâmetros!$C$2:$D$6,2,FALSE)*D65)</f>
        <v>0</v>
      </c>
      <c r="G65" s="105"/>
      <c r="H65" s="101">
        <f>IF(ISBLANK(G65),,VLOOKUP($G65,Parâmetros!$C$2:$D$6,2,FALSE)*D65)</f>
        <v>0</v>
      </c>
      <c r="I65" s="144"/>
      <c r="J65" s="144"/>
    </row>
    <row r="67" spans="1:10" x14ac:dyDescent="0.25">
      <c r="C67" s="100" t="s">
        <v>235</v>
      </c>
      <c r="D67" s="119">
        <f>((SUM(F62:F65)/4) + (SUM(H62:H65)/4))*10</f>
        <v>0</v>
      </c>
    </row>
    <row r="69" spans="1:10" ht="25.5" x14ac:dyDescent="0.3">
      <c r="A69" s="120" t="s">
        <v>234</v>
      </c>
      <c r="B69" s="253" t="s">
        <v>417</v>
      </c>
      <c r="C69" s="254"/>
      <c r="D69" s="169" t="s">
        <v>15</v>
      </c>
      <c r="E69" s="169" t="s">
        <v>212</v>
      </c>
      <c r="F69" s="169" t="s">
        <v>212</v>
      </c>
      <c r="G69" s="169" t="s">
        <v>213</v>
      </c>
      <c r="H69" s="169" t="s">
        <v>213</v>
      </c>
      <c r="I69" s="169" t="s">
        <v>215</v>
      </c>
      <c r="J69" s="169" t="s">
        <v>214</v>
      </c>
    </row>
    <row r="70" spans="1:10" x14ac:dyDescent="0.25">
      <c r="B70" s="82"/>
      <c r="C70" s="14" t="s">
        <v>233</v>
      </c>
      <c r="D70" s="97">
        <f>Entregáveis!$D$82</f>
        <v>1</v>
      </c>
      <c r="E70" s="105"/>
      <c r="F70" s="101">
        <f>IF(ISBLANK(E70),,VLOOKUP($E70,Parâmetros!$C$2:$D$6,2,FALSE)*D70)</f>
        <v>0</v>
      </c>
      <c r="G70" s="105"/>
      <c r="H70" s="101">
        <f>IF(ISBLANK(G70),,VLOOKUP($G70,Parâmetros!$C$2:$D$6,2,FALSE)*D70)</f>
        <v>0</v>
      </c>
      <c r="I70" s="144"/>
      <c r="J70" s="144"/>
    </row>
    <row r="71" spans="1:10" x14ac:dyDescent="0.25">
      <c r="B71" s="82"/>
      <c r="C71" s="14" t="str">
        <f>Entregáveis!$C$91</f>
        <v>Diagrama de Seqüência do Fluxo Básico</v>
      </c>
      <c r="D71" s="96">
        <f>Entregáveis!$D$91</f>
        <v>0.2</v>
      </c>
      <c r="E71" s="105"/>
      <c r="F71" s="101">
        <f>IF(ISBLANK(E71),,VLOOKUP($E71,Parâmetros!$C$2:$D$6,2,FALSE)*D71)</f>
        <v>0</v>
      </c>
      <c r="G71" s="105"/>
      <c r="H71" s="101">
        <f>IF(ISBLANK(G71),,VLOOKUP($G71,Parâmetros!$C$2:$D$6,2,FALSE)*D71)</f>
        <v>0</v>
      </c>
      <c r="I71" s="144"/>
      <c r="J71" s="144"/>
    </row>
    <row r="72" spans="1:10" x14ac:dyDescent="0.25">
      <c r="B72" s="82"/>
      <c r="C72" s="14" t="str">
        <f>Entregáveis!$C$92</f>
        <v>Diagramas de Seqüência dos Fluxos Alternativos</v>
      </c>
      <c r="D72" s="96">
        <f>Entregáveis!$D$92</f>
        <v>0.5</v>
      </c>
      <c r="E72" s="105"/>
      <c r="F72" s="101">
        <f>IF(ISBLANK(E72),,VLOOKUP($E72,Parâmetros!$C$2:$D$6,2,FALSE)*D72)</f>
        <v>0</v>
      </c>
      <c r="G72" s="105"/>
      <c r="H72" s="101">
        <f>IF(ISBLANK(G72),,VLOOKUP($G72,Parâmetros!$C$2:$D$6,2,FALSE)*D72)</f>
        <v>0</v>
      </c>
      <c r="I72" s="144"/>
      <c r="J72" s="144"/>
    </row>
    <row r="73" spans="1:10" x14ac:dyDescent="0.25">
      <c r="B73" s="84"/>
      <c r="C73" s="56" t="str">
        <f>Entregáveis!$C$96</f>
        <v>Visão das Classes Participantes</v>
      </c>
      <c r="D73" s="98">
        <f>Entregáveis!$D$96</f>
        <v>0.3</v>
      </c>
      <c r="E73" s="105"/>
      <c r="F73" s="101">
        <f>IF(ISBLANK(E73),,VLOOKUP($E73,Parâmetros!$C$2:$D$6,2,FALSE)*D73)</f>
        <v>0</v>
      </c>
      <c r="G73" s="105"/>
      <c r="H73" s="101">
        <f>IF(ISBLANK(G73),,VLOOKUP($G73,Parâmetros!$C$2:$D$6,2,FALSE)*D73)</f>
        <v>0</v>
      </c>
      <c r="I73" s="144"/>
      <c r="J73" s="144"/>
    </row>
    <row r="75" spans="1:10" x14ac:dyDescent="0.25">
      <c r="C75" s="100" t="s">
        <v>235</v>
      </c>
      <c r="D75" s="119">
        <f>((SUM(F70:F73)/4) + (SUM(H70:H73)/4))*10</f>
        <v>0</v>
      </c>
    </row>
    <row r="77" spans="1:10" ht="25.5" x14ac:dyDescent="0.3">
      <c r="A77" s="120" t="s">
        <v>234</v>
      </c>
      <c r="B77" s="253" t="s">
        <v>418</v>
      </c>
      <c r="C77" s="254"/>
      <c r="D77" s="169" t="s">
        <v>15</v>
      </c>
      <c r="E77" s="169" t="s">
        <v>212</v>
      </c>
      <c r="F77" s="169" t="s">
        <v>212</v>
      </c>
      <c r="G77" s="169" t="s">
        <v>213</v>
      </c>
      <c r="H77" s="169" t="s">
        <v>213</v>
      </c>
      <c r="I77" s="169" t="s">
        <v>215</v>
      </c>
      <c r="J77" s="169" t="s">
        <v>214</v>
      </c>
    </row>
    <row r="78" spans="1:10" x14ac:dyDescent="0.25">
      <c r="B78" s="82"/>
      <c r="C78" s="14" t="s">
        <v>233</v>
      </c>
      <c r="D78" s="97">
        <f>Entregáveis!$D$82</f>
        <v>1</v>
      </c>
      <c r="E78" s="105"/>
      <c r="F78" s="101">
        <f>IF(ISBLANK(E78),,VLOOKUP($E78,Parâmetros!$C$2:$D$6,2,FALSE)*D78)</f>
        <v>0</v>
      </c>
      <c r="G78" s="105"/>
      <c r="H78" s="101">
        <f>IF(ISBLANK(G78),,VLOOKUP($G78,Parâmetros!$C$2:$D$6,2,FALSE)*D78)</f>
        <v>0</v>
      </c>
      <c r="I78" s="144"/>
      <c r="J78" s="144"/>
    </row>
    <row r="79" spans="1:10" x14ac:dyDescent="0.25">
      <c r="B79" s="82"/>
      <c r="C79" s="14" t="str">
        <f>Entregáveis!$C$91</f>
        <v>Diagrama de Seqüência do Fluxo Básico</v>
      </c>
      <c r="D79" s="96">
        <f>Entregáveis!$D$91</f>
        <v>0.2</v>
      </c>
      <c r="E79" s="105"/>
      <c r="F79" s="101">
        <f>IF(ISBLANK(E79),,VLOOKUP($E79,Parâmetros!$C$2:$D$6,2,FALSE)*D79)</f>
        <v>0</v>
      </c>
      <c r="G79" s="105"/>
      <c r="H79" s="101">
        <f>IF(ISBLANK(G79),,VLOOKUP($G79,Parâmetros!$C$2:$D$6,2,FALSE)*D79)</f>
        <v>0</v>
      </c>
      <c r="I79" s="144"/>
      <c r="J79" s="144"/>
    </row>
    <row r="80" spans="1:10" x14ac:dyDescent="0.25">
      <c r="B80" s="82"/>
      <c r="C80" s="14" t="str">
        <f>Entregáveis!$C$92</f>
        <v>Diagramas de Seqüência dos Fluxos Alternativos</v>
      </c>
      <c r="D80" s="96">
        <f>Entregáveis!$D$92</f>
        <v>0.5</v>
      </c>
      <c r="E80" s="105"/>
      <c r="F80" s="101">
        <f>IF(ISBLANK(E80),,VLOOKUP($E80,Parâmetros!$C$2:$D$6,2,FALSE)*D80)</f>
        <v>0</v>
      </c>
      <c r="G80" s="105"/>
      <c r="H80" s="101">
        <f>IF(ISBLANK(G80),,VLOOKUP($G80,Parâmetros!$C$2:$D$6,2,FALSE)*D80)</f>
        <v>0</v>
      </c>
      <c r="I80" s="144"/>
      <c r="J80" s="144"/>
    </row>
    <row r="81" spans="1:10" x14ac:dyDescent="0.25">
      <c r="B81" s="84"/>
      <c r="C81" s="56" t="str">
        <f>Entregáveis!$C$96</f>
        <v>Visão das Classes Participantes</v>
      </c>
      <c r="D81" s="98">
        <f>Entregáveis!$D$96</f>
        <v>0.3</v>
      </c>
      <c r="E81" s="105"/>
      <c r="F81" s="101">
        <f>IF(ISBLANK(E81),,VLOOKUP($E81,Parâmetros!$C$2:$D$6,2,FALSE)*D81)</f>
        <v>0</v>
      </c>
      <c r="G81" s="105"/>
      <c r="H81" s="101">
        <f>IF(ISBLANK(G81),,VLOOKUP($G81,Parâmetros!$C$2:$D$6,2,FALSE)*D81)</f>
        <v>0</v>
      </c>
      <c r="I81" s="144"/>
      <c r="J81" s="144"/>
    </row>
    <row r="83" spans="1:10" x14ac:dyDescent="0.25">
      <c r="C83" s="100" t="s">
        <v>235</v>
      </c>
      <c r="D83" s="119">
        <f>((SUM(F78:F81)/4) + (SUM(H78:H81)/4))*10</f>
        <v>0</v>
      </c>
    </row>
    <row r="85" spans="1:10" ht="25.5" x14ac:dyDescent="0.3">
      <c r="A85" s="120" t="s">
        <v>234</v>
      </c>
      <c r="B85" s="253" t="s">
        <v>419</v>
      </c>
      <c r="C85" s="254"/>
      <c r="D85" s="169" t="s">
        <v>15</v>
      </c>
      <c r="E85" s="169" t="s">
        <v>212</v>
      </c>
      <c r="F85" s="169" t="s">
        <v>212</v>
      </c>
      <c r="G85" s="169" t="s">
        <v>213</v>
      </c>
      <c r="H85" s="169" t="s">
        <v>213</v>
      </c>
      <c r="I85" s="169" t="s">
        <v>215</v>
      </c>
      <c r="J85" s="169" t="s">
        <v>214</v>
      </c>
    </row>
    <row r="86" spans="1:10" x14ac:dyDescent="0.25">
      <c r="B86" s="82"/>
      <c r="C86" s="14" t="s">
        <v>233</v>
      </c>
      <c r="D86" s="97">
        <f>Entregáveis!$D$82</f>
        <v>1</v>
      </c>
      <c r="E86" s="105"/>
      <c r="F86" s="101">
        <f>IF(ISBLANK(E86),,VLOOKUP($E86,Parâmetros!$C$2:$D$6,2,FALSE)*D86)</f>
        <v>0</v>
      </c>
      <c r="G86" s="105"/>
      <c r="H86" s="101">
        <f>IF(ISBLANK(G86),,VLOOKUP($G86,Parâmetros!$C$2:$D$6,2,FALSE)*D86)</f>
        <v>0</v>
      </c>
      <c r="I86" s="144"/>
      <c r="J86" s="144"/>
    </row>
    <row r="87" spans="1:10" x14ac:dyDescent="0.25">
      <c r="B87" s="82"/>
      <c r="C87" s="14" t="str">
        <f>Entregáveis!$C$91</f>
        <v>Diagrama de Seqüência do Fluxo Básico</v>
      </c>
      <c r="D87" s="96">
        <f>Entregáveis!$D$91</f>
        <v>0.2</v>
      </c>
      <c r="E87" s="105"/>
      <c r="F87" s="101">
        <f>IF(ISBLANK(E87),,VLOOKUP($E87,Parâmetros!$C$2:$D$6,2,FALSE)*D87)</f>
        <v>0</v>
      </c>
      <c r="G87" s="105"/>
      <c r="H87" s="101">
        <f>IF(ISBLANK(G87),,VLOOKUP($G87,Parâmetros!$C$2:$D$6,2,FALSE)*D87)</f>
        <v>0</v>
      </c>
      <c r="I87" s="144"/>
      <c r="J87" s="144"/>
    </row>
    <row r="88" spans="1:10" x14ac:dyDescent="0.25">
      <c r="B88" s="82"/>
      <c r="C88" s="14" t="str">
        <f>Entregáveis!$C$92</f>
        <v>Diagramas de Seqüência dos Fluxos Alternativos</v>
      </c>
      <c r="D88" s="96">
        <f>Entregáveis!$D$92</f>
        <v>0.5</v>
      </c>
      <c r="E88" s="105"/>
      <c r="F88" s="101">
        <f>IF(ISBLANK(E88),,VLOOKUP($E88,Parâmetros!$C$2:$D$6,2,FALSE)*D88)</f>
        <v>0</v>
      </c>
      <c r="G88" s="105"/>
      <c r="H88" s="101">
        <f>IF(ISBLANK(G88),,VLOOKUP($G88,Parâmetros!$C$2:$D$6,2,FALSE)*D88)</f>
        <v>0</v>
      </c>
      <c r="I88" s="144"/>
      <c r="J88" s="144"/>
    </row>
    <row r="89" spans="1:10" x14ac:dyDescent="0.25">
      <c r="B89" s="84"/>
      <c r="C89" s="56" t="str">
        <f>Entregáveis!$C$96</f>
        <v>Visão das Classes Participantes</v>
      </c>
      <c r="D89" s="98">
        <f>Entregáveis!$D$96</f>
        <v>0.3</v>
      </c>
      <c r="E89" s="105"/>
      <c r="F89" s="101">
        <f>IF(ISBLANK(E89),,VLOOKUP($E89,Parâmetros!$C$2:$D$6,2,FALSE)*D89)</f>
        <v>0</v>
      </c>
      <c r="G89" s="105"/>
      <c r="H89" s="101">
        <f>IF(ISBLANK(G89),,VLOOKUP($G89,Parâmetros!$C$2:$D$6,2,FALSE)*D89)</f>
        <v>0</v>
      </c>
      <c r="I89" s="144"/>
      <c r="J89" s="144"/>
    </row>
    <row r="91" spans="1:10" x14ac:dyDescent="0.25">
      <c r="C91" s="100" t="s">
        <v>235</v>
      </c>
      <c r="D91" s="119">
        <f>((SUM(F86:F89)/4) + (SUM(H86:H89)/4))*10</f>
        <v>0</v>
      </c>
    </row>
    <row r="93" spans="1:10" ht="25.5" x14ac:dyDescent="0.3">
      <c r="A93" s="120" t="s">
        <v>234</v>
      </c>
      <c r="B93" s="253" t="s">
        <v>420</v>
      </c>
      <c r="C93" s="254"/>
      <c r="D93" s="169" t="s">
        <v>15</v>
      </c>
      <c r="E93" s="169" t="s">
        <v>212</v>
      </c>
      <c r="F93" s="169" t="s">
        <v>212</v>
      </c>
      <c r="G93" s="169" t="s">
        <v>213</v>
      </c>
      <c r="H93" s="169" t="s">
        <v>213</v>
      </c>
      <c r="I93" s="169" t="s">
        <v>215</v>
      </c>
      <c r="J93" s="169" t="s">
        <v>214</v>
      </c>
    </row>
    <row r="94" spans="1:10" x14ac:dyDescent="0.25">
      <c r="B94" s="82"/>
      <c r="C94" s="14" t="s">
        <v>233</v>
      </c>
      <c r="D94" s="97">
        <f>Entregáveis!$D$82</f>
        <v>1</v>
      </c>
      <c r="E94" s="105"/>
      <c r="F94" s="101">
        <f>IF(ISBLANK(E94),,VLOOKUP($E94,Parâmetros!$C$2:$D$6,2,FALSE)*D94)</f>
        <v>0</v>
      </c>
      <c r="G94" s="105"/>
      <c r="H94" s="101">
        <f>IF(ISBLANK(G94),,VLOOKUP($G94,Parâmetros!$C$2:$D$6,2,FALSE)*D94)</f>
        <v>0</v>
      </c>
      <c r="I94" s="144"/>
      <c r="J94" s="144"/>
    </row>
    <row r="95" spans="1:10" x14ac:dyDescent="0.25">
      <c r="B95" s="82"/>
      <c r="C95" s="14" t="str">
        <f>Entregáveis!$C$91</f>
        <v>Diagrama de Seqüência do Fluxo Básico</v>
      </c>
      <c r="D95" s="96">
        <f>Entregáveis!$D$91</f>
        <v>0.2</v>
      </c>
      <c r="E95" s="105"/>
      <c r="F95" s="101">
        <f>IF(ISBLANK(E95),,VLOOKUP($E95,Parâmetros!$C$2:$D$6,2,FALSE)*D95)</f>
        <v>0</v>
      </c>
      <c r="G95" s="105"/>
      <c r="H95" s="101">
        <f>IF(ISBLANK(G95),,VLOOKUP($G95,Parâmetros!$C$2:$D$6,2,FALSE)*D95)</f>
        <v>0</v>
      </c>
      <c r="I95" s="144"/>
      <c r="J95" s="144"/>
    </row>
    <row r="96" spans="1:10" x14ac:dyDescent="0.25">
      <c r="B96" s="82"/>
      <c r="C96" s="14" t="str">
        <f>Entregáveis!$C$92</f>
        <v>Diagramas de Seqüência dos Fluxos Alternativos</v>
      </c>
      <c r="D96" s="96">
        <f>Entregáveis!$D$92</f>
        <v>0.5</v>
      </c>
      <c r="E96" s="105"/>
      <c r="F96" s="101">
        <f>IF(ISBLANK(E96),,VLOOKUP($E96,Parâmetros!$C$2:$D$6,2,FALSE)*D96)</f>
        <v>0</v>
      </c>
      <c r="G96" s="105"/>
      <c r="H96" s="101">
        <f>IF(ISBLANK(G96),,VLOOKUP($G96,Parâmetros!$C$2:$D$6,2,FALSE)*D96)</f>
        <v>0</v>
      </c>
      <c r="I96" s="144"/>
      <c r="J96" s="144"/>
    </row>
    <row r="97" spans="1:10" x14ac:dyDescent="0.25">
      <c r="B97" s="84"/>
      <c r="C97" s="56" t="str">
        <f>Entregáveis!$C$96</f>
        <v>Visão das Classes Participantes</v>
      </c>
      <c r="D97" s="98">
        <f>Entregáveis!$D$96</f>
        <v>0.3</v>
      </c>
      <c r="E97" s="105"/>
      <c r="F97" s="101">
        <f>IF(ISBLANK(E97),,VLOOKUP($E97,Parâmetros!$C$2:$D$6,2,FALSE)*D97)</f>
        <v>0</v>
      </c>
      <c r="G97" s="105"/>
      <c r="H97" s="101">
        <f>IF(ISBLANK(G97),,VLOOKUP($G97,Parâmetros!$C$2:$D$6,2,FALSE)*D97)</f>
        <v>0</v>
      </c>
      <c r="I97" s="144"/>
      <c r="J97" s="144"/>
    </row>
    <row r="99" spans="1:10" x14ac:dyDescent="0.25">
      <c r="C99" s="100" t="s">
        <v>235</v>
      </c>
      <c r="D99" s="119">
        <f>((SUM(F94:F97)/4) + (SUM(H94:H97)/4))*10</f>
        <v>0</v>
      </c>
    </row>
    <row r="101" spans="1:10" ht="25.5" x14ac:dyDescent="0.3">
      <c r="A101" s="120" t="s">
        <v>234</v>
      </c>
      <c r="B101" s="253" t="s">
        <v>421</v>
      </c>
      <c r="C101" s="254"/>
      <c r="D101" s="169" t="s">
        <v>15</v>
      </c>
      <c r="E101" s="169" t="s">
        <v>212</v>
      </c>
      <c r="F101" s="169" t="s">
        <v>212</v>
      </c>
      <c r="G101" s="169" t="s">
        <v>213</v>
      </c>
      <c r="H101" s="169" t="s">
        <v>213</v>
      </c>
      <c r="I101" s="169" t="s">
        <v>215</v>
      </c>
      <c r="J101" s="169" t="s">
        <v>214</v>
      </c>
    </row>
    <row r="102" spans="1:10" x14ac:dyDescent="0.25">
      <c r="B102" s="82"/>
      <c r="C102" s="14" t="s">
        <v>233</v>
      </c>
      <c r="D102" s="97">
        <f>Entregáveis!$D$82</f>
        <v>1</v>
      </c>
      <c r="E102" s="105"/>
      <c r="F102" s="101">
        <f>IF(ISBLANK(E102),,VLOOKUP($E102,Parâmetros!$C$2:$D$6,2,FALSE)*D102)</f>
        <v>0</v>
      </c>
      <c r="G102" s="105"/>
      <c r="H102" s="101">
        <f>IF(ISBLANK(G102),,VLOOKUP($G102,Parâmetros!$C$2:$D$6,2,FALSE)*D102)</f>
        <v>0</v>
      </c>
      <c r="I102" s="144"/>
      <c r="J102" s="144"/>
    </row>
    <row r="103" spans="1:10" x14ac:dyDescent="0.25">
      <c r="B103" s="82"/>
      <c r="C103" s="14" t="str">
        <f>Entregáveis!$C$91</f>
        <v>Diagrama de Seqüência do Fluxo Básico</v>
      </c>
      <c r="D103" s="96">
        <f>Entregáveis!$D$91</f>
        <v>0.2</v>
      </c>
      <c r="E103" s="105"/>
      <c r="F103" s="101">
        <f>IF(ISBLANK(E103),,VLOOKUP($E103,Parâmetros!$C$2:$D$6,2,FALSE)*D103)</f>
        <v>0</v>
      </c>
      <c r="G103" s="105"/>
      <c r="H103" s="101">
        <f>IF(ISBLANK(G103),,VLOOKUP($G103,Parâmetros!$C$2:$D$6,2,FALSE)*D103)</f>
        <v>0</v>
      </c>
      <c r="I103" s="144"/>
      <c r="J103" s="144"/>
    </row>
    <row r="104" spans="1:10" x14ac:dyDescent="0.25">
      <c r="B104" s="82"/>
      <c r="C104" s="14" t="str">
        <f>Entregáveis!$C$92</f>
        <v>Diagramas de Seqüência dos Fluxos Alternativos</v>
      </c>
      <c r="D104" s="96">
        <f>Entregáveis!$D$92</f>
        <v>0.5</v>
      </c>
      <c r="E104" s="105"/>
      <c r="F104" s="101">
        <f>IF(ISBLANK(E104),,VLOOKUP($E104,Parâmetros!$C$2:$D$6,2,FALSE)*D104)</f>
        <v>0</v>
      </c>
      <c r="G104" s="105"/>
      <c r="H104" s="101">
        <f>IF(ISBLANK(G104),,VLOOKUP($G104,Parâmetros!$C$2:$D$6,2,FALSE)*D104)</f>
        <v>0</v>
      </c>
      <c r="I104" s="144"/>
      <c r="J104" s="144"/>
    </row>
    <row r="105" spans="1:10" x14ac:dyDescent="0.25">
      <c r="B105" s="84"/>
      <c r="C105" s="56" t="str">
        <f>Entregáveis!$C$96</f>
        <v>Visão das Classes Participantes</v>
      </c>
      <c r="D105" s="98">
        <f>Entregáveis!$D$96</f>
        <v>0.3</v>
      </c>
      <c r="E105" s="105"/>
      <c r="F105" s="101">
        <f>IF(ISBLANK(E105),,VLOOKUP($E105,Parâmetros!$C$2:$D$6,2,FALSE)*D105)</f>
        <v>0</v>
      </c>
      <c r="G105" s="105"/>
      <c r="H105" s="101">
        <f>IF(ISBLANK(G105),,VLOOKUP($G105,Parâmetros!$C$2:$D$6,2,FALSE)*D105)</f>
        <v>0</v>
      </c>
      <c r="I105" s="144"/>
      <c r="J105" s="144"/>
    </row>
    <row r="107" spans="1:10" x14ac:dyDescent="0.25">
      <c r="C107" s="100" t="s">
        <v>235</v>
      </c>
      <c r="D107" s="119">
        <f>((SUM(F102:F105)/4) + (SUM(H102:H105)/4))*10</f>
        <v>0</v>
      </c>
    </row>
    <row r="109" spans="1:10" ht="25.5" x14ac:dyDescent="0.3">
      <c r="A109" s="120" t="s">
        <v>234</v>
      </c>
      <c r="B109" s="253" t="s">
        <v>422</v>
      </c>
      <c r="C109" s="254"/>
      <c r="D109" s="169" t="s">
        <v>15</v>
      </c>
      <c r="E109" s="169" t="s">
        <v>212</v>
      </c>
      <c r="F109" s="169" t="s">
        <v>212</v>
      </c>
      <c r="G109" s="169" t="s">
        <v>213</v>
      </c>
      <c r="H109" s="169" t="s">
        <v>213</v>
      </c>
      <c r="I109" s="169" t="s">
        <v>215</v>
      </c>
      <c r="J109" s="169" t="s">
        <v>214</v>
      </c>
    </row>
    <row r="110" spans="1:10" x14ac:dyDescent="0.25">
      <c r="B110" s="82"/>
      <c r="C110" s="14" t="s">
        <v>233</v>
      </c>
      <c r="D110" s="97">
        <f>Entregáveis!$D$82</f>
        <v>1</v>
      </c>
      <c r="E110" s="105"/>
      <c r="F110" s="101">
        <f>IF(ISBLANK(E110),,VLOOKUP($E110,Parâmetros!$C$2:$D$6,2,FALSE)*D110)</f>
        <v>0</v>
      </c>
      <c r="G110" s="105"/>
      <c r="H110" s="101">
        <f>IF(ISBLANK(G110),,VLOOKUP($G110,Parâmetros!$C$2:$D$6,2,FALSE)*D110)</f>
        <v>0</v>
      </c>
      <c r="I110" s="144"/>
      <c r="J110" s="144"/>
    </row>
    <row r="111" spans="1:10" x14ac:dyDescent="0.25">
      <c r="B111" s="82"/>
      <c r="C111" s="14" t="str">
        <f>Entregáveis!$C$91</f>
        <v>Diagrama de Seqüência do Fluxo Básico</v>
      </c>
      <c r="D111" s="96">
        <f>Entregáveis!$D$91</f>
        <v>0.2</v>
      </c>
      <c r="E111" s="105"/>
      <c r="F111" s="101">
        <f>IF(ISBLANK(E111),,VLOOKUP($E111,Parâmetros!$C$2:$D$6,2,FALSE)*D111)</f>
        <v>0</v>
      </c>
      <c r="G111" s="105"/>
      <c r="H111" s="101">
        <f>IF(ISBLANK(G111),,VLOOKUP($G111,Parâmetros!$C$2:$D$6,2,FALSE)*D111)</f>
        <v>0</v>
      </c>
      <c r="I111" s="144"/>
      <c r="J111" s="144"/>
    </row>
    <row r="112" spans="1:10" x14ac:dyDescent="0.25">
      <c r="B112" s="82"/>
      <c r="C112" s="14" t="str">
        <f>Entregáveis!$C$92</f>
        <v>Diagramas de Seqüência dos Fluxos Alternativos</v>
      </c>
      <c r="D112" s="96">
        <f>Entregáveis!$D$92</f>
        <v>0.5</v>
      </c>
      <c r="E112" s="105"/>
      <c r="F112" s="101">
        <f>IF(ISBLANK(E112),,VLOOKUP($E112,Parâmetros!$C$2:$D$6,2,FALSE)*D112)</f>
        <v>0</v>
      </c>
      <c r="G112" s="105"/>
      <c r="H112" s="101">
        <f>IF(ISBLANK(G112),,VLOOKUP($G112,Parâmetros!$C$2:$D$6,2,FALSE)*D112)</f>
        <v>0</v>
      </c>
      <c r="I112" s="144"/>
      <c r="J112" s="144"/>
    </row>
    <row r="113" spans="1:10" x14ac:dyDescent="0.25">
      <c r="B113" s="84"/>
      <c r="C113" s="56" t="str">
        <f>Entregáveis!$C$96</f>
        <v>Visão das Classes Participantes</v>
      </c>
      <c r="D113" s="98">
        <f>Entregáveis!$D$96</f>
        <v>0.3</v>
      </c>
      <c r="E113" s="105"/>
      <c r="F113" s="101">
        <f>IF(ISBLANK(E113),,VLOOKUP($E113,Parâmetros!$C$2:$D$6,2,FALSE)*D113)</f>
        <v>0</v>
      </c>
      <c r="G113" s="105"/>
      <c r="H113" s="101">
        <f>IF(ISBLANK(G113),,VLOOKUP($G113,Parâmetros!$C$2:$D$6,2,FALSE)*D113)</f>
        <v>0</v>
      </c>
      <c r="I113" s="144"/>
      <c r="J113" s="144"/>
    </row>
    <row r="115" spans="1:10" x14ac:dyDescent="0.25">
      <c r="C115" s="100" t="s">
        <v>235</v>
      </c>
      <c r="D115" s="119">
        <f>((SUM(F110:F113)/4) + (SUM(H110:H113)/4))*10</f>
        <v>0</v>
      </c>
    </row>
    <row r="117" spans="1:10" ht="25.5" x14ac:dyDescent="0.3">
      <c r="A117" s="120" t="s">
        <v>234</v>
      </c>
      <c r="B117" s="253" t="s">
        <v>423</v>
      </c>
      <c r="C117" s="254"/>
      <c r="D117" s="169" t="s">
        <v>15</v>
      </c>
      <c r="E117" s="169" t="s">
        <v>212</v>
      </c>
      <c r="F117" s="169" t="s">
        <v>212</v>
      </c>
      <c r="G117" s="169" t="s">
        <v>213</v>
      </c>
      <c r="H117" s="169" t="s">
        <v>213</v>
      </c>
      <c r="I117" s="169" t="s">
        <v>215</v>
      </c>
      <c r="J117" s="169" t="s">
        <v>214</v>
      </c>
    </row>
    <row r="118" spans="1:10" x14ac:dyDescent="0.25">
      <c r="B118" s="82"/>
      <c r="C118" s="14" t="s">
        <v>233</v>
      </c>
      <c r="D118" s="97">
        <f>Entregáveis!$D$82</f>
        <v>1</v>
      </c>
      <c r="E118" s="105"/>
      <c r="F118" s="101">
        <f>IF(ISBLANK(E118),,VLOOKUP($E118,Parâmetros!$C$2:$D$6,2,FALSE)*D118)</f>
        <v>0</v>
      </c>
      <c r="G118" s="105"/>
      <c r="H118" s="101">
        <f>IF(ISBLANK(G118),,VLOOKUP($G118,Parâmetros!$C$2:$D$6,2,FALSE)*D118)</f>
        <v>0</v>
      </c>
      <c r="I118" s="144"/>
      <c r="J118" s="144"/>
    </row>
    <row r="119" spans="1:10" x14ac:dyDescent="0.25">
      <c r="B119" s="82"/>
      <c r="C119" s="14" t="str">
        <f>Entregáveis!$C$91</f>
        <v>Diagrama de Seqüência do Fluxo Básico</v>
      </c>
      <c r="D119" s="96">
        <f>Entregáveis!$D$91</f>
        <v>0.2</v>
      </c>
      <c r="E119" s="105"/>
      <c r="F119" s="101">
        <f>IF(ISBLANK(E119),,VLOOKUP($E119,Parâmetros!$C$2:$D$6,2,FALSE)*D119)</f>
        <v>0</v>
      </c>
      <c r="G119" s="105"/>
      <c r="H119" s="101">
        <f>IF(ISBLANK(G119),,VLOOKUP($G119,Parâmetros!$C$2:$D$6,2,FALSE)*D119)</f>
        <v>0</v>
      </c>
      <c r="I119" s="144"/>
      <c r="J119" s="144"/>
    </row>
    <row r="120" spans="1:10" x14ac:dyDescent="0.25">
      <c r="B120" s="82"/>
      <c r="C120" s="14" t="str">
        <f>Entregáveis!$C$92</f>
        <v>Diagramas de Seqüência dos Fluxos Alternativos</v>
      </c>
      <c r="D120" s="96">
        <f>Entregáveis!$D$92</f>
        <v>0.5</v>
      </c>
      <c r="E120" s="105"/>
      <c r="F120" s="101">
        <f>IF(ISBLANK(E120),,VLOOKUP($E120,Parâmetros!$C$2:$D$6,2,FALSE)*D120)</f>
        <v>0</v>
      </c>
      <c r="G120" s="105"/>
      <c r="H120" s="101">
        <f>IF(ISBLANK(G120),,VLOOKUP($G120,Parâmetros!$C$2:$D$6,2,FALSE)*D120)</f>
        <v>0</v>
      </c>
      <c r="I120" s="144"/>
      <c r="J120" s="144"/>
    </row>
    <row r="121" spans="1:10" x14ac:dyDescent="0.25">
      <c r="B121" s="84"/>
      <c r="C121" s="56" t="str">
        <f>Entregáveis!$C$96</f>
        <v>Visão das Classes Participantes</v>
      </c>
      <c r="D121" s="98">
        <f>Entregáveis!$D$96</f>
        <v>0.3</v>
      </c>
      <c r="E121" s="105"/>
      <c r="F121" s="101">
        <f>IF(ISBLANK(E121),,VLOOKUP($E121,Parâmetros!$C$2:$D$6,2,FALSE)*D121)</f>
        <v>0</v>
      </c>
      <c r="G121" s="105"/>
      <c r="H121" s="101">
        <f>IF(ISBLANK(G121),,VLOOKUP($G121,Parâmetros!$C$2:$D$6,2,FALSE)*D121)</f>
        <v>0</v>
      </c>
      <c r="I121" s="144"/>
      <c r="J121" s="144"/>
    </row>
    <row r="123" spans="1:10" x14ac:dyDescent="0.25">
      <c r="C123" s="100" t="s">
        <v>235</v>
      </c>
      <c r="D123" s="119">
        <f>((SUM(F118:F121)/4) + (SUM(H118:H121)/4))*10</f>
        <v>0</v>
      </c>
    </row>
    <row r="125" spans="1:10" ht="25.5" x14ac:dyDescent="0.3">
      <c r="A125" s="120" t="s">
        <v>234</v>
      </c>
      <c r="B125" s="253" t="s">
        <v>424</v>
      </c>
      <c r="C125" s="254"/>
      <c r="D125" s="169" t="s">
        <v>15</v>
      </c>
      <c r="E125" s="169" t="s">
        <v>212</v>
      </c>
      <c r="F125" s="169" t="s">
        <v>212</v>
      </c>
      <c r="G125" s="169" t="s">
        <v>213</v>
      </c>
      <c r="H125" s="169" t="s">
        <v>213</v>
      </c>
      <c r="I125" s="169" t="s">
        <v>215</v>
      </c>
      <c r="J125" s="169" t="s">
        <v>214</v>
      </c>
    </row>
    <row r="126" spans="1:10" x14ac:dyDescent="0.25">
      <c r="B126" s="82"/>
      <c r="C126" s="14" t="s">
        <v>233</v>
      </c>
      <c r="D126" s="97">
        <f>Entregáveis!$D$82</f>
        <v>1</v>
      </c>
      <c r="E126" s="105"/>
      <c r="F126" s="101">
        <f>IF(ISBLANK(E126),,VLOOKUP($E126,Parâmetros!$C$2:$D$6,2,FALSE)*D126)</f>
        <v>0</v>
      </c>
      <c r="G126" s="105"/>
      <c r="H126" s="101">
        <f>IF(ISBLANK(G126),,VLOOKUP($G126,Parâmetros!$C$2:$D$6,2,FALSE)*D126)</f>
        <v>0</v>
      </c>
      <c r="I126" s="144"/>
      <c r="J126" s="144"/>
    </row>
    <row r="127" spans="1:10" x14ac:dyDescent="0.25">
      <c r="B127" s="82"/>
      <c r="C127" s="14" t="str">
        <f>Entregáveis!$C$91</f>
        <v>Diagrama de Seqüência do Fluxo Básico</v>
      </c>
      <c r="D127" s="96">
        <f>Entregáveis!$D$91</f>
        <v>0.2</v>
      </c>
      <c r="E127" s="105"/>
      <c r="F127" s="101">
        <f>IF(ISBLANK(E127),,VLOOKUP($E127,Parâmetros!$C$2:$D$6,2,FALSE)*D127)</f>
        <v>0</v>
      </c>
      <c r="G127" s="105"/>
      <c r="H127" s="101">
        <f>IF(ISBLANK(G127),,VLOOKUP($G127,Parâmetros!$C$2:$D$6,2,FALSE)*D127)</f>
        <v>0</v>
      </c>
      <c r="I127" s="144"/>
      <c r="J127" s="144"/>
    </row>
    <row r="128" spans="1:10" x14ac:dyDescent="0.25">
      <c r="B128" s="82"/>
      <c r="C128" s="14" t="str">
        <f>Entregáveis!$C$92</f>
        <v>Diagramas de Seqüência dos Fluxos Alternativos</v>
      </c>
      <c r="D128" s="96">
        <f>Entregáveis!$D$92</f>
        <v>0.5</v>
      </c>
      <c r="E128" s="105"/>
      <c r="F128" s="101">
        <f>IF(ISBLANK(E128),,VLOOKUP($E128,Parâmetros!$C$2:$D$6,2,FALSE)*D128)</f>
        <v>0</v>
      </c>
      <c r="G128" s="105"/>
      <c r="H128" s="101">
        <f>IF(ISBLANK(G128),,VLOOKUP($G128,Parâmetros!$C$2:$D$6,2,FALSE)*D128)</f>
        <v>0</v>
      </c>
      <c r="I128" s="144"/>
      <c r="J128" s="144"/>
    </row>
    <row r="129" spans="1:10" x14ac:dyDescent="0.25">
      <c r="B129" s="84"/>
      <c r="C129" s="56" t="str">
        <f>Entregáveis!$C$96</f>
        <v>Visão das Classes Participantes</v>
      </c>
      <c r="D129" s="98">
        <f>Entregáveis!$D$96</f>
        <v>0.3</v>
      </c>
      <c r="E129" s="105"/>
      <c r="F129" s="101">
        <f>IF(ISBLANK(E129),,VLOOKUP($E129,Parâmetros!$C$2:$D$6,2,FALSE)*D129)</f>
        <v>0</v>
      </c>
      <c r="G129" s="105"/>
      <c r="H129" s="101">
        <f>IF(ISBLANK(G129),,VLOOKUP($G129,Parâmetros!$C$2:$D$6,2,FALSE)*D129)</f>
        <v>0</v>
      </c>
      <c r="I129" s="144"/>
      <c r="J129" s="144"/>
    </row>
    <row r="131" spans="1:10" x14ac:dyDescent="0.25">
      <c r="C131" s="100" t="s">
        <v>235</v>
      </c>
      <c r="D131" s="119">
        <f>((SUM(F126:F129)/4) + (SUM(H126:H129)/4))*10</f>
        <v>0</v>
      </c>
    </row>
    <row r="133" spans="1:10" ht="25.5" x14ac:dyDescent="0.3">
      <c r="A133" s="120" t="s">
        <v>234</v>
      </c>
      <c r="B133" s="253" t="s">
        <v>425</v>
      </c>
      <c r="C133" s="254"/>
      <c r="D133" s="169" t="s">
        <v>15</v>
      </c>
      <c r="E133" s="169" t="s">
        <v>212</v>
      </c>
      <c r="F133" s="169" t="s">
        <v>212</v>
      </c>
      <c r="G133" s="169" t="s">
        <v>213</v>
      </c>
      <c r="H133" s="169" t="s">
        <v>213</v>
      </c>
      <c r="I133" s="169" t="s">
        <v>215</v>
      </c>
      <c r="J133" s="169" t="s">
        <v>214</v>
      </c>
    </row>
    <row r="134" spans="1:10" x14ac:dyDescent="0.25">
      <c r="B134" s="82"/>
      <c r="C134" s="14" t="s">
        <v>233</v>
      </c>
      <c r="D134" s="97">
        <f>Entregáveis!$D$82</f>
        <v>1</v>
      </c>
      <c r="E134" s="105"/>
      <c r="F134" s="101">
        <f>IF(ISBLANK(E134),,VLOOKUP($E134,Parâmetros!$C$2:$D$6,2,FALSE)*D134)</f>
        <v>0</v>
      </c>
      <c r="G134" s="105"/>
      <c r="H134" s="101">
        <f>IF(ISBLANK(G134),,VLOOKUP($G134,Parâmetros!$C$2:$D$6,2,FALSE)*D134)</f>
        <v>0</v>
      </c>
      <c r="I134" s="144"/>
      <c r="J134" s="144"/>
    </row>
    <row r="135" spans="1:10" x14ac:dyDescent="0.25">
      <c r="B135" s="82"/>
      <c r="C135" s="14" t="str">
        <f>Entregáveis!$C$91</f>
        <v>Diagrama de Seqüência do Fluxo Básico</v>
      </c>
      <c r="D135" s="96">
        <f>Entregáveis!$D$91</f>
        <v>0.2</v>
      </c>
      <c r="E135" s="105"/>
      <c r="F135" s="101">
        <f>IF(ISBLANK(E135),,VLOOKUP($E135,Parâmetros!$C$2:$D$6,2,FALSE)*D135)</f>
        <v>0</v>
      </c>
      <c r="G135" s="105"/>
      <c r="H135" s="101">
        <f>IF(ISBLANK(G135),,VLOOKUP($G135,Parâmetros!$C$2:$D$6,2,FALSE)*D135)</f>
        <v>0</v>
      </c>
      <c r="I135" s="144"/>
      <c r="J135" s="144"/>
    </row>
    <row r="136" spans="1:10" x14ac:dyDescent="0.25">
      <c r="B136" s="82"/>
      <c r="C136" s="14" t="str">
        <f>Entregáveis!$C$92</f>
        <v>Diagramas de Seqüência dos Fluxos Alternativos</v>
      </c>
      <c r="D136" s="96">
        <f>Entregáveis!$D$92</f>
        <v>0.5</v>
      </c>
      <c r="E136" s="105"/>
      <c r="F136" s="101">
        <f>IF(ISBLANK(E136),,VLOOKUP($E136,Parâmetros!$C$2:$D$6,2,FALSE)*D136)</f>
        <v>0</v>
      </c>
      <c r="G136" s="105"/>
      <c r="H136" s="101">
        <f>IF(ISBLANK(G136),,VLOOKUP($G136,Parâmetros!$C$2:$D$6,2,FALSE)*D136)</f>
        <v>0</v>
      </c>
      <c r="I136" s="144"/>
      <c r="J136" s="144"/>
    </row>
    <row r="137" spans="1:10" x14ac:dyDescent="0.25">
      <c r="B137" s="84"/>
      <c r="C137" s="56" t="str">
        <f>Entregáveis!$C$96</f>
        <v>Visão das Classes Participantes</v>
      </c>
      <c r="D137" s="98">
        <f>Entregáveis!$D$96</f>
        <v>0.3</v>
      </c>
      <c r="E137" s="105"/>
      <c r="F137" s="101">
        <f>IF(ISBLANK(E137),,VLOOKUP($E137,Parâmetros!$C$2:$D$6,2,FALSE)*D137)</f>
        <v>0</v>
      </c>
      <c r="G137" s="105"/>
      <c r="H137" s="101">
        <f>IF(ISBLANK(G137),,VLOOKUP($G137,Parâmetros!$C$2:$D$6,2,FALSE)*D137)</f>
        <v>0</v>
      </c>
      <c r="I137" s="144"/>
      <c r="J137" s="144"/>
    </row>
    <row r="139" spans="1:10" x14ac:dyDescent="0.25">
      <c r="C139" s="100" t="s">
        <v>235</v>
      </c>
      <c r="D139" s="119">
        <f>((SUM(F134:F137)/4) + (SUM(H134:H137)/4))*10</f>
        <v>0</v>
      </c>
    </row>
    <row r="141" spans="1:10" ht="25.5" x14ac:dyDescent="0.3">
      <c r="A141" s="120" t="s">
        <v>234</v>
      </c>
      <c r="B141" s="253"/>
      <c r="C141" s="254"/>
      <c r="D141" s="169" t="s">
        <v>15</v>
      </c>
      <c r="E141" s="169" t="s">
        <v>212</v>
      </c>
      <c r="F141" s="169" t="s">
        <v>212</v>
      </c>
      <c r="G141" s="169" t="s">
        <v>213</v>
      </c>
      <c r="H141" s="169" t="s">
        <v>213</v>
      </c>
      <c r="I141" s="169" t="s">
        <v>215</v>
      </c>
      <c r="J141" s="169" t="s">
        <v>214</v>
      </c>
    </row>
    <row r="142" spans="1:10" x14ac:dyDescent="0.25">
      <c r="B142" s="82"/>
      <c r="C142" s="14" t="s">
        <v>233</v>
      </c>
      <c r="D142" s="97">
        <f>Entregáveis!$D$82</f>
        <v>1</v>
      </c>
      <c r="E142" s="105"/>
      <c r="F142" s="101">
        <f>IF(ISBLANK(E142),,VLOOKUP($E142,Parâmetros!$C$2:$D$6,2,FALSE)*D142)</f>
        <v>0</v>
      </c>
      <c r="G142" s="105"/>
      <c r="H142" s="101">
        <f>IF(ISBLANK(G142),,VLOOKUP($G142,Parâmetros!$C$2:$D$6,2,FALSE)*D142)</f>
        <v>0</v>
      </c>
      <c r="I142" s="144"/>
      <c r="J142" s="144"/>
    </row>
    <row r="143" spans="1:10" x14ac:dyDescent="0.25">
      <c r="B143" s="82"/>
      <c r="C143" s="14" t="str">
        <f>Entregáveis!$C$91</f>
        <v>Diagrama de Seqüência do Fluxo Básico</v>
      </c>
      <c r="D143" s="96">
        <f>Entregáveis!$D$91</f>
        <v>0.2</v>
      </c>
      <c r="E143" s="105"/>
      <c r="F143" s="101">
        <f>IF(ISBLANK(E143),,VLOOKUP($E143,Parâmetros!$C$2:$D$6,2,FALSE)*D143)</f>
        <v>0</v>
      </c>
      <c r="G143" s="105"/>
      <c r="H143" s="101">
        <f>IF(ISBLANK(G143),,VLOOKUP($G143,Parâmetros!$C$2:$D$6,2,FALSE)*D143)</f>
        <v>0</v>
      </c>
      <c r="I143" s="144"/>
      <c r="J143" s="144"/>
    </row>
    <row r="144" spans="1:10" x14ac:dyDescent="0.25">
      <c r="B144" s="82"/>
      <c r="C144" s="14" t="str">
        <f>Entregáveis!$C$92</f>
        <v>Diagramas de Seqüência dos Fluxos Alternativos</v>
      </c>
      <c r="D144" s="96">
        <f>Entregáveis!$D$92</f>
        <v>0.5</v>
      </c>
      <c r="E144" s="105"/>
      <c r="F144" s="101">
        <f>IF(ISBLANK(E144),,VLOOKUP($E144,Parâmetros!$C$2:$D$6,2,FALSE)*D144)</f>
        <v>0</v>
      </c>
      <c r="G144" s="105"/>
      <c r="H144" s="101">
        <f>IF(ISBLANK(G144),,VLOOKUP($G144,Parâmetros!$C$2:$D$6,2,FALSE)*D144)</f>
        <v>0</v>
      </c>
      <c r="I144" s="144"/>
      <c r="J144" s="144"/>
    </row>
    <row r="145" spans="1:10" x14ac:dyDescent="0.25">
      <c r="B145" s="84"/>
      <c r="C145" s="56" t="str">
        <f>Entregáveis!$C$96</f>
        <v>Visão das Classes Participantes</v>
      </c>
      <c r="D145" s="98">
        <f>Entregáveis!$D$96</f>
        <v>0.3</v>
      </c>
      <c r="E145" s="105"/>
      <c r="F145" s="101">
        <f>IF(ISBLANK(E145),,VLOOKUP($E145,Parâmetros!$C$2:$D$6,2,FALSE)*D145)</f>
        <v>0</v>
      </c>
      <c r="G145" s="105"/>
      <c r="H145" s="101">
        <f>IF(ISBLANK(G145),,VLOOKUP($G145,Parâmetros!$C$2:$D$6,2,FALSE)*D145)</f>
        <v>0</v>
      </c>
      <c r="I145" s="144"/>
      <c r="J145" s="144"/>
    </row>
    <row r="147" spans="1:10" x14ac:dyDescent="0.25">
      <c r="C147" s="100" t="s">
        <v>235</v>
      </c>
      <c r="D147" s="119">
        <f>((SUM(F142:F145)/4) + (SUM(H142:H145)/4))*10</f>
        <v>0</v>
      </c>
    </row>
    <row r="149" spans="1:10" ht="25.5" x14ac:dyDescent="0.3">
      <c r="A149" s="120" t="s">
        <v>234</v>
      </c>
      <c r="B149" s="253"/>
      <c r="C149" s="254"/>
      <c r="D149" s="169" t="s">
        <v>15</v>
      </c>
      <c r="E149" s="169" t="s">
        <v>212</v>
      </c>
      <c r="F149" s="169" t="s">
        <v>212</v>
      </c>
      <c r="G149" s="169" t="s">
        <v>213</v>
      </c>
      <c r="H149" s="169" t="s">
        <v>213</v>
      </c>
      <c r="I149" s="169" t="s">
        <v>215</v>
      </c>
      <c r="J149" s="169" t="s">
        <v>214</v>
      </c>
    </row>
    <row r="150" spans="1:10" x14ac:dyDescent="0.25">
      <c r="B150" s="82"/>
      <c r="C150" s="14" t="s">
        <v>233</v>
      </c>
      <c r="D150" s="97">
        <f>Entregáveis!$D$82</f>
        <v>1</v>
      </c>
      <c r="E150" s="105"/>
      <c r="F150" s="101">
        <f>IF(ISBLANK(E150),,VLOOKUP($E150,Parâmetros!$C$2:$D$6,2,FALSE)*D150)</f>
        <v>0</v>
      </c>
      <c r="G150" s="105"/>
      <c r="H150" s="101">
        <f>IF(ISBLANK(G150),,VLOOKUP($G150,Parâmetros!$C$2:$D$6,2,FALSE)*D150)</f>
        <v>0</v>
      </c>
      <c r="I150" s="144"/>
      <c r="J150" s="144"/>
    </row>
    <row r="151" spans="1:10" x14ac:dyDescent="0.25">
      <c r="B151" s="82"/>
      <c r="C151" s="14" t="str">
        <f>Entregáveis!$C$91</f>
        <v>Diagrama de Seqüência do Fluxo Básico</v>
      </c>
      <c r="D151" s="96">
        <f>Entregáveis!$D$91</f>
        <v>0.2</v>
      </c>
      <c r="E151" s="105"/>
      <c r="F151" s="101">
        <f>IF(ISBLANK(E151),,VLOOKUP($E151,Parâmetros!$C$2:$D$6,2,FALSE)*D151)</f>
        <v>0</v>
      </c>
      <c r="G151" s="105"/>
      <c r="H151" s="101">
        <f>IF(ISBLANK(G151),,VLOOKUP($G151,Parâmetros!$C$2:$D$6,2,FALSE)*D151)</f>
        <v>0</v>
      </c>
      <c r="I151" s="144"/>
      <c r="J151" s="144"/>
    </row>
    <row r="152" spans="1:10" x14ac:dyDescent="0.25">
      <c r="B152" s="82"/>
      <c r="C152" s="14" t="str">
        <f>Entregáveis!$C$92</f>
        <v>Diagramas de Seqüência dos Fluxos Alternativos</v>
      </c>
      <c r="D152" s="96">
        <f>Entregáveis!$D$92</f>
        <v>0.5</v>
      </c>
      <c r="E152" s="105"/>
      <c r="F152" s="101">
        <f>IF(ISBLANK(E152),,VLOOKUP($E152,Parâmetros!$C$2:$D$6,2,FALSE)*D152)</f>
        <v>0</v>
      </c>
      <c r="G152" s="105"/>
      <c r="H152" s="101">
        <f>IF(ISBLANK(G152),,VLOOKUP($G152,Parâmetros!$C$2:$D$6,2,FALSE)*D152)</f>
        <v>0</v>
      </c>
      <c r="I152" s="144"/>
      <c r="J152" s="144"/>
    </row>
    <row r="153" spans="1:10" x14ac:dyDescent="0.25">
      <c r="B153" s="84"/>
      <c r="C153" s="56" t="str">
        <f>Entregáveis!$C$96</f>
        <v>Visão das Classes Participantes</v>
      </c>
      <c r="D153" s="98">
        <f>Entregáveis!$D$96</f>
        <v>0.3</v>
      </c>
      <c r="E153" s="105"/>
      <c r="F153" s="101">
        <f>IF(ISBLANK(E153),,VLOOKUP($E153,Parâmetros!$C$2:$D$6,2,FALSE)*D153)</f>
        <v>0</v>
      </c>
      <c r="G153" s="105"/>
      <c r="H153" s="101">
        <f>IF(ISBLANK(G153),,VLOOKUP($G153,Parâmetros!$C$2:$D$6,2,FALSE)*D153)</f>
        <v>0</v>
      </c>
      <c r="I153" s="144"/>
      <c r="J153" s="144"/>
    </row>
    <row r="155" spans="1:10" x14ac:dyDescent="0.25">
      <c r="C155" s="100" t="s">
        <v>235</v>
      </c>
      <c r="D155" s="119">
        <f>((SUM(F150:F153)/4) + (SUM(H150:H153)/4))*10</f>
        <v>0</v>
      </c>
    </row>
    <row r="157" spans="1:10" ht="25.5" x14ac:dyDescent="0.3">
      <c r="A157" s="120" t="s">
        <v>234</v>
      </c>
      <c r="B157" s="253"/>
      <c r="C157" s="254"/>
      <c r="D157" s="169" t="s">
        <v>15</v>
      </c>
      <c r="E157" s="169" t="s">
        <v>212</v>
      </c>
      <c r="F157" s="169" t="s">
        <v>212</v>
      </c>
      <c r="G157" s="169" t="s">
        <v>213</v>
      </c>
      <c r="H157" s="169" t="s">
        <v>213</v>
      </c>
      <c r="I157" s="169" t="s">
        <v>215</v>
      </c>
      <c r="J157" s="169" t="s">
        <v>214</v>
      </c>
    </row>
    <row r="158" spans="1:10" x14ac:dyDescent="0.25">
      <c r="B158" s="82"/>
      <c r="C158" s="14" t="s">
        <v>233</v>
      </c>
      <c r="D158" s="97">
        <f>Entregáveis!$D$82</f>
        <v>1</v>
      </c>
      <c r="E158" s="105"/>
      <c r="F158" s="101">
        <f>IF(ISBLANK(E158),,VLOOKUP($E158,Parâmetros!$C$2:$D$6,2,FALSE)*D158)</f>
        <v>0</v>
      </c>
      <c r="G158" s="105"/>
      <c r="H158" s="101">
        <f>IF(ISBLANK(G158),,VLOOKUP($G158,Parâmetros!$C$2:$D$6,2,FALSE)*D158)</f>
        <v>0</v>
      </c>
      <c r="I158" s="144"/>
      <c r="J158" s="144"/>
    </row>
    <row r="159" spans="1:10" x14ac:dyDescent="0.25">
      <c r="B159" s="82"/>
      <c r="C159" s="14" t="str">
        <f>Entregáveis!$C$91</f>
        <v>Diagrama de Seqüência do Fluxo Básico</v>
      </c>
      <c r="D159" s="96">
        <f>Entregáveis!$D$91</f>
        <v>0.2</v>
      </c>
      <c r="E159" s="105"/>
      <c r="F159" s="101">
        <f>IF(ISBLANK(E159),,VLOOKUP($E159,Parâmetros!$C$2:$D$6,2,FALSE)*D159)</f>
        <v>0</v>
      </c>
      <c r="G159" s="105"/>
      <c r="H159" s="101">
        <f>IF(ISBLANK(G159),,VLOOKUP($G159,Parâmetros!$C$2:$D$6,2,FALSE)*D159)</f>
        <v>0</v>
      </c>
      <c r="I159" s="144"/>
      <c r="J159" s="144"/>
    </row>
    <row r="160" spans="1:10" x14ac:dyDescent="0.25">
      <c r="B160" s="82"/>
      <c r="C160" s="14" t="str">
        <f>Entregáveis!$C$92</f>
        <v>Diagramas de Seqüência dos Fluxos Alternativos</v>
      </c>
      <c r="D160" s="96">
        <f>Entregáveis!$D$92</f>
        <v>0.5</v>
      </c>
      <c r="E160" s="105"/>
      <c r="F160" s="101">
        <f>IF(ISBLANK(E160),,VLOOKUP($E160,Parâmetros!$C$2:$D$6,2,FALSE)*D160)</f>
        <v>0</v>
      </c>
      <c r="G160" s="105"/>
      <c r="H160" s="101">
        <f>IF(ISBLANK(G160),,VLOOKUP($G160,Parâmetros!$C$2:$D$6,2,FALSE)*D160)</f>
        <v>0</v>
      </c>
      <c r="I160" s="144"/>
      <c r="J160" s="144"/>
    </row>
    <row r="161" spans="1:10" x14ac:dyDescent="0.25">
      <c r="B161" s="84"/>
      <c r="C161" s="56" t="str">
        <f>Entregáveis!$C$96</f>
        <v>Visão das Classes Participantes</v>
      </c>
      <c r="D161" s="98">
        <f>Entregáveis!$D$96</f>
        <v>0.3</v>
      </c>
      <c r="E161" s="105"/>
      <c r="F161" s="101">
        <f>IF(ISBLANK(E161),,VLOOKUP($E161,Parâmetros!$C$2:$D$6,2,FALSE)*D161)</f>
        <v>0</v>
      </c>
      <c r="G161" s="105"/>
      <c r="H161" s="101">
        <f>IF(ISBLANK(G161),,VLOOKUP($G161,Parâmetros!$C$2:$D$6,2,FALSE)*D161)</f>
        <v>0</v>
      </c>
      <c r="I161" s="144"/>
      <c r="J161" s="144"/>
    </row>
    <row r="163" spans="1:10" x14ac:dyDescent="0.25">
      <c r="C163" s="100" t="s">
        <v>235</v>
      </c>
      <c r="D163" s="119">
        <f>((SUM(F158:F161)/4) + (SUM(H158:H161)/4))*10</f>
        <v>0</v>
      </c>
    </row>
    <row r="165" spans="1:10" ht="25.5" x14ac:dyDescent="0.3">
      <c r="A165" s="120" t="s">
        <v>234</v>
      </c>
      <c r="B165" s="253"/>
      <c r="C165" s="254"/>
      <c r="D165" s="169" t="s">
        <v>15</v>
      </c>
      <c r="E165" s="169" t="s">
        <v>212</v>
      </c>
      <c r="F165" s="169" t="s">
        <v>212</v>
      </c>
      <c r="G165" s="169" t="s">
        <v>213</v>
      </c>
      <c r="H165" s="169" t="s">
        <v>213</v>
      </c>
      <c r="I165" s="169" t="s">
        <v>215</v>
      </c>
      <c r="J165" s="169" t="s">
        <v>214</v>
      </c>
    </row>
    <row r="166" spans="1:10" x14ac:dyDescent="0.25">
      <c r="B166" s="82"/>
      <c r="C166" s="14" t="s">
        <v>233</v>
      </c>
      <c r="D166" s="97">
        <f>Entregáveis!$D$82</f>
        <v>1</v>
      </c>
      <c r="E166" s="105"/>
      <c r="F166" s="101">
        <f>IF(ISBLANK(E166),,VLOOKUP($E166,Parâmetros!$C$2:$D$6,2,FALSE)*D166)</f>
        <v>0</v>
      </c>
      <c r="G166" s="105"/>
      <c r="H166" s="101">
        <f>IF(ISBLANK(G166),,VLOOKUP($G166,Parâmetros!$C$2:$D$6,2,FALSE)*D166)</f>
        <v>0</v>
      </c>
      <c r="I166" s="144"/>
      <c r="J166" s="144"/>
    </row>
    <row r="167" spans="1:10" x14ac:dyDescent="0.25">
      <c r="B167" s="82"/>
      <c r="C167" s="14" t="str">
        <f>Entregáveis!$C$91</f>
        <v>Diagrama de Seqüência do Fluxo Básico</v>
      </c>
      <c r="D167" s="96">
        <f>Entregáveis!$D$91</f>
        <v>0.2</v>
      </c>
      <c r="E167" s="105"/>
      <c r="F167" s="101">
        <f>IF(ISBLANK(E167),,VLOOKUP($E167,Parâmetros!$C$2:$D$6,2,FALSE)*D167)</f>
        <v>0</v>
      </c>
      <c r="G167" s="105"/>
      <c r="H167" s="101">
        <f>IF(ISBLANK(G167),,VLOOKUP($G167,Parâmetros!$C$2:$D$6,2,FALSE)*D167)</f>
        <v>0</v>
      </c>
      <c r="I167" s="144"/>
      <c r="J167" s="144"/>
    </row>
    <row r="168" spans="1:10" x14ac:dyDescent="0.25">
      <c r="B168" s="82"/>
      <c r="C168" s="14" t="str">
        <f>Entregáveis!$C$92</f>
        <v>Diagramas de Seqüência dos Fluxos Alternativos</v>
      </c>
      <c r="D168" s="96">
        <f>Entregáveis!$D$92</f>
        <v>0.5</v>
      </c>
      <c r="E168" s="105"/>
      <c r="F168" s="101">
        <f>IF(ISBLANK(E168),,VLOOKUP($E168,Parâmetros!$C$2:$D$6,2,FALSE)*D168)</f>
        <v>0</v>
      </c>
      <c r="G168" s="105"/>
      <c r="H168" s="101">
        <f>IF(ISBLANK(G168),,VLOOKUP($G168,Parâmetros!$C$2:$D$6,2,FALSE)*D168)</f>
        <v>0</v>
      </c>
      <c r="I168" s="144"/>
      <c r="J168" s="144"/>
    </row>
    <row r="169" spans="1:10" x14ac:dyDescent="0.25">
      <c r="B169" s="84"/>
      <c r="C169" s="56" t="str">
        <f>Entregáveis!$C$96</f>
        <v>Visão das Classes Participantes</v>
      </c>
      <c r="D169" s="98">
        <f>Entregáveis!$D$96</f>
        <v>0.3</v>
      </c>
      <c r="E169" s="105"/>
      <c r="F169" s="101">
        <f>IF(ISBLANK(E169),,VLOOKUP($E169,Parâmetros!$C$2:$D$6,2,FALSE)*D169)</f>
        <v>0</v>
      </c>
      <c r="G169" s="105"/>
      <c r="H169" s="101">
        <f>IF(ISBLANK(G169),,VLOOKUP($G169,Parâmetros!$C$2:$D$6,2,FALSE)*D169)</f>
        <v>0</v>
      </c>
      <c r="I169" s="144"/>
      <c r="J169" s="144"/>
    </row>
    <row r="171" spans="1:10" x14ac:dyDescent="0.25">
      <c r="C171" s="100" t="s">
        <v>235</v>
      </c>
      <c r="D171" s="119">
        <f>((SUM(F166:F169)/4) + (SUM(H166:H169)/4))*10</f>
        <v>0</v>
      </c>
    </row>
    <row r="173" spans="1:10" ht="25.5" x14ac:dyDescent="0.3">
      <c r="A173" s="120" t="s">
        <v>234</v>
      </c>
      <c r="B173" s="253"/>
      <c r="C173" s="254"/>
      <c r="D173" s="169" t="s">
        <v>15</v>
      </c>
      <c r="E173" s="169" t="s">
        <v>212</v>
      </c>
      <c r="F173" s="169" t="s">
        <v>212</v>
      </c>
      <c r="G173" s="169" t="s">
        <v>213</v>
      </c>
      <c r="H173" s="169" t="s">
        <v>213</v>
      </c>
      <c r="I173" s="169" t="s">
        <v>215</v>
      </c>
      <c r="J173" s="169" t="s">
        <v>214</v>
      </c>
    </row>
    <row r="174" spans="1:10" x14ac:dyDescent="0.25">
      <c r="B174" s="82"/>
      <c r="C174" s="14" t="s">
        <v>233</v>
      </c>
      <c r="D174" s="97">
        <f>Entregáveis!$D$82</f>
        <v>1</v>
      </c>
      <c r="E174" s="105"/>
      <c r="F174" s="101">
        <f>IF(ISBLANK(E174),,VLOOKUP($E174,Parâmetros!$C$2:$D$6,2,FALSE)*D174)</f>
        <v>0</v>
      </c>
      <c r="G174" s="105"/>
      <c r="H174" s="101">
        <f>IF(ISBLANK(G174),,VLOOKUP($G174,Parâmetros!$C$2:$D$6,2,FALSE)*D174)</f>
        <v>0</v>
      </c>
      <c r="I174" s="144"/>
      <c r="J174" s="144"/>
    </row>
    <row r="175" spans="1:10" x14ac:dyDescent="0.25">
      <c r="B175" s="82"/>
      <c r="C175" s="14" t="str">
        <f>Entregáveis!$C$91</f>
        <v>Diagrama de Seqüência do Fluxo Básico</v>
      </c>
      <c r="D175" s="96">
        <f>Entregáveis!$D$91</f>
        <v>0.2</v>
      </c>
      <c r="E175" s="105"/>
      <c r="F175" s="101">
        <f>IF(ISBLANK(E175),,VLOOKUP($E175,Parâmetros!$C$2:$D$6,2,FALSE)*D175)</f>
        <v>0</v>
      </c>
      <c r="G175" s="105"/>
      <c r="H175" s="101">
        <f>IF(ISBLANK(G175),,VLOOKUP($G175,Parâmetros!$C$2:$D$6,2,FALSE)*D175)</f>
        <v>0</v>
      </c>
      <c r="I175" s="144"/>
      <c r="J175" s="144"/>
    </row>
    <row r="176" spans="1:10" x14ac:dyDescent="0.25">
      <c r="B176" s="82"/>
      <c r="C176" s="14" t="str">
        <f>Entregáveis!$C$92</f>
        <v>Diagramas de Seqüência dos Fluxos Alternativos</v>
      </c>
      <c r="D176" s="96">
        <f>Entregáveis!$D$92</f>
        <v>0.5</v>
      </c>
      <c r="E176" s="105"/>
      <c r="F176" s="101">
        <f>IF(ISBLANK(E176),,VLOOKUP($E176,Parâmetros!$C$2:$D$6,2,FALSE)*D176)</f>
        <v>0</v>
      </c>
      <c r="G176" s="105"/>
      <c r="H176" s="101">
        <f>IF(ISBLANK(G176),,VLOOKUP($G176,Parâmetros!$C$2:$D$6,2,FALSE)*D176)</f>
        <v>0</v>
      </c>
      <c r="I176" s="144"/>
      <c r="J176" s="144"/>
    </row>
    <row r="177" spans="1:10" x14ac:dyDescent="0.25">
      <c r="B177" s="84"/>
      <c r="C177" s="56" t="str">
        <f>Entregáveis!$C$96</f>
        <v>Visão das Classes Participantes</v>
      </c>
      <c r="D177" s="98">
        <f>Entregáveis!$D$96</f>
        <v>0.3</v>
      </c>
      <c r="E177" s="105"/>
      <c r="F177" s="101">
        <f>IF(ISBLANK(E177),,VLOOKUP($E177,Parâmetros!$C$2:$D$6,2,FALSE)*D177)</f>
        <v>0</v>
      </c>
      <c r="G177" s="105"/>
      <c r="H177" s="101">
        <f>IF(ISBLANK(G177),,VLOOKUP($G177,Parâmetros!$C$2:$D$6,2,FALSE)*D177)</f>
        <v>0</v>
      </c>
      <c r="I177" s="144"/>
      <c r="J177" s="144"/>
    </row>
    <row r="179" spans="1:10" x14ac:dyDescent="0.25">
      <c r="C179" s="100" t="s">
        <v>235</v>
      </c>
      <c r="D179" s="119">
        <f>((SUM(F174:F177)/4) + (SUM(H174:H177)/4))*10</f>
        <v>0</v>
      </c>
    </row>
    <row r="181" spans="1:10" ht="25.5" x14ac:dyDescent="0.3">
      <c r="A181" s="120" t="s">
        <v>234</v>
      </c>
      <c r="B181" s="253"/>
      <c r="C181" s="254"/>
      <c r="D181" s="169" t="s">
        <v>15</v>
      </c>
      <c r="E181" s="169" t="s">
        <v>212</v>
      </c>
      <c r="F181" s="169" t="s">
        <v>212</v>
      </c>
      <c r="G181" s="169" t="s">
        <v>213</v>
      </c>
      <c r="H181" s="169" t="s">
        <v>213</v>
      </c>
      <c r="I181" s="169" t="s">
        <v>215</v>
      </c>
      <c r="J181" s="169" t="s">
        <v>214</v>
      </c>
    </row>
    <row r="182" spans="1:10" x14ac:dyDescent="0.25">
      <c r="B182" s="82"/>
      <c r="C182" s="14" t="s">
        <v>233</v>
      </c>
      <c r="D182" s="97">
        <f>Entregáveis!$D$82</f>
        <v>1</v>
      </c>
      <c r="E182" s="105"/>
      <c r="F182" s="101">
        <f>IF(ISBLANK(E182),,VLOOKUP($E182,Parâmetros!$C$2:$D$6,2,FALSE)*D182)</f>
        <v>0</v>
      </c>
      <c r="G182" s="105"/>
      <c r="H182" s="101">
        <f>IF(ISBLANK(G182),,VLOOKUP($G182,Parâmetros!$C$2:$D$6,2,FALSE)*D182)</f>
        <v>0</v>
      </c>
      <c r="I182" s="144"/>
      <c r="J182" s="144"/>
    </row>
    <row r="183" spans="1:10" x14ac:dyDescent="0.25">
      <c r="B183" s="82"/>
      <c r="C183" s="14" t="str">
        <f>Entregáveis!$C$91</f>
        <v>Diagrama de Seqüência do Fluxo Básico</v>
      </c>
      <c r="D183" s="96">
        <f>Entregáveis!$D$91</f>
        <v>0.2</v>
      </c>
      <c r="E183" s="105"/>
      <c r="F183" s="101">
        <f>IF(ISBLANK(E183),,VLOOKUP($E183,Parâmetros!$C$2:$D$6,2,FALSE)*D183)</f>
        <v>0</v>
      </c>
      <c r="G183" s="105"/>
      <c r="H183" s="101">
        <f>IF(ISBLANK(G183),,VLOOKUP($G183,Parâmetros!$C$2:$D$6,2,FALSE)*D183)</f>
        <v>0</v>
      </c>
      <c r="I183" s="144"/>
      <c r="J183" s="144"/>
    </row>
    <row r="184" spans="1:10" x14ac:dyDescent="0.25">
      <c r="B184" s="82"/>
      <c r="C184" s="14" t="str">
        <f>Entregáveis!$C$92</f>
        <v>Diagramas de Seqüência dos Fluxos Alternativos</v>
      </c>
      <c r="D184" s="96">
        <f>Entregáveis!$D$92</f>
        <v>0.5</v>
      </c>
      <c r="E184" s="105"/>
      <c r="F184" s="101">
        <f>IF(ISBLANK(E184),,VLOOKUP($E184,Parâmetros!$C$2:$D$6,2,FALSE)*D184)</f>
        <v>0</v>
      </c>
      <c r="G184" s="105"/>
      <c r="H184" s="101">
        <f>IF(ISBLANK(G184),,VLOOKUP($G184,Parâmetros!$C$2:$D$6,2,FALSE)*D184)</f>
        <v>0</v>
      </c>
      <c r="I184" s="144"/>
      <c r="J184" s="144"/>
    </row>
    <row r="185" spans="1:10" x14ac:dyDescent="0.25">
      <c r="B185" s="84"/>
      <c r="C185" s="56" t="str">
        <f>Entregáveis!$C$96</f>
        <v>Visão das Classes Participantes</v>
      </c>
      <c r="D185" s="98">
        <f>Entregáveis!$D$96</f>
        <v>0.3</v>
      </c>
      <c r="E185" s="105"/>
      <c r="F185" s="101">
        <f>IF(ISBLANK(E185),,VLOOKUP($E185,Parâmetros!$C$2:$D$6,2,FALSE)*D185)</f>
        <v>0</v>
      </c>
      <c r="G185" s="105"/>
      <c r="H185" s="101">
        <f>IF(ISBLANK(G185),,VLOOKUP($G185,Parâmetros!$C$2:$D$6,2,FALSE)*D185)</f>
        <v>0</v>
      </c>
      <c r="I185" s="144"/>
      <c r="J185" s="144"/>
    </row>
    <row r="187" spans="1:10" x14ac:dyDescent="0.25">
      <c r="C187" s="100" t="s">
        <v>235</v>
      </c>
      <c r="D187" s="119">
        <f>((SUM(F182:F185)/4) + (SUM(H182:H185)/4))*10</f>
        <v>0</v>
      </c>
    </row>
    <row r="189" spans="1:10" ht="25.5" x14ac:dyDescent="0.3">
      <c r="A189" s="120" t="s">
        <v>234</v>
      </c>
      <c r="B189" s="253"/>
      <c r="C189" s="254"/>
      <c r="D189" s="169" t="s">
        <v>15</v>
      </c>
      <c r="E189" s="169" t="s">
        <v>212</v>
      </c>
      <c r="F189" s="169" t="s">
        <v>212</v>
      </c>
      <c r="G189" s="169" t="s">
        <v>213</v>
      </c>
      <c r="H189" s="169" t="s">
        <v>213</v>
      </c>
      <c r="I189" s="169" t="s">
        <v>215</v>
      </c>
      <c r="J189" s="169" t="s">
        <v>214</v>
      </c>
    </row>
    <row r="190" spans="1:10" x14ac:dyDescent="0.25">
      <c r="B190" s="82"/>
      <c r="C190" s="14" t="s">
        <v>233</v>
      </c>
      <c r="D190" s="97">
        <f>Entregáveis!$D$82</f>
        <v>1</v>
      </c>
      <c r="E190" s="105"/>
      <c r="F190" s="101">
        <f>IF(ISBLANK(E190),,VLOOKUP($E190,Parâmetros!$C$2:$D$6,2,FALSE)*D190)</f>
        <v>0</v>
      </c>
      <c r="G190" s="105"/>
      <c r="H190" s="101">
        <f>IF(ISBLANK(G190),,VLOOKUP($G190,Parâmetros!$C$2:$D$6,2,FALSE)*D190)</f>
        <v>0</v>
      </c>
      <c r="I190" s="144"/>
      <c r="J190" s="144"/>
    </row>
    <row r="191" spans="1:10" x14ac:dyDescent="0.25">
      <c r="B191" s="82"/>
      <c r="C191" s="14" t="str">
        <f>Entregáveis!$C$91</f>
        <v>Diagrama de Seqüência do Fluxo Básico</v>
      </c>
      <c r="D191" s="96">
        <f>Entregáveis!$D$91</f>
        <v>0.2</v>
      </c>
      <c r="E191" s="105"/>
      <c r="F191" s="101">
        <f>IF(ISBLANK(E191),,VLOOKUP($E191,Parâmetros!$C$2:$D$6,2,FALSE)*D191)</f>
        <v>0</v>
      </c>
      <c r="G191" s="105"/>
      <c r="H191" s="101">
        <f>IF(ISBLANK(G191),,VLOOKUP($G191,Parâmetros!$C$2:$D$6,2,FALSE)*D191)</f>
        <v>0</v>
      </c>
      <c r="I191" s="144"/>
      <c r="J191" s="144"/>
    </row>
    <row r="192" spans="1:10" x14ac:dyDescent="0.25">
      <c r="B192" s="82"/>
      <c r="C192" s="14" t="str">
        <f>Entregáveis!$C$92</f>
        <v>Diagramas de Seqüência dos Fluxos Alternativos</v>
      </c>
      <c r="D192" s="96">
        <f>Entregáveis!$D$92</f>
        <v>0.5</v>
      </c>
      <c r="E192" s="105"/>
      <c r="F192" s="101">
        <f>IF(ISBLANK(E192),,VLOOKUP($E192,Parâmetros!$C$2:$D$6,2,FALSE)*D192)</f>
        <v>0</v>
      </c>
      <c r="G192" s="105"/>
      <c r="H192" s="101">
        <f>IF(ISBLANK(G192),,VLOOKUP($G192,Parâmetros!$C$2:$D$6,2,FALSE)*D192)</f>
        <v>0</v>
      </c>
      <c r="I192" s="144"/>
      <c r="J192" s="144"/>
    </row>
    <row r="193" spans="2:10" x14ac:dyDescent="0.25">
      <c r="B193" s="84"/>
      <c r="C193" s="56" t="str">
        <f>Entregáveis!$C$96</f>
        <v>Visão das Classes Participantes</v>
      </c>
      <c r="D193" s="98">
        <f>Entregáveis!$D$96</f>
        <v>0.3</v>
      </c>
      <c r="E193" s="105"/>
      <c r="F193" s="101">
        <f>IF(ISBLANK(E193),,VLOOKUP($E193,Parâmetros!$C$2:$D$6,2,FALSE)*D193)</f>
        <v>0</v>
      </c>
      <c r="G193" s="105"/>
      <c r="H193" s="101">
        <f>IF(ISBLANK(G193),,VLOOKUP($G193,Parâmetros!$C$2:$D$6,2,FALSE)*D193)</f>
        <v>0</v>
      </c>
      <c r="I193" s="144"/>
      <c r="J193" s="144"/>
    </row>
    <row r="195" spans="2:10" x14ac:dyDescent="0.25">
      <c r="C195" s="100" t="s">
        <v>235</v>
      </c>
      <c r="D195" s="119">
        <f>((SUM(F190:F193)/4) + (SUM(H190:H193)/4))*10</f>
        <v>0</v>
      </c>
    </row>
  </sheetData>
  <sheetProtection password="8352" sheet="1" objects="1" scenarios="1"/>
  <protectedRanges>
    <protectedRange sqref="B77 E78:E81 G78:G81 I78:J81 B85 E86:E89 G86:G89 I86:J89 B93 E94:E97 G94:G97 I94:J97 B101 E102:E105 G102:G105 I102:J105 B109 I110:J113 B117 I118:J121 G126:G129 I126:J129 G134:G137 I134:J137 B141 G142:G145 I142:J145 B149 G150:G153 I150:J153 B157 G158:G161 I158:J161 B165 G166:G169 I166:J169 B173 E174:E177 G174:G177 I174:J177 B181 E182:E185 G182:G185 I182:J185 B189 I190:J193 E190:E193 G190:G193 E118:E121 G118:G121 E110:E113 G110:G113 B125 E126:E129 B133 E134:E137 E142:E145 E150:E153 E158:E161 E166:E169" name="UC002"/>
    <protectedRange sqref="B37 G38:G41 I38:J41 B45 E46:E49 G46:G49 I46:J49 B53 E54:E57 G54:G57 I54:J57 B61 E62:E65 G62:G65 I62:J65 B69 E70:E73 G70:G73 I70:J73 E38:E41" name="UC001"/>
    <protectedRange sqref="D31:D32" name="Avaliação"/>
  </protectedRanges>
  <mergeCells count="21">
    <mergeCell ref="B189:C189"/>
    <mergeCell ref="B141:C141"/>
    <mergeCell ref="B149:C149"/>
    <mergeCell ref="B157:C157"/>
    <mergeCell ref="B165:C165"/>
    <mergeCell ref="B173:C173"/>
    <mergeCell ref="B109:C109"/>
    <mergeCell ref="B117:C117"/>
    <mergeCell ref="B125:C125"/>
    <mergeCell ref="B133:C133"/>
    <mergeCell ref="B181:C181"/>
    <mergeCell ref="B69:C69"/>
    <mergeCell ref="B77:C77"/>
    <mergeCell ref="B85:C85"/>
    <mergeCell ref="B93:C93"/>
    <mergeCell ref="B101:C101"/>
    <mergeCell ref="B8:C8"/>
    <mergeCell ref="B37:C37"/>
    <mergeCell ref="B45:C45"/>
    <mergeCell ref="B53:C53"/>
    <mergeCell ref="B61:C61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count="22">
        <x14:dataValidation type="list" allowBlank="1" showInputMessage="1" showErrorMessage="1">
          <x14:formula1>
            <xm:f>Parâmetros!$C$2:$C$6</xm:f>
          </x14:formula1>
          <xm:sqref>G38:G41 G102:G105 E102:E105 G94:G97 E94:E97 G86:G89 E86:E89 G78:G81 E78:E81 G70:G73 E70:E73 G62:G65 E62:E65 G54:G57 E54:E57 G46:G49 E46:E49 G118:G121 E110:E113 E38:E41 G190:G193 E118:E121 G110:G113 G126:G129 E126:E129 G134:G137 E134:E137 G142:G145 E142:E145 G150:G153 E150:E153 G158:G161 E158:E161 G166:G169 E174:E177 G174:G177 E182:E185 G182:G185 E190:E193 E166:E169</xm:sqref>
        </x14:dataValidation>
        <x14:dataValidation type="list" allowBlank="1" showInputMessage="1" showErrorMessage="1">
          <x14:formula1>
            <xm:f>Parâmetros!$H$2:$H$3</xm:f>
          </x14:formula1>
          <xm:sqref>D32</xm:sqref>
        </x14:dataValidation>
        <x14:dataValidation type="list" allowBlank="1" showInputMessage="1" showErrorMessage="1">
          <x14:formula1>
            <xm:f>UCP!$C$32:$C$76</xm:f>
          </x14:formula1>
          <xm:sqref>B53</xm:sqref>
        </x14:dataValidation>
        <x14:dataValidation type="list" allowBlank="1" showInputMessage="1" showErrorMessage="1">
          <x14:formula1>
            <xm:f>UCP!$C$32:$C$76</xm:f>
          </x14:formula1>
          <xm:sqref>B101</xm:sqref>
        </x14:dataValidation>
        <x14:dataValidation type="list" allowBlank="1" showInputMessage="1" showErrorMessage="1">
          <x14:formula1>
            <xm:f>UCP!$C$32:$C$76</xm:f>
          </x14:formula1>
          <xm:sqref>B93</xm:sqref>
        </x14:dataValidation>
        <x14:dataValidation type="list" allowBlank="1" showInputMessage="1" showErrorMessage="1">
          <x14:formula1>
            <xm:f>UCP!$C$32:$C$76</xm:f>
          </x14:formula1>
          <xm:sqref>B85</xm:sqref>
        </x14:dataValidation>
        <x14:dataValidation type="list" allowBlank="1" showInputMessage="1" showErrorMessage="1">
          <x14:formula1>
            <xm:f>UCP!$C$32:$C$76</xm:f>
          </x14:formula1>
          <xm:sqref>B77</xm:sqref>
        </x14:dataValidation>
        <x14:dataValidation type="list" allowBlank="1" showInputMessage="1" showErrorMessage="1">
          <x14:formula1>
            <xm:f>UCP!$C$32:$C$76</xm:f>
          </x14:formula1>
          <xm:sqref>B69</xm:sqref>
        </x14:dataValidation>
        <x14:dataValidation type="list" allowBlank="1" showInputMessage="1" showErrorMessage="1">
          <x14:formula1>
            <xm:f>UCP!$C$32:$C$76</xm:f>
          </x14:formula1>
          <xm:sqref>B61</xm:sqref>
        </x14:dataValidation>
        <x14:dataValidation type="list" allowBlank="1" showInputMessage="1" showErrorMessage="1">
          <x14:formula1>
            <xm:f>UCP!$C$32:$C$76</xm:f>
          </x14:formula1>
          <xm:sqref>B45</xm:sqref>
        </x14:dataValidation>
        <x14:dataValidation type="list" allowBlank="1" showInputMessage="1" showErrorMessage="1">
          <x14:formula1>
            <xm:f>UCP!$C$32:$C$76</xm:f>
          </x14:formula1>
          <xm:sqref>B37</xm:sqref>
        </x14:dataValidation>
        <x14:dataValidation type="list" allowBlank="1" showInputMessage="1" showErrorMessage="1">
          <x14:formula1>
            <xm:f>UCP!$C$32:$C$76</xm:f>
          </x14:formula1>
          <xm:sqref>B109</xm:sqref>
        </x14:dataValidation>
        <x14:dataValidation type="list" allowBlank="1" showInputMessage="1" showErrorMessage="1">
          <x14:formula1>
            <xm:f>UCP!$C$32:$C$76</xm:f>
          </x14:formula1>
          <xm:sqref>B117</xm:sqref>
        </x14:dataValidation>
        <x14:dataValidation type="list" allowBlank="1" showInputMessage="1" showErrorMessage="1">
          <x14:formula1>
            <xm:f>UCP!$C$32:$C$76</xm:f>
          </x14:formula1>
          <xm:sqref>B189</xm:sqref>
        </x14:dataValidation>
        <x14:dataValidation type="list" allowBlank="1" showInputMessage="1" showErrorMessage="1">
          <x14:formula1>
            <xm:f>UCP!$C$32:$C$76</xm:f>
          </x14:formula1>
          <xm:sqref>B125</xm:sqref>
        </x14:dataValidation>
        <x14:dataValidation type="list" allowBlank="1" showInputMessage="1" showErrorMessage="1">
          <x14:formula1>
            <xm:f>UCP!$C$32:$C$76</xm:f>
          </x14:formula1>
          <xm:sqref>B141</xm:sqref>
        </x14:dataValidation>
        <x14:dataValidation type="list" allowBlank="1" showInputMessage="1" showErrorMessage="1">
          <x14:formula1>
            <xm:f>UCP!$C$32:$C$76</xm:f>
          </x14:formula1>
          <xm:sqref>B149</xm:sqref>
        </x14:dataValidation>
        <x14:dataValidation type="list" allowBlank="1" showInputMessage="1" showErrorMessage="1">
          <x14:formula1>
            <xm:f>UCP!$C$32:$C$76</xm:f>
          </x14:formula1>
          <xm:sqref>B157</xm:sqref>
        </x14:dataValidation>
        <x14:dataValidation type="list" allowBlank="1" showInputMessage="1" showErrorMessage="1">
          <x14:formula1>
            <xm:f>UCP!$C$32:$C$76</xm:f>
          </x14:formula1>
          <xm:sqref>B165</xm:sqref>
        </x14:dataValidation>
        <x14:dataValidation type="list" allowBlank="1" showInputMessage="1" showErrorMessage="1">
          <x14:formula1>
            <xm:f>UCP!$C$32:$C$76</xm:f>
          </x14:formula1>
          <xm:sqref>B173</xm:sqref>
        </x14:dataValidation>
        <x14:dataValidation type="list" allowBlank="1" showInputMessage="1" showErrorMessage="1">
          <x14:formula1>
            <xm:f>UCP!$C$32:$C$76</xm:f>
          </x14:formula1>
          <xm:sqref>B181</xm:sqref>
        </x14:dataValidation>
        <x14:dataValidation type="list" allowBlank="1" showInputMessage="1" showErrorMessage="1">
          <x14:formula1>
            <xm:f>UCP!$C$32:$C$76</xm:f>
          </x14:formula1>
          <xm:sqref>B133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G52"/>
  <sheetViews>
    <sheetView tabSelected="1" zoomScale="80" zoomScaleNormal="80" workbookViewId="0">
      <selection activeCell="C1" sqref="C1"/>
    </sheetView>
  </sheetViews>
  <sheetFormatPr defaultRowHeight="15" x14ac:dyDescent="0.25"/>
  <cols>
    <col min="1" max="1" width="9.140625" style="1"/>
    <col min="2" max="2" width="10.28515625" style="1" customWidth="1"/>
    <col min="3" max="3" width="52.85546875" style="1" customWidth="1"/>
    <col min="4" max="4" width="19.7109375" style="1" customWidth="1"/>
    <col min="5" max="5" width="21.42578125" style="1" customWidth="1"/>
    <col min="6" max="6" width="17.85546875" style="1" customWidth="1"/>
    <col min="7" max="7" width="42.85546875" style="1" customWidth="1"/>
    <col min="8" max="16384" width="9.140625" style="1"/>
  </cols>
  <sheetData>
    <row r="6" spans="1:7" x14ac:dyDescent="0.25">
      <c r="A6" s="11" t="s">
        <v>238</v>
      </c>
    </row>
    <row r="8" spans="1:7" ht="25.5" x14ac:dyDescent="0.25">
      <c r="C8" s="133" t="s">
        <v>91</v>
      </c>
      <c r="D8" s="128" t="s">
        <v>259</v>
      </c>
      <c r="E8" s="128" t="s">
        <v>230</v>
      </c>
      <c r="F8" s="191" t="s">
        <v>260</v>
      </c>
      <c r="G8" s="192"/>
    </row>
    <row r="9" spans="1:7" x14ac:dyDescent="0.25">
      <c r="C9" s="20" t="str">
        <f>IF(ISBLANK('Dados do Projeto'!$C$17),"",'Dados do Projeto'!$C$17)</f>
        <v>Luiz Fernando Nascimento da Cruz</v>
      </c>
      <c r="D9" s="141">
        <v>1</v>
      </c>
      <c r="E9" s="142">
        <f>$E$19*D9</f>
        <v>10</v>
      </c>
      <c r="F9" s="260"/>
      <c r="G9" s="260"/>
    </row>
    <row r="10" spans="1:7" x14ac:dyDescent="0.25">
      <c r="C10" s="20" t="str">
        <f>IF(ISBLANK('Dados do Projeto'!$C$18),"",'Dados do Projeto'!$C$18)</f>
        <v>Jaqueline Talita Winckes</v>
      </c>
      <c r="D10" s="141">
        <v>1</v>
      </c>
      <c r="E10" s="142">
        <f>$E$19*D10</f>
        <v>10</v>
      </c>
      <c r="F10" s="260"/>
      <c r="G10" s="260"/>
    </row>
    <row r="11" spans="1:7" x14ac:dyDescent="0.25">
      <c r="C11" s="20" t="str">
        <f>IF(ISBLANK('Dados do Projeto'!$C$19),"",'Dados do Projeto'!$C$19)</f>
        <v>Paulo Henrique Ferreira de Lima</v>
      </c>
      <c r="D11" s="141">
        <v>1</v>
      </c>
      <c r="E11" s="142">
        <f>$E$19*D11</f>
        <v>10</v>
      </c>
      <c r="F11" s="260"/>
      <c r="G11" s="260"/>
    </row>
    <row r="14" spans="1:7" x14ac:dyDescent="0.25">
      <c r="C14" s="128" t="s">
        <v>239</v>
      </c>
      <c r="D14" s="128" t="s">
        <v>15</v>
      </c>
      <c r="E14" s="128" t="s">
        <v>230</v>
      </c>
      <c r="F14" s="133" t="s">
        <v>231</v>
      </c>
    </row>
    <row r="15" spans="1:7" x14ac:dyDescent="0.25">
      <c r="C15" s="131" t="str">
        <f>B25</f>
        <v>Banca Lógica - Manual do Sistema</v>
      </c>
      <c r="D15" s="95">
        <v>0.1</v>
      </c>
      <c r="E15" s="134">
        <f>E29</f>
        <v>10</v>
      </c>
      <c r="F15" s="137">
        <f>D15*E15</f>
        <v>1</v>
      </c>
    </row>
    <row r="16" spans="1:7" x14ac:dyDescent="0.25">
      <c r="C16" s="129" t="str">
        <f>B34</f>
        <v>Banca Lógica - Apresentação da Equipe</v>
      </c>
      <c r="D16" s="79">
        <v>0.1</v>
      </c>
      <c r="E16" s="135">
        <f>E41</f>
        <v>10</v>
      </c>
      <c r="F16" s="138">
        <f>D16*E16</f>
        <v>1</v>
      </c>
    </row>
    <row r="17" spans="1:7" x14ac:dyDescent="0.25">
      <c r="C17" s="130" t="str">
        <f>B45</f>
        <v>Banca Lógica - Conteúdo Técnico</v>
      </c>
      <c r="D17" s="89">
        <v>0.8</v>
      </c>
      <c r="E17" s="136">
        <f>E52</f>
        <v>10</v>
      </c>
      <c r="F17" s="139">
        <f>D17*E17</f>
        <v>8</v>
      </c>
    </row>
    <row r="18" spans="1:7" x14ac:dyDescent="0.25">
      <c r="F18" s="165">
        <f>SUM(F15:F17)</f>
        <v>10</v>
      </c>
    </row>
    <row r="19" spans="1:7" x14ac:dyDescent="0.25">
      <c r="D19" s="100" t="s">
        <v>312</v>
      </c>
      <c r="E19" s="119">
        <f>IF(F18 - (F18*10%*F20)&lt;0,0,(F18- (F18*10%*F20)))</f>
        <v>10</v>
      </c>
    </row>
    <row r="20" spans="1:7" x14ac:dyDescent="0.25">
      <c r="D20" s="164" t="s">
        <v>310</v>
      </c>
      <c r="E20" s="173"/>
      <c r="F20" s="104">
        <f>IF(EXACT(E21,Parâmetros!$H$2),E20,E20+1)</f>
        <v>0</v>
      </c>
    </row>
    <row r="21" spans="1:7" x14ac:dyDescent="0.25">
      <c r="D21" s="164" t="s">
        <v>333</v>
      </c>
      <c r="E21" s="173" t="s">
        <v>331</v>
      </c>
    </row>
    <row r="23" spans="1:7" x14ac:dyDescent="0.25">
      <c r="A23" s="11" t="s">
        <v>256</v>
      </c>
    </row>
    <row r="25" spans="1:7" ht="20.25" x14ac:dyDescent="0.25">
      <c r="B25" s="239" t="str">
        <f>Entregáveis!B105</f>
        <v>Banca Lógica - Manual do Sistema</v>
      </c>
      <c r="C25" s="240"/>
      <c r="D25" s="128" t="s">
        <v>15</v>
      </c>
      <c r="E25" s="128" t="s">
        <v>253</v>
      </c>
      <c r="F25" s="128" t="s">
        <v>253</v>
      </c>
      <c r="G25" s="128" t="s">
        <v>254</v>
      </c>
    </row>
    <row r="26" spans="1:7" x14ac:dyDescent="0.25">
      <c r="B26" s="90"/>
      <c r="C26" s="81" t="str">
        <f>Entregáveis!C106</f>
        <v>Editoração segundo normas ABNT</v>
      </c>
      <c r="D26" s="97">
        <f>Entregáveis!D106</f>
        <v>0.7</v>
      </c>
      <c r="E26" s="105" t="s">
        <v>221</v>
      </c>
      <c r="F26" s="101">
        <f>IF(ISBLANK(E26),0,VLOOKUP($E26,Parâmetros!$C$2:$D$6,2,FALSE)*D26)</f>
        <v>0.7</v>
      </c>
      <c r="G26" s="144"/>
    </row>
    <row r="27" spans="1:7" x14ac:dyDescent="0.25">
      <c r="B27" s="84"/>
      <c r="C27" s="85" t="str">
        <f>Entregáveis!C107</f>
        <v>Clareza na Redação do Manual do Sistema</v>
      </c>
      <c r="D27" s="98">
        <f>Entregáveis!D107</f>
        <v>0.3</v>
      </c>
      <c r="E27" s="168" t="s">
        <v>221</v>
      </c>
      <c r="F27" s="101">
        <f>IF(ISBLANK(E27),0,VLOOKUP($E27,Parâmetros!$C$2:$D$6,2,FALSE)*D27)</f>
        <v>0.3</v>
      </c>
      <c r="G27" s="144"/>
    </row>
    <row r="29" spans="1:7" x14ac:dyDescent="0.25">
      <c r="D29" s="100" t="s">
        <v>255</v>
      </c>
      <c r="E29" s="109">
        <f>((SUM(F26:F27))*10)</f>
        <v>10</v>
      </c>
    </row>
    <row r="32" spans="1:7" x14ac:dyDescent="0.25">
      <c r="A32" s="11" t="s">
        <v>257</v>
      </c>
    </row>
    <row r="34" spans="1:7" ht="20.25" x14ac:dyDescent="0.25">
      <c r="B34" s="258" t="str">
        <f>Entregáveis!B111</f>
        <v>Banca Lógica - Apresentação da Equipe</v>
      </c>
      <c r="C34" s="259"/>
      <c r="D34" s="133" t="s">
        <v>15</v>
      </c>
      <c r="E34" s="128" t="s">
        <v>253</v>
      </c>
      <c r="F34" s="128" t="s">
        <v>253</v>
      </c>
      <c r="G34" s="128" t="s">
        <v>254</v>
      </c>
    </row>
    <row r="35" spans="1:7" x14ac:dyDescent="0.25">
      <c r="B35" s="90"/>
      <c r="C35" s="81" t="str">
        <f>Entregáveis!C112</f>
        <v>Desenvoltura Oral</v>
      </c>
      <c r="D35" s="97">
        <f>Entregáveis!D112</f>
        <v>0.2</v>
      </c>
      <c r="E35" s="168" t="s">
        <v>221</v>
      </c>
      <c r="F35" s="101">
        <f>IF(ISBLANK(E35),0,VLOOKUP($E35,Parâmetros!$C$2:$D$6,2,FALSE)*D35)</f>
        <v>0.2</v>
      </c>
      <c r="G35" s="144"/>
    </row>
    <row r="36" spans="1:7" x14ac:dyDescent="0.25">
      <c r="B36" s="82"/>
      <c r="C36" s="83" t="str">
        <f>Entregáveis!C113</f>
        <v>Recursos Utilizados na Apresentação</v>
      </c>
      <c r="D36" s="96">
        <f>Entregáveis!D113</f>
        <v>0.1</v>
      </c>
      <c r="E36" s="168" t="s">
        <v>221</v>
      </c>
      <c r="F36" s="101">
        <f>IF(ISBLANK(E36),0,VLOOKUP($E36,Parâmetros!$C$2:$D$6,2,FALSE)*D36)</f>
        <v>0.1</v>
      </c>
      <c r="G36" s="144"/>
    </row>
    <row r="37" spans="1:7" x14ac:dyDescent="0.25">
      <c r="B37" s="82"/>
      <c r="C37" s="83" t="str">
        <f>Entregáveis!C114</f>
        <v>Clareza na Explanação do Assunto</v>
      </c>
      <c r="D37" s="96">
        <f>Entregáveis!D114</f>
        <v>0.1</v>
      </c>
      <c r="E37" s="168" t="s">
        <v>221</v>
      </c>
      <c r="F37" s="101">
        <f>IF(ISBLANK(E37),0,VLOOKUP($E37,Parâmetros!$C$2:$D$6,2,FALSE)*D37)</f>
        <v>0.1</v>
      </c>
      <c r="G37" s="144"/>
    </row>
    <row r="38" spans="1:7" x14ac:dyDescent="0.25">
      <c r="B38" s="82"/>
      <c r="C38" s="83" t="str">
        <f>Entregáveis!C115</f>
        <v>Domínio do Assunto</v>
      </c>
      <c r="D38" s="96">
        <f>Entregáveis!D115</f>
        <v>0.5</v>
      </c>
      <c r="E38" s="168" t="s">
        <v>221</v>
      </c>
      <c r="F38" s="101">
        <f>IF(ISBLANK(E38),0,VLOOKUP($E38,Parâmetros!$C$2:$D$6,2,FALSE)*D38)</f>
        <v>0.5</v>
      </c>
      <c r="G38" s="144"/>
    </row>
    <row r="39" spans="1:7" x14ac:dyDescent="0.25">
      <c r="B39" s="84"/>
      <c r="C39" s="85" t="str">
        <f>Entregáveis!C116</f>
        <v>Conformidade com o Tempo disponível para Apresentação</v>
      </c>
      <c r="D39" s="98">
        <f>Entregáveis!D116</f>
        <v>0.1</v>
      </c>
      <c r="E39" s="168" t="s">
        <v>221</v>
      </c>
      <c r="F39" s="101">
        <f>IF(ISBLANK(E39),0,VLOOKUP($E39,Parâmetros!$C$2:$D$6,2,FALSE)*D39)</f>
        <v>0.1</v>
      </c>
      <c r="G39" s="144"/>
    </row>
    <row r="41" spans="1:7" x14ac:dyDescent="0.25">
      <c r="D41" s="100" t="s">
        <v>315</v>
      </c>
      <c r="E41" s="109">
        <f>((SUM(F35:F39))*10)</f>
        <v>10</v>
      </c>
    </row>
    <row r="42" spans="1:7" x14ac:dyDescent="0.25">
      <c r="D42" s="100"/>
      <c r="E42" s="140"/>
    </row>
    <row r="43" spans="1:7" x14ac:dyDescent="0.25">
      <c r="A43" s="11" t="s">
        <v>258</v>
      </c>
      <c r="D43" s="100"/>
      <c r="E43" s="140"/>
    </row>
    <row r="45" spans="1:7" ht="20.25" x14ac:dyDescent="0.25">
      <c r="B45" s="258" t="str">
        <f>Entregáveis!B120</f>
        <v>Banca Lógica - Conteúdo Técnico</v>
      </c>
      <c r="C45" s="259"/>
      <c r="D45" s="133" t="s">
        <v>15</v>
      </c>
      <c r="E45" s="128" t="s">
        <v>253</v>
      </c>
      <c r="F45" s="128" t="s">
        <v>253</v>
      </c>
      <c r="G45" s="128" t="s">
        <v>254</v>
      </c>
    </row>
    <row r="46" spans="1:7" x14ac:dyDescent="0.25">
      <c r="B46" s="90"/>
      <c r="C46" s="81" t="str">
        <f>Entregáveis!C121</f>
        <v>Todos os Casos de Uso Especificados Corretamente</v>
      </c>
      <c r="D46" s="97">
        <f>Entregáveis!D121</f>
        <v>0.1</v>
      </c>
      <c r="E46" s="168" t="s">
        <v>221</v>
      </c>
      <c r="F46" s="101">
        <f>IF(ISBLANK(E46),0,VLOOKUP($E46,Parâmetros!$C$2:$D$6,2,FALSE)*D46)</f>
        <v>0.1</v>
      </c>
      <c r="G46" s="144"/>
    </row>
    <row r="47" spans="1:7" x14ac:dyDescent="0.25">
      <c r="B47" s="82"/>
      <c r="C47" s="83" t="str">
        <f>Entregáveis!C122</f>
        <v>Todos os Casos de Uso Modelados Corretamente</v>
      </c>
      <c r="D47" s="97">
        <f>Entregáveis!D122</f>
        <v>0.1</v>
      </c>
      <c r="E47" s="168" t="s">
        <v>221</v>
      </c>
      <c r="F47" s="101">
        <f>IF(ISBLANK(E47),0,VLOOKUP($E47,Parâmetros!$C$2:$D$6,2,FALSE)*D47)</f>
        <v>0.1</v>
      </c>
      <c r="G47" s="144"/>
    </row>
    <row r="48" spans="1:7" x14ac:dyDescent="0.25">
      <c r="B48" s="82"/>
      <c r="C48" s="83" t="str">
        <f>Entregáveis!C123</f>
        <v>O Modelo de Dados está Correto</v>
      </c>
      <c r="D48" s="97">
        <f>Entregáveis!D123</f>
        <v>0.3</v>
      </c>
      <c r="E48" s="168" t="s">
        <v>221</v>
      </c>
      <c r="F48" s="101">
        <f>IF(ISBLANK(E48),0,VLOOKUP($E48,Parâmetros!$C$2:$D$6,2,FALSE)*D48)</f>
        <v>0.3</v>
      </c>
      <c r="G48" s="144"/>
    </row>
    <row r="49" spans="2:7" x14ac:dyDescent="0.25">
      <c r="B49" s="82"/>
      <c r="C49" s="83" t="str">
        <f>Entregáveis!C124</f>
        <v>Todos os Requisitos da Proposta Atendidos</v>
      </c>
      <c r="D49" s="97">
        <f>Entregáveis!D124</f>
        <v>0.4</v>
      </c>
      <c r="E49" s="168" t="s">
        <v>221</v>
      </c>
      <c r="F49" s="101">
        <f>IF(ISBLANK(E49),0,VLOOKUP($E49,Parâmetros!$C$2:$D$6,2,FALSE)*D49)</f>
        <v>0.4</v>
      </c>
      <c r="G49" s="144"/>
    </row>
    <row r="50" spans="2:7" x14ac:dyDescent="0.25">
      <c r="B50" s="84"/>
      <c r="C50" s="85" t="str">
        <f>Entregáveis!C125</f>
        <v>Todas as Correções das Entregas Parciais Realizadas</v>
      </c>
      <c r="D50" s="166">
        <f>Entregáveis!D125</f>
        <v>0.1</v>
      </c>
      <c r="E50" s="168" t="s">
        <v>221</v>
      </c>
      <c r="F50" s="101">
        <f>IF(ISBLANK(E50),0,VLOOKUP($E50,Parâmetros!$C$2:$D$6,2,FALSE)*D50)</f>
        <v>0.1</v>
      </c>
      <c r="G50" s="144"/>
    </row>
    <row r="52" spans="2:7" x14ac:dyDescent="0.25">
      <c r="D52" s="100" t="s">
        <v>316</v>
      </c>
      <c r="E52" s="109">
        <f>((SUM(F46:F50))*10)</f>
        <v>10</v>
      </c>
    </row>
  </sheetData>
  <sheetProtection password="8352" sheet="1" objects="1" scenarios="1"/>
  <protectedRanges>
    <protectedRange sqref="D9:D11 F9:G11 E26:E27 G26:G27 E35:E39 G35:G39 G46:G50 E46:E50" name="Banca Lógica"/>
    <protectedRange sqref="E20:E21" name="Avaliação_1"/>
  </protectedRanges>
  <mergeCells count="7">
    <mergeCell ref="B45:C45"/>
    <mergeCell ref="F8:G8"/>
    <mergeCell ref="F9:G9"/>
    <mergeCell ref="F10:G10"/>
    <mergeCell ref="F11:G11"/>
    <mergeCell ref="B25:C25"/>
    <mergeCell ref="B34:C34"/>
  </mergeCells>
  <pageMargins left="0.511811024" right="0.511811024" top="0.78740157499999996" bottom="0.78740157499999996" header="0.31496062000000002" footer="0.31496062000000002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Parâmetros!$C$2:$C$6</xm:f>
          </x14:formula1>
          <xm:sqref>E35:E39 E26:E27 E46:E50</xm:sqref>
        </x14:dataValidation>
        <x14:dataValidation type="list" allowBlank="1" showInputMessage="1" showErrorMessage="1">
          <x14:formula1>
            <xm:f>Parâmetros!$H$2:$H$3</xm:f>
          </x14:formula1>
          <xm:sqref>E21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"/>
  <sheetViews>
    <sheetView zoomScale="80" zoomScaleNormal="80" workbookViewId="0">
      <selection activeCell="E9" sqref="E9"/>
    </sheetView>
  </sheetViews>
  <sheetFormatPr defaultRowHeight="15" x14ac:dyDescent="0.25"/>
  <cols>
    <col min="1" max="1" width="9.140625" style="1"/>
    <col min="2" max="2" width="50.42578125" style="1" customWidth="1"/>
    <col min="3" max="3" width="24.5703125" style="1" customWidth="1"/>
    <col min="4" max="4" width="21" style="1" customWidth="1"/>
    <col min="5" max="5" width="43.7109375" style="1" customWidth="1"/>
    <col min="6" max="6" width="62.42578125" style="1" customWidth="1"/>
    <col min="7" max="16384" width="9.140625" style="1"/>
  </cols>
  <sheetData>
    <row r="1" spans="1:6" x14ac:dyDescent="0.25">
      <c r="D1" s="104" t="str">
        <f>Parâmetros!G2</f>
        <v>Aprovado</v>
      </c>
    </row>
    <row r="2" spans="1:6" x14ac:dyDescent="0.25">
      <c r="D2" s="104" t="str">
        <f>Parâmetros!G3</f>
        <v>Reprovado</v>
      </c>
    </row>
    <row r="6" spans="1:6" x14ac:dyDescent="0.25">
      <c r="A6" s="11" t="s">
        <v>325</v>
      </c>
    </row>
    <row r="8" spans="1:6" ht="25.5" x14ac:dyDescent="0.25">
      <c r="B8" s="133" t="s">
        <v>91</v>
      </c>
      <c r="C8" s="128" t="s">
        <v>270</v>
      </c>
      <c r="D8" s="128" t="s">
        <v>271</v>
      </c>
      <c r="E8" s="128" t="s">
        <v>230</v>
      </c>
      <c r="F8" s="143" t="s">
        <v>260</v>
      </c>
    </row>
    <row r="9" spans="1:6" x14ac:dyDescent="0.25">
      <c r="B9" s="20" t="str">
        <f>IF(ISBLANK('Dados do Projeto'!$C$17),"",'Dados do Projeto'!$C$17)</f>
        <v>Luiz Fernando Nascimento da Cruz</v>
      </c>
      <c r="C9" s="145">
        <f>IF(EXACT(B9,""),"",COUNTIFS($D$18:$D$45,Parâmetros!$F$3,$C$18:$C$45,Parâmetros!$E$2)+ COUNTIFS($D$18:$D$45,Parâmetros!$F$3,$C$18:$C$45,Parâmetros!$E$3))</f>
        <v>0</v>
      </c>
      <c r="D9" s="13" t="str">
        <f>IF(EXACT(C9,""),"",IF(C9&gt;0,Parâmetros!$G$3,Parâmetros!$G$2))</f>
        <v>Aprovado</v>
      </c>
      <c r="E9" s="146"/>
      <c r="F9" s="144"/>
    </row>
    <row r="10" spans="1:6" x14ac:dyDescent="0.25">
      <c r="B10" s="20" t="str">
        <f>IF(ISBLANK('Dados do Projeto'!$C$18),"",'Dados do Projeto'!$C$18)</f>
        <v>Jaqueline Talita Winckes</v>
      </c>
      <c r="C10" s="145">
        <f>IF(EXACT(B10,""),"",COUNTIFS($D$18:$D$45,Parâmetros!$F$3,$C$18:$C$45,Parâmetros!$E$2)+ COUNTIFS($D$18:$D$45,Parâmetros!$F$3,$C$18:$C$45,Parâmetros!$E$4))</f>
        <v>0</v>
      </c>
      <c r="D10" s="13" t="str">
        <f>IF(EXACT(C10,""),"",IF(C10&gt;0,Parâmetros!$G$3,Parâmetros!$G$2))</f>
        <v>Aprovado</v>
      </c>
      <c r="E10" s="146"/>
      <c r="F10" s="144"/>
    </row>
    <row r="11" spans="1:6" x14ac:dyDescent="0.25">
      <c r="B11" s="20" t="str">
        <f>IF(ISBLANK('Dados do Projeto'!$C$19),"",'Dados do Projeto'!$C$19)</f>
        <v>Paulo Henrique Ferreira de Lima</v>
      </c>
      <c r="C11" s="145">
        <f>IF(EXACT(B11,""),"",COUNTIFS($D$18:$D$45,Parâmetros!$F$3,$C$18:$C$45,Parâmetros!$E$2)+ COUNTIFS($D$18:$D$45,Parâmetros!$F$3,$C$18:$C$45,Parâmetros!$E$5))</f>
        <v>0</v>
      </c>
      <c r="D11" s="13" t="str">
        <f>IF(EXACT(C11,""),"",IF(C11&gt;0,Parâmetros!$G$3,Parâmetros!$G$2))</f>
        <v>Aprovado</v>
      </c>
      <c r="E11" s="146"/>
      <c r="F11" s="144"/>
    </row>
    <row r="14" spans="1:6" x14ac:dyDescent="0.25">
      <c r="A14" s="11" t="s">
        <v>263</v>
      </c>
    </row>
    <row r="17" spans="2:5" x14ac:dyDescent="0.25">
      <c r="B17" s="133" t="s">
        <v>264</v>
      </c>
      <c r="C17" s="133" t="s">
        <v>261</v>
      </c>
      <c r="D17" s="133" t="s">
        <v>266</v>
      </c>
      <c r="E17" s="133" t="s">
        <v>269</v>
      </c>
    </row>
    <row r="18" spans="2:5" x14ac:dyDescent="0.25">
      <c r="B18" s="105"/>
      <c r="C18" s="105"/>
      <c r="D18" s="105"/>
      <c r="E18" s="105"/>
    </row>
    <row r="19" spans="2:5" x14ac:dyDescent="0.25">
      <c r="B19" s="105"/>
      <c r="C19" s="105"/>
      <c r="D19" s="105"/>
      <c r="E19" s="105"/>
    </row>
    <row r="20" spans="2:5" x14ac:dyDescent="0.25">
      <c r="B20" s="105"/>
      <c r="C20" s="105"/>
      <c r="D20" s="105"/>
      <c r="E20" s="105"/>
    </row>
    <row r="21" spans="2:5" x14ac:dyDescent="0.25">
      <c r="B21" s="105"/>
      <c r="C21" s="105"/>
      <c r="D21" s="105"/>
      <c r="E21" s="105"/>
    </row>
    <row r="22" spans="2:5" x14ac:dyDescent="0.25">
      <c r="B22" s="105"/>
      <c r="C22" s="105"/>
      <c r="D22" s="105"/>
      <c r="E22" s="105"/>
    </row>
    <row r="23" spans="2:5" x14ac:dyDescent="0.25">
      <c r="B23" s="105"/>
      <c r="C23" s="105"/>
      <c r="D23" s="105"/>
      <c r="E23" s="105"/>
    </row>
    <row r="24" spans="2:5" x14ac:dyDescent="0.25">
      <c r="B24" s="105"/>
      <c r="C24" s="105"/>
      <c r="D24" s="105"/>
      <c r="E24" s="105"/>
    </row>
    <row r="25" spans="2:5" x14ac:dyDescent="0.25">
      <c r="B25" s="105"/>
      <c r="C25" s="105"/>
      <c r="D25" s="105"/>
      <c r="E25" s="105"/>
    </row>
    <row r="26" spans="2:5" x14ac:dyDescent="0.25">
      <c r="B26" s="105"/>
      <c r="C26" s="105"/>
      <c r="D26" s="105"/>
      <c r="E26" s="105"/>
    </row>
    <row r="27" spans="2:5" x14ac:dyDescent="0.25">
      <c r="B27" s="105"/>
      <c r="C27" s="105"/>
      <c r="D27" s="105"/>
      <c r="E27" s="105"/>
    </row>
    <row r="28" spans="2:5" x14ac:dyDescent="0.25">
      <c r="B28" s="105"/>
      <c r="C28" s="105"/>
      <c r="D28" s="105"/>
      <c r="E28" s="105"/>
    </row>
    <row r="29" spans="2:5" x14ac:dyDescent="0.25">
      <c r="B29" s="105"/>
      <c r="C29" s="105"/>
      <c r="D29" s="105"/>
      <c r="E29" s="105"/>
    </row>
    <row r="30" spans="2:5" x14ac:dyDescent="0.25">
      <c r="B30" s="105"/>
      <c r="C30" s="105"/>
      <c r="D30" s="105"/>
      <c r="E30" s="105"/>
    </row>
    <row r="31" spans="2:5" x14ac:dyDescent="0.25">
      <c r="B31" s="105"/>
      <c r="C31" s="105"/>
      <c r="D31" s="105"/>
      <c r="E31" s="105"/>
    </row>
    <row r="32" spans="2:5" x14ac:dyDescent="0.25">
      <c r="B32" s="105"/>
      <c r="C32" s="105"/>
      <c r="D32" s="105"/>
      <c r="E32" s="105"/>
    </row>
    <row r="33" spans="2:5" x14ac:dyDescent="0.25">
      <c r="B33" s="105"/>
      <c r="C33" s="105"/>
      <c r="D33" s="105"/>
      <c r="E33" s="105"/>
    </row>
    <row r="34" spans="2:5" x14ac:dyDescent="0.25">
      <c r="B34" s="105"/>
      <c r="C34" s="105"/>
      <c r="D34" s="105"/>
      <c r="E34" s="105"/>
    </row>
    <row r="35" spans="2:5" x14ac:dyDescent="0.25">
      <c r="B35" s="105"/>
      <c r="C35" s="105"/>
      <c r="D35" s="105"/>
      <c r="E35" s="105"/>
    </row>
    <row r="36" spans="2:5" x14ac:dyDescent="0.25">
      <c r="B36" s="105"/>
      <c r="C36" s="105"/>
      <c r="D36" s="105"/>
      <c r="E36" s="105"/>
    </row>
    <row r="37" spans="2:5" x14ac:dyDescent="0.25">
      <c r="B37" s="105"/>
      <c r="C37" s="105"/>
      <c r="D37" s="105"/>
      <c r="E37" s="105"/>
    </row>
    <row r="38" spans="2:5" x14ac:dyDescent="0.25">
      <c r="B38" s="105"/>
      <c r="C38" s="105"/>
      <c r="D38" s="105"/>
      <c r="E38" s="105"/>
    </row>
    <row r="39" spans="2:5" x14ac:dyDescent="0.25">
      <c r="B39" s="105"/>
      <c r="C39" s="105"/>
      <c r="D39" s="105"/>
      <c r="E39" s="105"/>
    </row>
    <row r="40" spans="2:5" x14ac:dyDescent="0.25">
      <c r="B40" s="105"/>
      <c r="C40" s="105"/>
      <c r="D40" s="105"/>
      <c r="E40" s="105"/>
    </row>
    <row r="41" spans="2:5" x14ac:dyDescent="0.25">
      <c r="B41" s="105"/>
      <c r="C41" s="105"/>
      <c r="D41" s="105"/>
      <c r="E41" s="105"/>
    </row>
    <row r="42" spans="2:5" x14ac:dyDescent="0.25">
      <c r="B42" s="105"/>
      <c r="C42" s="105"/>
      <c r="D42" s="105"/>
      <c r="E42" s="105"/>
    </row>
    <row r="43" spans="2:5" x14ac:dyDescent="0.25">
      <c r="B43" s="105"/>
      <c r="C43" s="105"/>
      <c r="D43" s="105"/>
      <c r="E43" s="105"/>
    </row>
    <row r="44" spans="2:5" x14ac:dyDescent="0.25">
      <c r="B44" s="105"/>
      <c r="C44" s="105"/>
      <c r="D44" s="105"/>
      <c r="E44" s="105"/>
    </row>
    <row r="45" spans="2:5" x14ac:dyDescent="0.25">
      <c r="B45" s="105"/>
      <c r="C45" s="105"/>
      <c r="D45" s="105"/>
      <c r="E45" s="105"/>
    </row>
  </sheetData>
  <sheetProtection password="8352" sheet="1" objects="1" scenarios="1"/>
  <protectedRanges>
    <protectedRange sqref="E9:F11 B18:E45" name="Final"/>
  </protectedRanges>
  <conditionalFormatting sqref="D9:D11">
    <cfRule type="cellIs" dxfId="3" priority="1" operator="equal">
      <formula>$D$2</formula>
    </cfRule>
    <cfRule type="cellIs" dxfId="2" priority="2" operator="equal">
      <formula>$D$1</formula>
    </cfRule>
  </conditionalFormatting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Parâmetros!$F$2:$F$3</xm:f>
          </x14:formula1>
          <xm:sqref>D18:D45</xm:sqref>
        </x14:dataValidation>
        <x14:dataValidation type="list" allowBlank="1" showInputMessage="1" showErrorMessage="1">
          <x14:formula1>
            <xm:f>Parâmetros!$E$2:$E$5</xm:f>
          </x14:formula1>
          <xm:sqref>C18:C45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G51"/>
  <sheetViews>
    <sheetView topLeftCell="A2" zoomScale="80" zoomScaleNormal="80" workbookViewId="0">
      <selection activeCell="D13" sqref="D13"/>
    </sheetView>
  </sheetViews>
  <sheetFormatPr defaultRowHeight="15" x14ac:dyDescent="0.25"/>
  <cols>
    <col min="1" max="1" width="9.140625" style="1"/>
    <col min="2" max="2" width="10.28515625" style="1" customWidth="1"/>
    <col min="3" max="3" width="52.85546875" style="1" customWidth="1"/>
    <col min="4" max="4" width="19.7109375" style="1" customWidth="1"/>
    <col min="5" max="5" width="21.42578125" style="1" customWidth="1"/>
    <col min="6" max="6" width="17.85546875" style="1" customWidth="1"/>
    <col min="7" max="7" width="42.85546875" style="1" customWidth="1"/>
    <col min="8" max="16384" width="9.140625" style="1"/>
  </cols>
  <sheetData>
    <row r="6" spans="1:7" x14ac:dyDescent="0.25">
      <c r="A6" s="11" t="s">
        <v>314</v>
      </c>
    </row>
    <row r="8" spans="1:7" ht="25.5" x14ac:dyDescent="0.25">
      <c r="C8" s="133" t="s">
        <v>91</v>
      </c>
      <c r="D8" s="149" t="s">
        <v>259</v>
      </c>
      <c r="E8" s="149" t="s">
        <v>230</v>
      </c>
      <c r="F8" s="191" t="s">
        <v>260</v>
      </c>
      <c r="G8" s="192"/>
    </row>
    <row r="9" spans="1:7" x14ac:dyDescent="0.25">
      <c r="C9" s="20" t="str">
        <f>IF(ISBLANK('Dados do Projeto'!$C$17),"",'Dados do Projeto'!$C$17)</f>
        <v>Luiz Fernando Nascimento da Cruz</v>
      </c>
      <c r="D9" s="141">
        <v>1</v>
      </c>
      <c r="E9" s="142">
        <f>$E$19*D9</f>
        <v>0</v>
      </c>
      <c r="F9" s="260"/>
      <c r="G9" s="260"/>
    </row>
    <row r="10" spans="1:7" x14ac:dyDescent="0.25">
      <c r="C10" s="20" t="str">
        <f>IF(ISBLANK('Dados do Projeto'!$C$18),"",'Dados do Projeto'!$C$18)</f>
        <v>Jaqueline Talita Winckes</v>
      </c>
      <c r="D10" s="141">
        <v>1</v>
      </c>
      <c r="E10" s="142">
        <f>$E$19*D10</f>
        <v>0</v>
      </c>
      <c r="F10" s="260"/>
      <c r="G10" s="260"/>
    </row>
    <row r="11" spans="1:7" x14ac:dyDescent="0.25">
      <c r="C11" s="20" t="str">
        <f>IF(ISBLANK('Dados do Projeto'!$C$19),"",'Dados do Projeto'!$C$19)</f>
        <v>Paulo Henrique Ferreira de Lima</v>
      </c>
      <c r="D11" s="141">
        <v>1</v>
      </c>
      <c r="E11" s="142">
        <f>$E$19*D11</f>
        <v>0</v>
      </c>
      <c r="F11" s="260"/>
      <c r="G11" s="260"/>
    </row>
    <row r="14" spans="1:7" x14ac:dyDescent="0.25">
      <c r="C14" s="149" t="s">
        <v>239</v>
      </c>
      <c r="D14" s="149" t="s">
        <v>15</v>
      </c>
      <c r="E14" s="149" t="s">
        <v>230</v>
      </c>
      <c r="F14" s="133" t="s">
        <v>231</v>
      </c>
    </row>
    <row r="15" spans="1:7" x14ac:dyDescent="0.25">
      <c r="C15" s="131" t="str">
        <f>B25</f>
        <v>Banca Protótipo - Manual do Sistema</v>
      </c>
      <c r="D15" s="95">
        <v>0.05</v>
      </c>
      <c r="E15" s="134">
        <f>E28</f>
        <v>0</v>
      </c>
      <c r="F15" s="137">
        <f>D15*E15</f>
        <v>0</v>
      </c>
    </row>
    <row r="16" spans="1:7" x14ac:dyDescent="0.25">
      <c r="C16" s="129" t="str">
        <f>B33</f>
        <v>Banca Protótipo - Apresentação da Equipe</v>
      </c>
      <c r="D16" s="79">
        <v>0.1</v>
      </c>
      <c r="E16" s="135">
        <f>E40</f>
        <v>0</v>
      </c>
      <c r="F16" s="138">
        <f>D16*E16</f>
        <v>0</v>
      </c>
    </row>
    <row r="17" spans="1:7" x14ac:dyDescent="0.25">
      <c r="C17" s="130" t="str">
        <f>B44</f>
        <v>Banca Protótipo - Conteúdo Técnico</v>
      </c>
      <c r="D17" s="89">
        <v>0.85</v>
      </c>
      <c r="E17" s="136">
        <f>E51</f>
        <v>0</v>
      </c>
      <c r="F17" s="139">
        <f>D17*E17</f>
        <v>0</v>
      </c>
    </row>
    <row r="18" spans="1:7" x14ac:dyDescent="0.25">
      <c r="F18" s="165">
        <f>SUM(F15:F17)</f>
        <v>0</v>
      </c>
    </row>
    <row r="19" spans="1:7" x14ac:dyDescent="0.25">
      <c r="D19" s="100" t="s">
        <v>326</v>
      </c>
      <c r="E19" s="119">
        <f>IF(F18 - (F18*10%*F20)&lt;0,0,(F18- (F18*10%*F20)))</f>
        <v>0</v>
      </c>
    </row>
    <row r="20" spans="1:7" x14ac:dyDescent="0.25">
      <c r="D20" s="164" t="s">
        <v>310</v>
      </c>
      <c r="E20" s="173">
        <v>0</v>
      </c>
      <c r="F20" s="104">
        <f>IF(EXACT(E21,Parâmetros!$H$2),E20,E20+1)</f>
        <v>1</v>
      </c>
    </row>
    <row r="21" spans="1:7" x14ac:dyDescent="0.25">
      <c r="D21" s="164" t="s">
        <v>333</v>
      </c>
      <c r="E21" s="173" t="s">
        <v>332</v>
      </c>
    </row>
    <row r="23" spans="1:7" x14ac:dyDescent="0.25">
      <c r="A23" s="11" t="s">
        <v>256</v>
      </c>
    </row>
    <row r="25" spans="1:7" ht="20.25" x14ac:dyDescent="0.25">
      <c r="B25" s="239" t="str">
        <f>Entregáveis!B129</f>
        <v>Banca Protótipo - Manual do Sistema</v>
      </c>
      <c r="C25" s="240"/>
      <c r="D25" s="149" t="s">
        <v>15</v>
      </c>
      <c r="E25" s="149" t="s">
        <v>253</v>
      </c>
      <c r="F25" s="149" t="s">
        <v>253</v>
      </c>
      <c r="G25" s="149" t="s">
        <v>254</v>
      </c>
    </row>
    <row r="26" spans="1:7" x14ac:dyDescent="0.25">
      <c r="B26" s="99"/>
      <c r="C26" s="94" t="str">
        <f>Entregáveis!C130</f>
        <v>Realização de Todas as Correções Solicitadas na Banca Lógica</v>
      </c>
      <c r="D26" s="166">
        <f>Entregáveis!D130</f>
        <v>1</v>
      </c>
      <c r="E26" s="105"/>
      <c r="F26" s="101">
        <f>IF(ISBLANK(E26),0,VLOOKUP($E26,Parâmetros!$C$2:$D$6,2,FALSE)*D26)</f>
        <v>0</v>
      </c>
      <c r="G26" s="144"/>
    </row>
    <row r="28" spans="1:7" x14ac:dyDescent="0.25">
      <c r="D28" s="100" t="s">
        <v>255</v>
      </c>
      <c r="E28" s="109">
        <f>((SUM(F26:F26))*10)</f>
        <v>0</v>
      </c>
    </row>
    <row r="31" spans="1:7" x14ac:dyDescent="0.25">
      <c r="A31" s="11" t="s">
        <v>257</v>
      </c>
    </row>
    <row r="33" spans="1:7" ht="20.25" x14ac:dyDescent="0.25">
      <c r="B33" s="258" t="str">
        <f>Entregáveis!B134</f>
        <v>Banca Protótipo - Apresentação da Equipe</v>
      </c>
      <c r="C33" s="259"/>
      <c r="D33" s="133" t="s">
        <v>15</v>
      </c>
      <c r="E33" s="149" t="s">
        <v>253</v>
      </c>
      <c r="F33" s="149" t="s">
        <v>253</v>
      </c>
      <c r="G33" s="149" t="s">
        <v>254</v>
      </c>
    </row>
    <row r="34" spans="1:7" x14ac:dyDescent="0.25">
      <c r="B34" s="90"/>
      <c r="C34" s="81" t="str">
        <f>Entregáveis!C135</f>
        <v>Desenvoltura Oral</v>
      </c>
      <c r="D34" s="97">
        <f>Entregáveis!D135</f>
        <v>0.2</v>
      </c>
      <c r="E34" s="132"/>
      <c r="F34" s="101">
        <f>IF(ISBLANK(E34),0,VLOOKUP($E34,Parâmetros!$C$2:$D$6,2,FALSE)*D34)</f>
        <v>0</v>
      </c>
      <c r="G34" s="144"/>
    </row>
    <row r="35" spans="1:7" x14ac:dyDescent="0.25">
      <c r="B35" s="82"/>
      <c r="C35" s="83" t="str">
        <f>Entregáveis!C136</f>
        <v>Recursos Utilizados na Apresentação</v>
      </c>
      <c r="D35" s="96">
        <f>Entregáveis!D136</f>
        <v>0.1</v>
      </c>
      <c r="E35" s="132"/>
      <c r="F35" s="101">
        <f>IF(ISBLANK(E35),0,VLOOKUP($E35,Parâmetros!$C$2:$D$6,2,FALSE)*D35)</f>
        <v>0</v>
      </c>
      <c r="G35" s="144"/>
    </row>
    <row r="36" spans="1:7" x14ac:dyDescent="0.25">
      <c r="B36" s="82"/>
      <c r="C36" s="83" t="str">
        <f>Entregáveis!C137</f>
        <v>Clareza na Explanação do Assunto</v>
      </c>
      <c r="D36" s="96">
        <f>Entregáveis!D137</f>
        <v>0.1</v>
      </c>
      <c r="E36" s="132"/>
      <c r="F36" s="101">
        <f>IF(ISBLANK(E36),0,VLOOKUP($E36,Parâmetros!$C$2:$D$6,2,FALSE)*D36)</f>
        <v>0</v>
      </c>
      <c r="G36" s="144"/>
    </row>
    <row r="37" spans="1:7" x14ac:dyDescent="0.25">
      <c r="B37" s="82"/>
      <c r="C37" s="83" t="str">
        <f>Entregáveis!C138</f>
        <v>Domínio do Assunto</v>
      </c>
      <c r="D37" s="96">
        <f>Entregáveis!D138</f>
        <v>0.5</v>
      </c>
      <c r="E37" s="132"/>
      <c r="F37" s="101">
        <f>IF(ISBLANK(E37),0,VLOOKUP($E37,Parâmetros!$C$2:$D$6,2,FALSE)*D37)</f>
        <v>0</v>
      </c>
      <c r="G37" s="144"/>
    </row>
    <row r="38" spans="1:7" x14ac:dyDescent="0.25">
      <c r="B38" s="84"/>
      <c r="C38" s="85" t="str">
        <f>Entregáveis!C139</f>
        <v>Conformidade com o Tempo disponível para Apresentação</v>
      </c>
      <c r="D38" s="98">
        <f>Entregáveis!D139</f>
        <v>0.1</v>
      </c>
      <c r="E38" s="132"/>
      <c r="F38" s="101">
        <f>IF(ISBLANK(E38),0,VLOOKUP($E38,Parâmetros!$C$2:$D$6,2,FALSE)*D38)</f>
        <v>0</v>
      </c>
      <c r="G38" s="144"/>
    </row>
    <row r="40" spans="1:7" x14ac:dyDescent="0.25">
      <c r="D40" s="100" t="s">
        <v>315</v>
      </c>
      <c r="E40" s="109">
        <f>((SUM(F34:F38))*10)</f>
        <v>0</v>
      </c>
    </row>
    <row r="41" spans="1:7" x14ac:dyDescent="0.25">
      <c r="D41" s="100"/>
      <c r="E41" s="140"/>
    </row>
    <row r="42" spans="1:7" x14ac:dyDescent="0.25">
      <c r="A42" s="11" t="s">
        <v>258</v>
      </c>
      <c r="D42" s="100"/>
      <c r="E42" s="140"/>
    </row>
    <row r="44" spans="1:7" ht="20.25" x14ac:dyDescent="0.25">
      <c r="B44" s="258" t="str">
        <f>Entregáveis!B143</f>
        <v>Banca Protótipo - Conteúdo Técnico</v>
      </c>
      <c r="C44" s="259"/>
      <c r="D44" s="133" t="s">
        <v>15</v>
      </c>
      <c r="E44" s="149" t="s">
        <v>253</v>
      </c>
      <c r="F44" s="149" t="s">
        <v>253</v>
      </c>
      <c r="G44" s="149" t="s">
        <v>254</v>
      </c>
    </row>
    <row r="45" spans="1:7" x14ac:dyDescent="0.25">
      <c r="B45" s="90"/>
      <c r="C45" s="81" t="str">
        <f>Entregáveis!C144</f>
        <v>Funcionalidade Implementada Indicada pelo Orientador</v>
      </c>
      <c r="D45" s="97">
        <f>Entregáveis!D144</f>
        <v>0.2</v>
      </c>
      <c r="E45" s="132"/>
      <c r="F45" s="101">
        <f>IF(ISBLANK(E45),0,VLOOKUP($E45,Parâmetros!$C$2:$D$6,2,FALSE)*D45)</f>
        <v>0</v>
      </c>
      <c r="G45" s="144"/>
    </row>
    <row r="46" spans="1:7" x14ac:dyDescent="0.25">
      <c r="B46" s="82"/>
      <c r="C46" s="83" t="str">
        <f>Entregáveis!C145</f>
        <v>Interface com o Usuário Final</v>
      </c>
      <c r="D46" s="96">
        <f>Entregáveis!D145</f>
        <v>0.1</v>
      </c>
      <c r="E46" s="132"/>
      <c r="F46" s="101">
        <f>IF(ISBLANK(E46),0,VLOOKUP($E46,Parâmetros!$C$2:$D$6,2,FALSE)*D46)</f>
        <v>0</v>
      </c>
      <c r="G46" s="144"/>
    </row>
    <row r="47" spans="1:7" x14ac:dyDescent="0.25">
      <c r="B47" s="82"/>
      <c r="C47" s="83" t="str">
        <f>Entregáveis!C146</f>
        <v>O protótipo é navegável</v>
      </c>
      <c r="D47" s="96">
        <f>Entregáveis!D146</f>
        <v>0.05</v>
      </c>
      <c r="E47" s="132"/>
      <c r="F47" s="101">
        <f>IF(ISBLANK(E47),0,VLOOKUP($E47,Parâmetros!$C$2:$D$6,2,FALSE)*D47)</f>
        <v>0</v>
      </c>
      <c r="G47" s="144"/>
    </row>
    <row r="48" spans="1:7" x14ac:dyDescent="0.25">
      <c r="B48" s="82"/>
      <c r="C48" s="83" t="str">
        <f>Entregáveis!C147</f>
        <v>Conformidade entre o escopo da proposta e o escopo do Protótipo</v>
      </c>
      <c r="D48" s="96">
        <f>Entregáveis!D147</f>
        <v>0.15</v>
      </c>
      <c r="E48" s="132"/>
      <c r="F48" s="101">
        <f>IF(ISBLANK(E48),0,VLOOKUP($E48,Parâmetros!$C$2:$D$6,2,FALSE)*D48)</f>
        <v>0</v>
      </c>
      <c r="G48" s="144"/>
    </row>
    <row r="49" spans="2:7" x14ac:dyDescent="0.25">
      <c r="B49" s="84"/>
      <c r="C49" s="85" t="str">
        <f>Entregáveis!C148</f>
        <v>Todos os Casos de Uso Estão Prototipados, Inclusive Relatórios</v>
      </c>
      <c r="D49" s="98">
        <f>Entregáveis!D148</f>
        <v>0.5</v>
      </c>
      <c r="E49" s="132"/>
      <c r="F49" s="101">
        <f>IF(ISBLANK(E49),0,VLOOKUP($E49,Parâmetros!$C$2:$D$6,2,FALSE)*D49)</f>
        <v>0</v>
      </c>
      <c r="G49" s="144"/>
    </row>
    <row r="51" spans="2:7" x14ac:dyDescent="0.25">
      <c r="D51" s="100" t="s">
        <v>316</v>
      </c>
      <c r="E51" s="109">
        <f>((SUM(F45:F49))*10)</f>
        <v>0</v>
      </c>
    </row>
  </sheetData>
  <sheetProtection password="8352" sheet="1" objects="1" scenarios="1"/>
  <protectedRanges>
    <protectedRange sqref="D9:D11 F9:G11 G26 G45:G49 E34:E38 G34:G38 E45:E49 E26" name="Banca Lógica"/>
    <protectedRange sqref="E20:E21" name="Avaliação_1_1"/>
  </protectedRanges>
  <mergeCells count="7">
    <mergeCell ref="B44:C44"/>
    <mergeCell ref="F8:G8"/>
    <mergeCell ref="F9:G9"/>
    <mergeCell ref="F10:G10"/>
    <mergeCell ref="F11:G11"/>
    <mergeCell ref="B25:C25"/>
    <mergeCell ref="B33:C33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Parâmetros!$C$2:$C$6</xm:f>
          </x14:formula1>
          <xm:sqref>E45:E49 E34:E38 E26</xm:sqref>
        </x14:dataValidation>
        <x14:dataValidation type="list" allowBlank="1" showInputMessage="1" showErrorMessage="1">
          <x14:formula1>
            <xm:f>Parâmetros!$H$2:$H$3</xm:f>
          </x14:formula1>
          <xm:sqref>E21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G115"/>
  <sheetViews>
    <sheetView zoomScale="80" zoomScaleNormal="80" workbookViewId="0">
      <selection activeCell="D31" sqref="D31"/>
    </sheetView>
  </sheetViews>
  <sheetFormatPr defaultRowHeight="15" x14ac:dyDescent="0.25"/>
  <cols>
    <col min="1" max="1" width="9.140625" style="1"/>
    <col min="2" max="2" width="8.140625" style="1" customWidth="1"/>
    <col min="3" max="3" width="63.140625" style="1" customWidth="1"/>
    <col min="4" max="4" width="16.7109375" style="1" customWidth="1"/>
    <col min="5" max="5" width="16.28515625" style="1" customWidth="1"/>
    <col min="6" max="6" width="18.42578125" style="1" customWidth="1"/>
    <col min="7" max="7" width="50.5703125" style="1" customWidth="1"/>
    <col min="8" max="8" width="20.5703125" style="1" customWidth="1"/>
    <col min="9" max="9" width="23.5703125" style="1" customWidth="1"/>
    <col min="10" max="16384" width="9.140625" style="1"/>
  </cols>
  <sheetData>
    <row r="6" spans="1:4" x14ac:dyDescent="0.25">
      <c r="A6" s="11" t="s">
        <v>322</v>
      </c>
    </row>
    <row r="8" spans="1:4" ht="25.5" x14ac:dyDescent="0.25">
      <c r="B8" s="256" t="s">
        <v>25</v>
      </c>
      <c r="C8" s="257"/>
      <c r="D8" s="133" t="s">
        <v>230</v>
      </c>
    </row>
    <row r="9" spans="1:4" x14ac:dyDescent="0.25">
      <c r="A9" s="104">
        <f t="shared" ref="A9:A17" si="0">IF(AND(EXACT(B9,""),D9=0),0,1)</f>
        <v>0</v>
      </c>
      <c r="B9" s="121" t="str">
        <f>IF(ISBLANK(B37),"",B37)</f>
        <v/>
      </c>
      <c r="C9" s="110"/>
      <c r="D9" s="124">
        <f>IF(ISBLANK(B37),0,D43)</f>
        <v>0</v>
      </c>
    </row>
    <row r="10" spans="1:4" x14ac:dyDescent="0.25">
      <c r="A10" s="104">
        <f t="shared" si="0"/>
        <v>0</v>
      </c>
      <c r="B10" s="122" t="str">
        <f>IF(ISBLANK(B45),"",B45)</f>
        <v/>
      </c>
      <c r="C10" s="113"/>
      <c r="D10" s="125">
        <f>IF(ISBLANK(B45),0,D51)</f>
        <v>0</v>
      </c>
    </row>
    <row r="11" spans="1:4" x14ac:dyDescent="0.25">
      <c r="A11" s="104">
        <f t="shared" si="0"/>
        <v>0</v>
      </c>
      <c r="B11" s="122" t="str">
        <f>IF(ISBLANK(B53),"",B53)</f>
        <v/>
      </c>
      <c r="C11" s="113"/>
      <c r="D11" s="125">
        <f>IF(ISBLANK(B53),0,D59)</f>
        <v>0</v>
      </c>
    </row>
    <row r="12" spans="1:4" x14ac:dyDescent="0.25">
      <c r="A12" s="104">
        <f t="shared" si="0"/>
        <v>0</v>
      </c>
      <c r="B12" s="122" t="str">
        <f>IF(ISBLANK(B61),"",B61)</f>
        <v/>
      </c>
      <c r="C12" s="113"/>
      <c r="D12" s="125">
        <f>IF(ISBLANK(B61),0,D67)</f>
        <v>0</v>
      </c>
    </row>
    <row r="13" spans="1:4" x14ac:dyDescent="0.25">
      <c r="A13" s="104">
        <f t="shared" si="0"/>
        <v>0</v>
      </c>
      <c r="B13" s="122" t="str">
        <f>IF(ISBLANK(B69),"",B69)</f>
        <v/>
      </c>
      <c r="C13" s="113"/>
      <c r="D13" s="125">
        <f>IF(ISBLANK(B69),0,D75)</f>
        <v>0</v>
      </c>
    </row>
    <row r="14" spans="1:4" x14ac:dyDescent="0.25">
      <c r="A14" s="104">
        <f t="shared" si="0"/>
        <v>0</v>
      </c>
      <c r="B14" s="122" t="str">
        <f>IF(ISBLANK(B77),"",B77)</f>
        <v/>
      </c>
      <c r="C14" s="113"/>
      <c r="D14" s="125">
        <f>IF(ISBLANK(B77),0,D83)</f>
        <v>0</v>
      </c>
    </row>
    <row r="15" spans="1:4" x14ac:dyDescent="0.25">
      <c r="A15" s="104">
        <f t="shared" si="0"/>
        <v>0</v>
      </c>
      <c r="B15" s="122" t="str">
        <f>IF(ISBLANK(B85),"",B85)</f>
        <v/>
      </c>
      <c r="C15" s="113"/>
      <c r="D15" s="125">
        <f>IF(ISBLANK(B85),0,D91)</f>
        <v>0</v>
      </c>
    </row>
    <row r="16" spans="1:4" x14ac:dyDescent="0.25">
      <c r="A16" s="104">
        <f t="shared" si="0"/>
        <v>0</v>
      </c>
      <c r="B16" s="122" t="str">
        <f>IF(ISBLANK(B93),"",B93)</f>
        <v/>
      </c>
      <c r="C16" s="113"/>
      <c r="D16" s="125">
        <f>IF(ISBLANK(B93),0,D99)</f>
        <v>0</v>
      </c>
    </row>
    <row r="17" spans="1:5" x14ac:dyDescent="0.25">
      <c r="A17" s="104">
        <f t="shared" si="0"/>
        <v>0</v>
      </c>
      <c r="B17" s="122" t="str">
        <f>IF(ISBLANK(B101),"",B101)</f>
        <v/>
      </c>
      <c r="C17" s="113"/>
      <c r="D17" s="125">
        <f>IF(ISBLANK(B101),0,D107)</f>
        <v>0</v>
      </c>
    </row>
    <row r="18" spans="1:5" x14ac:dyDescent="0.25">
      <c r="A18" s="104">
        <f>IF(AND(EXACT(B18,""),D18=0),0,1)</f>
        <v>0</v>
      </c>
      <c r="B18" s="122" t="str">
        <f>IF(ISBLANK(B109),"",B109)</f>
        <v/>
      </c>
      <c r="C18" s="113"/>
      <c r="D18" s="125">
        <f>IF(ISBLANK(B109),0,D115)</f>
        <v>0</v>
      </c>
    </row>
    <row r="19" spans="1:5" x14ac:dyDescent="0.25">
      <c r="A19" s="104">
        <f t="shared" ref="A19:A28" si="1">IF(AND(EXACT(B19,""),D19=0),0,1)</f>
        <v>0</v>
      </c>
      <c r="B19" s="122" t="str">
        <f>IF(ISBLANK(B117),"",B117)</f>
        <v/>
      </c>
      <c r="C19" s="113"/>
      <c r="D19" s="125">
        <f>IF(ISBLANK(B117),0,D123)</f>
        <v>0</v>
      </c>
    </row>
    <row r="20" spans="1:5" x14ac:dyDescent="0.25">
      <c r="A20" s="104">
        <f t="shared" si="1"/>
        <v>0</v>
      </c>
      <c r="B20" s="122" t="str">
        <f>IF(ISBLANK(B125),"",B125)</f>
        <v/>
      </c>
      <c r="C20" s="113"/>
      <c r="D20" s="125">
        <f>IF(ISBLANK(B125),0,D131)</f>
        <v>0</v>
      </c>
    </row>
    <row r="21" spans="1:5" x14ac:dyDescent="0.25">
      <c r="A21" s="104">
        <f t="shared" si="1"/>
        <v>0</v>
      </c>
      <c r="B21" s="122" t="str">
        <f>IF(ISBLANK(B133),"",B133)</f>
        <v/>
      </c>
      <c r="C21" s="113"/>
      <c r="D21" s="125">
        <f>IF(ISBLANK(B133),0,D139)</f>
        <v>0</v>
      </c>
    </row>
    <row r="22" spans="1:5" x14ac:dyDescent="0.25">
      <c r="A22" s="104">
        <f t="shared" si="1"/>
        <v>0</v>
      </c>
      <c r="B22" s="122" t="str">
        <f>IF(ISBLANK(B141),"",B141)</f>
        <v/>
      </c>
      <c r="C22" s="113"/>
      <c r="D22" s="125">
        <f>IF(ISBLANK(B141),0,D147)</f>
        <v>0</v>
      </c>
    </row>
    <row r="23" spans="1:5" x14ac:dyDescent="0.25">
      <c r="A23" s="104">
        <f t="shared" si="1"/>
        <v>0</v>
      </c>
      <c r="B23" s="122" t="str">
        <f>IF(ISBLANK(B149),"",B149)</f>
        <v/>
      </c>
      <c r="C23" s="113"/>
      <c r="D23" s="125">
        <f>IF(ISBLANK(B149),0,D155)</f>
        <v>0</v>
      </c>
    </row>
    <row r="24" spans="1:5" x14ac:dyDescent="0.25">
      <c r="A24" s="104">
        <f t="shared" si="1"/>
        <v>0</v>
      </c>
      <c r="B24" s="122" t="str">
        <f>IF(ISBLANK(B157),"",B157)</f>
        <v/>
      </c>
      <c r="C24" s="113"/>
      <c r="D24" s="125">
        <f>IF(ISBLANK(B157),0,D163)</f>
        <v>0</v>
      </c>
    </row>
    <row r="25" spans="1:5" x14ac:dyDescent="0.25">
      <c r="A25" s="104">
        <f t="shared" si="1"/>
        <v>0</v>
      </c>
      <c r="B25" s="122" t="str">
        <f>IF(ISBLANK(B165),"",B165)</f>
        <v/>
      </c>
      <c r="C25" s="113"/>
      <c r="D25" s="125">
        <f>IF(ISBLANK(B165),0,D171)</f>
        <v>0</v>
      </c>
    </row>
    <row r="26" spans="1:5" x14ac:dyDescent="0.25">
      <c r="A26" s="104">
        <f t="shared" si="1"/>
        <v>0</v>
      </c>
      <c r="B26" s="122" t="str">
        <f>IF(ISBLANK(B173),"",B173)</f>
        <v/>
      </c>
      <c r="C26" s="113"/>
      <c r="D26" s="125">
        <f>IF(ISBLANK(B173),0,D179)</f>
        <v>0</v>
      </c>
    </row>
    <row r="27" spans="1:5" x14ac:dyDescent="0.25">
      <c r="A27" s="104">
        <f t="shared" si="1"/>
        <v>0</v>
      </c>
      <c r="B27" s="122" t="str">
        <f>IF(ISBLANK(B181),"",B181)</f>
        <v/>
      </c>
      <c r="C27" s="113"/>
      <c r="D27" s="125">
        <f>IF(ISBLANK(B181),0,D187)</f>
        <v>0</v>
      </c>
    </row>
    <row r="28" spans="1:5" x14ac:dyDescent="0.25">
      <c r="A28" s="104">
        <f t="shared" si="1"/>
        <v>0</v>
      </c>
      <c r="B28" s="123" t="str">
        <f>IF(ISBLANK(B189),"",B189)</f>
        <v/>
      </c>
      <c r="C28" s="116"/>
      <c r="D28" s="126">
        <f>IF(ISBLANK(B189),0,D195)</f>
        <v>0</v>
      </c>
    </row>
    <row r="29" spans="1:5" x14ac:dyDescent="0.25">
      <c r="D29" s="104">
        <f>IF(SUM(A9:A28)=0,0,SUM(D9:D28)/SUM(A9:A28))</f>
        <v>0</v>
      </c>
    </row>
    <row r="30" spans="1:5" x14ac:dyDescent="0.25">
      <c r="C30" s="100" t="s">
        <v>237</v>
      </c>
      <c r="D30" s="172">
        <f>IF(D29 - (D29*10%*E31)&lt;0,0,(D29- (D29*10%*E31)))</f>
        <v>0</v>
      </c>
    </row>
    <row r="31" spans="1:5" x14ac:dyDescent="0.25">
      <c r="C31" s="164" t="s">
        <v>310</v>
      </c>
      <c r="D31" s="173">
        <v>0</v>
      </c>
      <c r="E31" s="104">
        <f>IF(EXACT(D32,Parâmetros!$H$2),D31,D31+1)</f>
        <v>1</v>
      </c>
    </row>
    <row r="32" spans="1:5" x14ac:dyDescent="0.25">
      <c r="C32" s="164" t="s">
        <v>333</v>
      </c>
      <c r="D32" s="173" t="s">
        <v>332</v>
      </c>
    </row>
    <row r="34" spans="1:7" x14ac:dyDescent="0.25">
      <c r="A34" s="11" t="s">
        <v>236</v>
      </c>
    </row>
    <row r="37" spans="1:7" ht="21" x14ac:dyDescent="0.3">
      <c r="A37" s="120" t="s">
        <v>234</v>
      </c>
      <c r="B37" s="253"/>
      <c r="C37" s="255"/>
      <c r="D37" s="133" t="s">
        <v>15</v>
      </c>
      <c r="E37" s="149" t="s">
        <v>213</v>
      </c>
      <c r="F37" s="149" t="s">
        <v>213</v>
      </c>
      <c r="G37" s="149" t="s">
        <v>214</v>
      </c>
    </row>
    <row r="38" spans="1:7" x14ac:dyDescent="0.25">
      <c r="B38" s="90"/>
      <c r="C38" s="163" t="str">
        <f>Entregáveis!$C$153</f>
        <v>O Caso de Uso Foi Totalmente Implementado.</v>
      </c>
      <c r="D38" s="97">
        <f>Entregáveis!$D$153</f>
        <v>0.4</v>
      </c>
      <c r="E38" s="105"/>
      <c r="F38" s="101">
        <f>IF(ISBLANK(E38),,VLOOKUP($E38,Parâmetros!$C$2:$D$6,2,FALSE)*D38)</f>
        <v>0</v>
      </c>
      <c r="G38" s="144"/>
    </row>
    <row r="39" spans="1:7" x14ac:dyDescent="0.25">
      <c r="B39" s="82"/>
      <c r="C39" s="14" t="str">
        <f>Entregáveis!$C$154</f>
        <v>Não Existem Erros que Impedem a Verificação do Caso de Uso</v>
      </c>
      <c r="D39" s="96">
        <f>Entregáveis!$D$154</f>
        <v>0.3</v>
      </c>
      <c r="E39" s="105"/>
      <c r="F39" s="101">
        <f>IF(ISBLANK(E39),,VLOOKUP($E39,Parâmetros!$C$2:$D$6,2,FALSE)*D39)</f>
        <v>0</v>
      </c>
      <c r="G39" s="144"/>
    </row>
    <row r="40" spans="1:7" x14ac:dyDescent="0.25">
      <c r="B40" s="82"/>
      <c r="C40" s="14" t="str">
        <f>Entregáveis!$C$155</f>
        <v>Conformidade entre o escopo da proposta e o escopo do Caso de Uso Implementado</v>
      </c>
      <c r="D40" s="96">
        <f>Entregáveis!$D$155</f>
        <v>0.2</v>
      </c>
      <c r="E40" s="105"/>
      <c r="F40" s="101">
        <f>IF(ISBLANK(E40),,VLOOKUP($E40,Parâmetros!$C$2:$D$6,2,FALSE)*D40)</f>
        <v>0</v>
      </c>
      <c r="G40" s="144"/>
    </row>
    <row r="41" spans="1:7" x14ac:dyDescent="0.25">
      <c r="B41" s="84"/>
      <c r="C41" s="56" t="str">
        <f>Entregáveis!$C$156</f>
        <v>Os Erros Encontrados Não Impedem a Verificação do Caso de Uso</v>
      </c>
      <c r="D41" s="98">
        <f>Entregáveis!$D$156</f>
        <v>0.1</v>
      </c>
      <c r="E41" s="105"/>
      <c r="F41" s="101">
        <f>IF(ISBLANK(E41),,VLOOKUP($E41,Parâmetros!$C$2:$D$6,2,FALSE)*D41)</f>
        <v>0</v>
      </c>
      <c r="G41" s="144"/>
    </row>
    <row r="43" spans="1:7" x14ac:dyDescent="0.25">
      <c r="C43" s="100" t="s">
        <v>235</v>
      </c>
      <c r="D43" s="119">
        <f xml:space="preserve"> SUM(F38:F41)*10</f>
        <v>0</v>
      </c>
    </row>
    <row r="45" spans="1:7" ht="21" x14ac:dyDescent="0.3">
      <c r="A45" s="120" t="s">
        <v>234</v>
      </c>
      <c r="B45" s="253"/>
      <c r="C45" s="254"/>
      <c r="D45" s="149" t="s">
        <v>15</v>
      </c>
      <c r="E45" s="149" t="s">
        <v>213</v>
      </c>
      <c r="F45" s="149" t="s">
        <v>213</v>
      </c>
      <c r="G45" s="149" t="s">
        <v>214</v>
      </c>
    </row>
    <row r="46" spans="1:7" x14ac:dyDescent="0.25">
      <c r="B46" s="82"/>
      <c r="C46" s="163" t="str">
        <f>Entregáveis!$C$153</f>
        <v>O Caso de Uso Foi Totalmente Implementado.</v>
      </c>
      <c r="D46" s="97">
        <f>Entregáveis!$D$153</f>
        <v>0.4</v>
      </c>
      <c r="E46" s="105"/>
      <c r="F46" s="101">
        <f>IF(ISBLANK(E46),,VLOOKUP($E46,Parâmetros!$C$2:$D$6,2,FALSE)*D46)</f>
        <v>0</v>
      </c>
      <c r="G46" s="144"/>
    </row>
    <row r="47" spans="1:7" x14ac:dyDescent="0.25">
      <c r="B47" s="82"/>
      <c r="C47" s="14" t="str">
        <f>Entregáveis!$C$154</f>
        <v>Não Existem Erros que Impedem a Verificação do Caso de Uso</v>
      </c>
      <c r="D47" s="96">
        <f>Entregáveis!$D$154</f>
        <v>0.3</v>
      </c>
      <c r="E47" s="105"/>
      <c r="F47" s="101">
        <f>IF(ISBLANK(E47),,VLOOKUP($E47,Parâmetros!$C$2:$D$6,2,FALSE)*D47)</f>
        <v>0</v>
      </c>
      <c r="G47" s="144"/>
    </row>
    <row r="48" spans="1:7" x14ac:dyDescent="0.25">
      <c r="B48" s="82"/>
      <c r="C48" s="14" t="str">
        <f>Entregáveis!$C$155</f>
        <v>Conformidade entre o escopo da proposta e o escopo do Caso de Uso Implementado</v>
      </c>
      <c r="D48" s="96">
        <f>Entregáveis!$D$155</f>
        <v>0.2</v>
      </c>
      <c r="E48" s="105"/>
      <c r="F48" s="101">
        <f>IF(ISBLANK(E48),,VLOOKUP($E48,Parâmetros!$C$2:$D$6,2,FALSE)*D48)</f>
        <v>0</v>
      </c>
      <c r="G48" s="144"/>
    </row>
    <row r="49" spans="1:7" x14ac:dyDescent="0.25">
      <c r="B49" s="84"/>
      <c r="C49" s="56" t="str">
        <f>Entregáveis!$C$156</f>
        <v>Os Erros Encontrados Não Impedem a Verificação do Caso de Uso</v>
      </c>
      <c r="D49" s="98">
        <f>Entregáveis!$D$156</f>
        <v>0.1</v>
      </c>
      <c r="E49" s="105"/>
      <c r="F49" s="101">
        <f>IF(ISBLANK(E49),,VLOOKUP($E49,Parâmetros!$C$2:$D$6,2,FALSE)*D49)</f>
        <v>0</v>
      </c>
      <c r="G49" s="144"/>
    </row>
    <row r="51" spans="1:7" x14ac:dyDescent="0.25">
      <c r="C51" s="100" t="s">
        <v>235</v>
      </c>
      <c r="D51" s="119">
        <f xml:space="preserve"> SUM(F46:F49)*10</f>
        <v>0</v>
      </c>
    </row>
    <row r="53" spans="1:7" ht="21" x14ac:dyDescent="0.3">
      <c r="A53" s="120" t="s">
        <v>234</v>
      </c>
      <c r="B53" s="253"/>
      <c r="C53" s="254"/>
      <c r="D53" s="149" t="s">
        <v>15</v>
      </c>
      <c r="E53" s="149" t="s">
        <v>213</v>
      </c>
      <c r="F53" s="149" t="s">
        <v>213</v>
      </c>
      <c r="G53" s="149" t="s">
        <v>214</v>
      </c>
    </row>
    <row r="54" spans="1:7" x14ac:dyDescent="0.25">
      <c r="B54" s="82"/>
      <c r="C54" s="163" t="str">
        <f>Entregáveis!$C$153</f>
        <v>O Caso de Uso Foi Totalmente Implementado.</v>
      </c>
      <c r="D54" s="97">
        <f>Entregáveis!$D$153</f>
        <v>0.4</v>
      </c>
      <c r="E54" s="105"/>
      <c r="F54" s="101">
        <f>IF(ISBLANK(E54),,VLOOKUP($E54,Parâmetros!$C$2:$D$6,2,FALSE)*D54)</f>
        <v>0</v>
      </c>
      <c r="G54" s="144"/>
    </row>
    <row r="55" spans="1:7" x14ac:dyDescent="0.25">
      <c r="B55" s="82"/>
      <c r="C55" s="14" t="str">
        <f>Entregáveis!$C$154</f>
        <v>Não Existem Erros que Impedem a Verificação do Caso de Uso</v>
      </c>
      <c r="D55" s="96">
        <f>Entregáveis!$D$154</f>
        <v>0.3</v>
      </c>
      <c r="E55" s="105"/>
      <c r="F55" s="101">
        <f>IF(ISBLANK(E55),,VLOOKUP($E55,Parâmetros!$C$2:$D$6,2,FALSE)*D55)</f>
        <v>0</v>
      </c>
      <c r="G55" s="144"/>
    </row>
    <row r="56" spans="1:7" x14ac:dyDescent="0.25">
      <c r="B56" s="82"/>
      <c r="C56" s="14" t="str">
        <f>Entregáveis!$C$155</f>
        <v>Conformidade entre o escopo da proposta e o escopo do Caso de Uso Implementado</v>
      </c>
      <c r="D56" s="96">
        <f>Entregáveis!$D$155</f>
        <v>0.2</v>
      </c>
      <c r="E56" s="105"/>
      <c r="F56" s="101">
        <f>IF(ISBLANK(E56),,VLOOKUP($E56,Parâmetros!$C$2:$D$6,2,FALSE)*D56)</f>
        <v>0</v>
      </c>
      <c r="G56" s="144"/>
    </row>
    <row r="57" spans="1:7" x14ac:dyDescent="0.25">
      <c r="B57" s="84"/>
      <c r="C57" s="56" t="str">
        <f>Entregáveis!$C$156</f>
        <v>Os Erros Encontrados Não Impedem a Verificação do Caso de Uso</v>
      </c>
      <c r="D57" s="98">
        <f>Entregáveis!$D$156</f>
        <v>0.1</v>
      </c>
      <c r="E57" s="105"/>
      <c r="F57" s="101">
        <f>IF(ISBLANK(E57),,VLOOKUP($E57,Parâmetros!$C$2:$D$6,2,FALSE)*D57)</f>
        <v>0</v>
      </c>
      <c r="G57" s="144"/>
    </row>
    <row r="59" spans="1:7" x14ac:dyDescent="0.25">
      <c r="C59" s="100" t="s">
        <v>235</v>
      </c>
      <c r="D59" s="119">
        <f xml:space="preserve"> SUM(F54:F57)*10</f>
        <v>0</v>
      </c>
    </row>
    <row r="61" spans="1:7" ht="21" x14ac:dyDescent="0.3">
      <c r="A61" s="120" t="s">
        <v>234</v>
      </c>
      <c r="B61" s="253"/>
      <c r="C61" s="254"/>
      <c r="D61" s="149" t="s">
        <v>15</v>
      </c>
      <c r="E61" s="149" t="s">
        <v>213</v>
      </c>
      <c r="F61" s="149" t="s">
        <v>213</v>
      </c>
      <c r="G61" s="149" t="s">
        <v>214</v>
      </c>
    </row>
    <row r="62" spans="1:7" x14ac:dyDescent="0.25">
      <c r="B62" s="82"/>
      <c r="C62" s="163" t="str">
        <f>Entregáveis!$C$153</f>
        <v>O Caso de Uso Foi Totalmente Implementado.</v>
      </c>
      <c r="D62" s="97">
        <f>Entregáveis!$D$153</f>
        <v>0.4</v>
      </c>
      <c r="E62" s="105"/>
      <c r="F62" s="101">
        <f>IF(ISBLANK(E62),,VLOOKUP($E62,Parâmetros!$C$2:$D$6,2,FALSE)*D62)</f>
        <v>0</v>
      </c>
      <c r="G62" s="144"/>
    </row>
    <row r="63" spans="1:7" x14ac:dyDescent="0.25">
      <c r="B63" s="82"/>
      <c r="C63" s="14" t="str">
        <f>Entregáveis!$C$154</f>
        <v>Não Existem Erros que Impedem a Verificação do Caso de Uso</v>
      </c>
      <c r="D63" s="96">
        <f>Entregáveis!$D$154</f>
        <v>0.3</v>
      </c>
      <c r="E63" s="105"/>
      <c r="F63" s="101">
        <f>IF(ISBLANK(E63),,VLOOKUP($E63,Parâmetros!$C$2:$D$6,2,FALSE)*D63)</f>
        <v>0</v>
      </c>
      <c r="G63" s="144"/>
    </row>
    <row r="64" spans="1:7" x14ac:dyDescent="0.25">
      <c r="B64" s="82"/>
      <c r="C64" s="14" t="str">
        <f>Entregáveis!$C$155</f>
        <v>Conformidade entre o escopo da proposta e o escopo do Caso de Uso Implementado</v>
      </c>
      <c r="D64" s="96">
        <f>Entregáveis!$D$155</f>
        <v>0.2</v>
      </c>
      <c r="E64" s="105"/>
      <c r="F64" s="101">
        <f>IF(ISBLANK(E64),,VLOOKUP($E64,Parâmetros!$C$2:$D$6,2,FALSE)*D64)</f>
        <v>0</v>
      </c>
      <c r="G64" s="144"/>
    </row>
    <row r="65" spans="1:7" x14ac:dyDescent="0.25">
      <c r="B65" s="84"/>
      <c r="C65" s="56" t="str">
        <f>Entregáveis!$C$156</f>
        <v>Os Erros Encontrados Não Impedem a Verificação do Caso de Uso</v>
      </c>
      <c r="D65" s="98">
        <f>Entregáveis!$D$156</f>
        <v>0.1</v>
      </c>
      <c r="E65" s="105"/>
      <c r="F65" s="101">
        <f>IF(ISBLANK(E65),,VLOOKUP($E65,Parâmetros!$C$2:$D$6,2,FALSE)*D65)</f>
        <v>0</v>
      </c>
      <c r="G65" s="144"/>
    </row>
    <row r="67" spans="1:7" x14ac:dyDescent="0.25">
      <c r="C67" s="100" t="s">
        <v>235</v>
      </c>
      <c r="D67" s="119">
        <f xml:space="preserve"> SUM(F62:F65)*10</f>
        <v>0</v>
      </c>
    </row>
    <row r="69" spans="1:7" ht="21" x14ac:dyDescent="0.3">
      <c r="A69" s="120" t="s">
        <v>234</v>
      </c>
      <c r="B69" s="253"/>
      <c r="C69" s="254"/>
      <c r="D69" s="149" t="s">
        <v>15</v>
      </c>
      <c r="E69" s="149" t="s">
        <v>213</v>
      </c>
      <c r="F69" s="149" t="s">
        <v>213</v>
      </c>
      <c r="G69" s="149" t="s">
        <v>214</v>
      </c>
    </row>
    <row r="70" spans="1:7" x14ac:dyDescent="0.25">
      <c r="B70" s="82"/>
      <c r="C70" s="163" t="str">
        <f>Entregáveis!$C$153</f>
        <v>O Caso de Uso Foi Totalmente Implementado.</v>
      </c>
      <c r="D70" s="97">
        <f>Entregáveis!$D$153</f>
        <v>0.4</v>
      </c>
      <c r="E70" s="105"/>
      <c r="F70" s="101">
        <f>IF(ISBLANK(E70),,VLOOKUP($E70,Parâmetros!$C$2:$D$6,2,FALSE)*D70)</f>
        <v>0</v>
      </c>
      <c r="G70" s="144"/>
    </row>
    <row r="71" spans="1:7" x14ac:dyDescent="0.25">
      <c r="B71" s="82"/>
      <c r="C71" s="14" t="str">
        <f>Entregáveis!$C$154</f>
        <v>Não Existem Erros que Impedem a Verificação do Caso de Uso</v>
      </c>
      <c r="D71" s="96">
        <f>Entregáveis!$D$154</f>
        <v>0.3</v>
      </c>
      <c r="E71" s="105"/>
      <c r="F71" s="101">
        <f>IF(ISBLANK(E71),,VLOOKUP($E71,Parâmetros!$C$2:$D$6,2,FALSE)*D71)</f>
        <v>0</v>
      </c>
      <c r="G71" s="144"/>
    </row>
    <row r="72" spans="1:7" x14ac:dyDescent="0.25">
      <c r="B72" s="82"/>
      <c r="C72" s="14" t="str">
        <f>Entregáveis!$C$155</f>
        <v>Conformidade entre o escopo da proposta e o escopo do Caso de Uso Implementado</v>
      </c>
      <c r="D72" s="96">
        <f>Entregáveis!$D$155</f>
        <v>0.2</v>
      </c>
      <c r="E72" s="105"/>
      <c r="F72" s="101">
        <f>IF(ISBLANK(E72),,VLOOKUP($E72,Parâmetros!$C$2:$D$6,2,FALSE)*D72)</f>
        <v>0</v>
      </c>
      <c r="G72" s="144"/>
    </row>
    <row r="73" spans="1:7" x14ac:dyDescent="0.25">
      <c r="B73" s="84"/>
      <c r="C73" s="56" t="str">
        <f>Entregáveis!$C$156</f>
        <v>Os Erros Encontrados Não Impedem a Verificação do Caso de Uso</v>
      </c>
      <c r="D73" s="98">
        <f>Entregáveis!$D$156</f>
        <v>0.1</v>
      </c>
      <c r="E73" s="105"/>
      <c r="F73" s="101">
        <f>IF(ISBLANK(E73),,VLOOKUP($E73,Parâmetros!$C$2:$D$6,2,FALSE)*D73)</f>
        <v>0</v>
      </c>
      <c r="G73" s="144"/>
    </row>
    <row r="75" spans="1:7" x14ac:dyDescent="0.25">
      <c r="C75" s="100" t="s">
        <v>235</v>
      </c>
      <c r="D75" s="119">
        <f xml:space="preserve"> SUM(F70:F73)*10</f>
        <v>0</v>
      </c>
    </row>
    <row r="77" spans="1:7" ht="21" x14ac:dyDescent="0.3">
      <c r="A77" s="120" t="s">
        <v>234</v>
      </c>
      <c r="B77" s="253"/>
      <c r="C77" s="254"/>
      <c r="D77" s="149" t="s">
        <v>15</v>
      </c>
      <c r="E77" s="149" t="s">
        <v>213</v>
      </c>
      <c r="F77" s="149" t="s">
        <v>213</v>
      </c>
      <c r="G77" s="149" t="s">
        <v>214</v>
      </c>
    </row>
    <row r="78" spans="1:7" x14ac:dyDescent="0.25">
      <c r="B78" s="82"/>
      <c r="C78" s="163" t="str">
        <f>Entregáveis!$C$153</f>
        <v>O Caso de Uso Foi Totalmente Implementado.</v>
      </c>
      <c r="D78" s="97">
        <f>Entregáveis!$D$153</f>
        <v>0.4</v>
      </c>
      <c r="E78" s="105"/>
      <c r="F78" s="101">
        <f>IF(ISBLANK(E78),,VLOOKUP($E78,Parâmetros!$C$2:$D$6,2,FALSE)*D78)</f>
        <v>0</v>
      </c>
      <c r="G78" s="144"/>
    </row>
    <row r="79" spans="1:7" x14ac:dyDescent="0.25">
      <c r="B79" s="82"/>
      <c r="C79" s="14" t="str">
        <f>Entregáveis!$C$154</f>
        <v>Não Existem Erros que Impedem a Verificação do Caso de Uso</v>
      </c>
      <c r="D79" s="96">
        <f>Entregáveis!$D$154</f>
        <v>0.3</v>
      </c>
      <c r="E79" s="105"/>
      <c r="F79" s="101">
        <f>IF(ISBLANK(E79),,VLOOKUP($E79,Parâmetros!$C$2:$D$6,2,FALSE)*D79)</f>
        <v>0</v>
      </c>
      <c r="G79" s="144"/>
    </row>
    <row r="80" spans="1:7" x14ac:dyDescent="0.25">
      <c r="B80" s="82"/>
      <c r="C80" s="14" t="str">
        <f>Entregáveis!$C$155</f>
        <v>Conformidade entre o escopo da proposta e o escopo do Caso de Uso Implementado</v>
      </c>
      <c r="D80" s="96">
        <f>Entregáveis!$D$155</f>
        <v>0.2</v>
      </c>
      <c r="E80" s="105"/>
      <c r="F80" s="101">
        <f>IF(ISBLANK(E80),,VLOOKUP($E80,Parâmetros!$C$2:$D$6,2,FALSE)*D80)</f>
        <v>0</v>
      </c>
      <c r="G80" s="144"/>
    </row>
    <row r="81" spans="1:7" x14ac:dyDescent="0.25">
      <c r="B81" s="84"/>
      <c r="C81" s="56" t="str">
        <f>Entregáveis!$C$156</f>
        <v>Os Erros Encontrados Não Impedem a Verificação do Caso de Uso</v>
      </c>
      <c r="D81" s="98">
        <f>Entregáveis!$D$156</f>
        <v>0.1</v>
      </c>
      <c r="E81" s="105"/>
      <c r="F81" s="101">
        <f>IF(ISBLANK(E81),,VLOOKUP($E81,Parâmetros!$C$2:$D$6,2,FALSE)*D81)</f>
        <v>0</v>
      </c>
      <c r="G81" s="144"/>
    </row>
    <row r="83" spans="1:7" x14ac:dyDescent="0.25">
      <c r="C83" s="100" t="s">
        <v>235</v>
      </c>
      <c r="D83" s="119">
        <f xml:space="preserve"> SUM(F78:F81)*10</f>
        <v>0</v>
      </c>
    </row>
    <row r="85" spans="1:7" ht="21" x14ac:dyDescent="0.3">
      <c r="A85" s="120" t="s">
        <v>234</v>
      </c>
      <c r="B85" s="253"/>
      <c r="C85" s="254"/>
      <c r="D85" s="149" t="s">
        <v>15</v>
      </c>
      <c r="E85" s="149" t="s">
        <v>213</v>
      </c>
      <c r="F85" s="149" t="s">
        <v>213</v>
      </c>
      <c r="G85" s="149" t="s">
        <v>214</v>
      </c>
    </row>
    <row r="86" spans="1:7" x14ac:dyDescent="0.25">
      <c r="B86" s="82"/>
      <c r="C86" s="163" t="str">
        <f>Entregáveis!$C$153</f>
        <v>O Caso de Uso Foi Totalmente Implementado.</v>
      </c>
      <c r="D86" s="97">
        <f>Entregáveis!$D$153</f>
        <v>0.4</v>
      </c>
      <c r="E86" s="105"/>
      <c r="F86" s="101">
        <f>IF(ISBLANK(E86),,VLOOKUP($E86,Parâmetros!$C$2:$D$6,2,FALSE)*D86)</f>
        <v>0</v>
      </c>
      <c r="G86" s="144"/>
    </row>
    <row r="87" spans="1:7" x14ac:dyDescent="0.25">
      <c r="B87" s="82"/>
      <c r="C87" s="14" t="str">
        <f>Entregáveis!$C$154</f>
        <v>Não Existem Erros que Impedem a Verificação do Caso de Uso</v>
      </c>
      <c r="D87" s="96">
        <f>Entregáveis!$D$154</f>
        <v>0.3</v>
      </c>
      <c r="E87" s="105"/>
      <c r="F87" s="101">
        <f>IF(ISBLANK(E87),,VLOOKUP($E87,Parâmetros!$C$2:$D$6,2,FALSE)*D87)</f>
        <v>0</v>
      </c>
      <c r="G87" s="144"/>
    </row>
    <row r="88" spans="1:7" x14ac:dyDescent="0.25">
      <c r="B88" s="82"/>
      <c r="C88" s="14" t="str">
        <f>Entregáveis!$C$155</f>
        <v>Conformidade entre o escopo da proposta e o escopo do Caso de Uso Implementado</v>
      </c>
      <c r="D88" s="96">
        <f>Entregáveis!$D$155</f>
        <v>0.2</v>
      </c>
      <c r="E88" s="105"/>
      <c r="F88" s="101">
        <f>IF(ISBLANK(E88),,VLOOKUP($E88,Parâmetros!$C$2:$D$6,2,FALSE)*D88)</f>
        <v>0</v>
      </c>
      <c r="G88" s="144"/>
    </row>
    <row r="89" spans="1:7" x14ac:dyDescent="0.25">
      <c r="B89" s="84"/>
      <c r="C89" s="56" t="str">
        <f>Entregáveis!$C$156</f>
        <v>Os Erros Encontrados Não Impedem a Verificação do Caso de Uso</v>
      </c>
      <c r="D89" s="98">
        <f>Entregáveis!$D$156</f>
        <v>0.1</v>
      </c>
      <c r="E89" s="105"/>
      <c r="F89" s="101">
        <f>IF(ISBLANK(E89),,VLOOKUP($E89,Parâmetros!$C$2:$D$6,2,FALSE)*D89)</f>
        <v>0</v>
      </c>
      <c r="G89" s="144"/>
    </row>
    <row r="91" spans="1:7" x14ac:dyDescent="0.25">
      <c r="C91" s="100" t="s">
        <v>235</v>
      </c>
      <c r="D91" s="119">
        <f xml:space="preserve"> SUM(F86:F89)*10</f>
        <v>0</v>
      </c>
    </row>
    <row r="93" spans="1:7" ht="21" x14ac:dyDescent="0.3">
      <c r="A93" s="120" t="s">
        <v>234</v>
      </c>
      <c r="B93" s="253"/>
      <c r="C93" s="254"/>
      <c r="D93" s="149" t="s">
        <v>15</v>
      </c>
      <c r="E93" s="149" t="s">
        <v>213</v>
      </c>
      <c r="F93" s="149" t="s">
        <v>213</v>
      </c>
      <c r="G93" s="149" t="s">
        <v>214</v>
      </c>
    </row>
    <row r="94" spans="1:7" x14ac:dyDescent="0.25">
      <c r="B94" s="82"/>
      <c r="C94" s="163" t="str">
        <f>Entregáveis!$C$153</f>
        <v>O Caso de Uso Foi Totalmente Implementado.</v>
      </c>
      <c r="D94" s="97">
        <f>Entregáveis!$D$153</f>
        <v>0.4</v>
      </c>
      <c r="E94" s="105"/>
      <c r="F94" s="101">
        <f>IF(ISBLANK(E94),,VLOOKUP($E94,Parâmetros!$C$2:$D$6,2,FALSE)*D94)</f>
        <v>0</v>
      </c>
      <c r="G94" s="144"/>
    </row>
    <row r="95" spans="1:7" x14ac:dyDescent="0.25">
      <c r="B95" s="82"/>
      <c r="C95" s="14" t="str">
        <f>Entregáveis!$C$154</f>
        <v>Não Existem Erros que Impedem a Verificação do Caso de Uso</v>
      </c>
      <c r="D95" s="96">
        <f>Entregáveis!$D$154</f>
        <v>0.3</v>
      </c>
      <c r="E95" s="105"/>
      <c r="F95" s="101">
        <f>IF(ISBLANK(E95),,VLOOKUP($E95,Parâmetros!$C$2:$D$6,2,FALSE)*D95)</f>
        <v>0</v>
      </c>
      <c r="G95" s="144"/>
    </row>
    <row r="96" spans="1:7" x14ac:dyDescent="0.25">
      <c r="B96" s="82"/>
      <c r="C96" s="14" t="str">
        <f>Entregáveis!$C$155</f>
        <v>Conformidade entre o escopo da proposta e o escopo do Caso de Uso Implementado</v>
      </c>
      <c r="D96" s="96">
        <f>Entregáveis!$D$155</f>
        <v>0.2</v>
      </c>
      <c r="E96" s="105"/>
      <c r="F96" s="101">
        <f>IF(ISBLANK(E96),,VLOOKUP($E96,Parâmetros!$C$2:$D$6,2,FALSE)*D96)</f>
        <v>0</v>
      </c>
      <c r="G96" s="144"/>
    </row>
    <row r="97" spans="1:7" x14ac:dyDescent="0.25">
      <c r="B97" s="84"/>
      <c r="C97" s="56" t="str">
        <f>Entregáveis!$C$156</f>
        <v>Os Erros Encontrados Não Impedem a Verificação do Caso de Uso</v>
      </c>
      <c r="D97" s="98">
        <f>Entregáveis!$D$156</f>
        <v>0.1</v>
      </c>
      <c r="E97" s="105"/>
      <c r="F97" s="101">
        <f>IF(ISBLANK(E97),,VLOOKUP($E97,Parâmetros!$C$2:$D$6,2,FALSE)*D97)</f>
        <v>0</v>
      </c>
      <c r="G97" s="144"/>
    </row>
    <row r="99" spans="1:7" x14ac:dyDescent="0.25">
      <c r="C99" s="100" t="s">
        <v>235</v>
      </c>
      <c r="D99" s="119">
        <f xml:space="preserve"> SUM(F94:F97)*10</f>
        <v>0</v>
      </c>
    </row>
    <row r="101" spans="1:7" ht="21" x14ac:dyDescent="0.3">
      <c r="A101" s="120" t="s">
        <v>234</v>
      </c>
      <c r="B101" s="253"/>
      <c r="C101" s="254"/>
      <c r="D101" s="149" t="s">
        <v>15</v>
      </c>
      <c r="E101" s="149" t="s">
        <v>213</v>
      </c>
      <c r="F101" s="149" t="s">
        <v>213</v>
      </c>
      <c r="G101" s="149" t="s">
        <v>214</v>
      </c>
    </row>
    <row r="102" spans="1:7" x14ac:dyDescent="0.25">
      <c r="B102" s="82"/>
      <c r="C102" s="163" t="str">
        <f>Entregáveis!$C$153</f>
        <v>O Caso de Uso Foi Totalmente Implementado.</v>
      </c>
      <c r="D102" s="97">
        <f>Entregáveis!$D$153</f>
        <v>0.4</v>
      </c>
      <c r="E102" s="105"/>
      <c r="F102" s="101">
        <f>IF(ISBLANK(E102),,VLOOKUP($E102,Parâmetros!$C$2:$D$6,2,FALSE)*D102)</f>
        <v>0</v>
      </c>
      <c r="G102" s="144"/>
    </row>
    <row r="103" spans="1:7" x14ac:dyDescent="0.25">
      <c r="B103" s="82"/>
      <c r="C103" s="14" t="str">
        <f>Entregáveis!$C$154</f>
        <v>Não Existem Erros que Impedem a Verificação do Caso de Uso</v>
      </c>
      <c r="D103" s="96">
        <f>Entregáveis!$D$154</f>
        <v>0.3</v>
      </c>
      <c r="E103" s="105"/>
      <c r="F103" s="101">
        <f>IF(ISBLANK(E103),,VLOOKUP($E103,Parâmetros!$C$2:$D$6,2,FALSE)*D103)</f>
        <v>0</v>
      </c>
      <c r="G103" s="144"/>
    </row>
    <row r="104" spans="1:7" x14ac:dyDescent="0.25">
      <c r="B104" s="82"/>
      <c r="C104" s="14" t="str">
        <f>Entregáveis!$C$155</f>
        <v>Conformidade entre o escopo da proposta e o escopo do Caso de Uso Implementado</v>
      </c>
      <c r="D104" s="96">
        <f>Entregáveis!$D$155</f>
        <v>0.2</v>
      </c>
      <c r="E104" s="105"/>
      <c r="F104" s="101">
        <f>IF(ISBLANK(E104),,VLOOKUP($E104,Parâmetros!$C$2:$D$6,2,FALSE)*D104)</f>
        <v>0</v>
      </c>
      <c r="G104" s="144"/>
    </row>
    <row r="105" spans="1:7" x14ac:dyDescent="0.25">
      <c r="B105" s="84"/>
      <c r="C105" s="56" t="str">
        <f>Entregáveis!$C$156</f>
        <v>Os Erros Encontrados Não Impedem a Verificação do Caso de Uso</v>
      </c>
      <c r="D105" s="98">
        <f>Entregáveis!$D$156</f>
        <v>0.1</v>
      </c>
      <c r="E105" s="105"/>
      <c r="F105" s="101">
        <f>IF(ISBLANK(E105),,VLOOKUP($E105,Parâmetros!$C$2:$D$6,2,FALSE)*D105)</f>
        <v>0</v>
      </c>
      <c r="G105" s="144"/>
    </row>
    <row r="107" spans="1:7" x14ac:dyDescent="0.25">
      <c r="C107" s="100" t="s">
        <v>235</v>
      </c>
      <c r="D107" s="119">
        <f xml:space="preserve"> SUM(F102:F105)*10</f>
        <v>0</v>
      </c>
    </row>
    <row r="109" spans="1:7" ht="21" x14ac:dyDescent="0.3">
      <c r="A109" s="120" t="s">
        <v>234</v>
      </c>
      <c r="B109" s="253"/>
      <c r="C109" s="254"/>
      <c r="D109" s="149" t="s">
        <v>15</v>
      </c>
      <c r="E109" s="149" t="s">
        <v>213</v>
      </c>
      <c r="F109" s="149" t="s">
        <v>213</v>
      </c>
      <c r="G109" s="149" t="s">
        <v>214</v>
      </c>
    </row>
    <row r="110" spans="1:7" x14ac:dyDescent="0.25">
      <c r="B110" s="82"/>
      <c r="C110" s="163" t="str">
        <f>Entregáveis!$C$153</f>
        <v>O Caso de Uso Foi Totalmente Implementado.</v>
      </c>
      <c r="D110" s="97">
        <f>Entregáveis!$D$153</f>
        <v>0.4</v>
      </c>
      <c r="E110" s="105"/>
      <c r="F110" s="101">
        <f>IF(ISBLANK(E110),,VLOOKUP($E110,Parâmetros!$C$2:$D$6,2,FALSE)*D110)</f>
        <v>0</v>
      </c>
      <c r="G110" s="144"/>
    </row>
    <row r="111" spans="1:7" x14ac:dyDescent="0.25">
      <c r="B111" s="82"/>
      <c r="C111" s="14" t="str">
        <f>Entregáveis!$C$154</f>
        <v>Não Existem Erros que Impedem a Verificação do Caso de Uso</v>
      </c>
      <c r="D111" s="96">
        <f>Entregáveis!$D$154</f>
        <v>0.3</v>
      </c>
      <c r="E111" s="105"/>
      <c r="F111" s="101">
        <f>IF(ISBLANK(E111),,VLOOKUP($E111,Parâmetros!$C$2:$D$6,2,FALSE)*D111)</f>
        <v>0</v>
      </c>
      <c r="G111" s="144"/>
    </row>
    <row r="112" spans="1:7" x14ac:dyDescent="0.25">
      <c r="B112" s="82"/>
      <c r="C112" s="14" t="str">
        <f>Entregáveis!$C$155</f>
        <v>Conformidade entre o escopo da proposta e o escopo do Caso de Uso Implementado</v>
      </c>
      <c r="D112" s="96">
        <f>Entregáveis!$D$155</f>
        <v>0.2</v>
      </c>
      <c r="E112" s="105"/>
      <c r="F112" s="101">
        <f>IF(ISBLANK(E112),,VLOOKUP($E112,Parâmetros!$C$2:$D$6,2,FALSE)*D112)</f>
        <v>0</v>
      </c>
      <c r="G112" s="144"/>
    </row>
    <row r="113" spans="2:7" x14ac:dyDescent="0.25">
      <c r="B113" s="84"/>
      <c r="C113" s="56" t="str">
        <f>Entregáveis!$C$156</f>
        <v>Os Erros Encontrados Não Impedem a Verificação do Caso de Uso</v>
      </c>
      <c r="D113" s="98">
        <f>Entregáveis!$D$156</f>
        <v>0.1</v>
      </c>
      <c r="E113" s="105"/>
      <c r="F113" s="101">
        <f>IF(ISBLANK(E113),,VLOOKUP($E113,Parâmetros!$C$2:$D$6,2,FALSE)*D113)</f>
        <v>0</v>
      </c>
      <c r="G113" s="144"/>
    </row>
    <row r="115" spans="2:7" x14ac:dyDescent="0.25">
      <c r="C115" s="100" t="s">
        <v>235</v>
      </c>
      <c r="D115" s="119">
        <f xml:space="preserve"> SUM(F110:F113)*10</f>
        <v>0</v>
      </c>
    </row>
  </sheetData>
  <sheetProtection password="8352" sheet="1" objects="1" scenarios="1"/>
  <protectedRanges>
    <protectedRange sqref="B77 G102:G105 E78:E81 G78:G81 B85 B109 E86:E89 G86:G89 B93 G110:G113 E94:E97 G94:G97 B101 E110:E113 E102:E105" name="UC002"/>
    <protectedRange sqref="B37 G62:G65 G38:G41 B45 B69 E46:E49 G46:G49 B53 G70:G73 E54:E57 G54:G57 B61 E70:E73 E62:E65 E38:E41" name="UC001"/>
    <protectedRange sqref="D31:D32" name="Avaliação_1"/>
  </protectedRanges>
  <mergeCells count="11">
    <mergeCell ref="B69:C69"/>
    <mergeCell ref="B8:C8"/>
    <mergeCell ref="B37:C37"/>
    <mergeCell ref="B45:C45"/>
    <mergeCell ref="B53:C53"/>
    <mergeCell ref="B61:C61"/>
    <mergeCell ref="B77:C77"/>
    <mergeCell ref="B85:C85"/>
    <mergeCell ref="B93:C93"/>
    <mergeCell ref="B101:C101"/>
    <mergeCell ref="B109:C109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count="12">
        <x14:dataValidation type="list" allowBlank="1" showInputMessage="1" showErrorMessage="1">
          <x14:formula1>
            <xm:f>Parâmetros!$C$2:$C$6</xm:f>
          </x14:formula1>
          <xm:sqref>E102:E105 E110:E113 E46:E49 E54:E57 E62:E65 E70:E73 E78:E81 E86:E89 E94:E97 E38:E41</xm:sqref>
        </x14:dataValidation>
        <x14:dataValidation type="list" allowBlank="1" showInputMessage="1" showErrorMessage="1">
          <x14:formula1>
            <xm:f>Parâmetros!$H$2:$H$3</xm:f>
          </x14:formula1>
          <xm:sqref>D32</xm:sqref>
        </x14:dataValidation>
        <x14:dataValidation type="list" allowBlank="1" showInputMessage="1" showErrorMessage="1">
          <x14:formula1>
            <xm:f>UCP!$C$32:$C$76</xm:f>
          </x14:formula1>
          <xm:sqref>B53</xm:sqref>
        </x14:dataValidation>
        <x14:dataValidation type="list" allowBlank="1" showInputMessage="1" showErrorMessage="1">
          <x14:formula1>
            <xm:f>UCP!$C$32:$C$76</xm:f>
          </x14:formula1>
          <xm:sqref>B101</xm:sqref>
        </x14:dataValidation>
        <x14:dataValidation type="list" allowBlank="1" showInputMessage="1" showErrorMessage="1">
          <x14:formula1>
            <xm:f>UCP!$C$32:$C$76</xm:f>
          </x14:formula1>
          <xm:sqref>B93</xm:sqref>
        </x14:dataValidation>
        <x14:dataValidation type="list" allowBlank="1" showInputMessage="1" showErrorMessage="1">
          <x14:formula1>
            <xm:f>UCP!$C$32:$C$76</xm:f>
          </x14:formula1>
          <xm:sqref>B85</xm:sqref>
        </x14:dataValidation>
        <x14:dataValidation type="list" allowBlank="1" showInputMessage="1" showErrorMessage="1">
          <x14:formula1>
            <xm:f>UCP!$C$32:$C$76</xm:f>
          </x14:formula1>
          <xm:sqref>B77</xm:sqref>
        </x14:dataValidation>
        <x14:dataValidation type="list" allowBlank="1" showInputMessage="1" showErrorMessage="1">
          <x14:formula1>
            <xm:f>UCP!$C$32:$C$76</xm:f>
          </x14:formula1>
          <xm:sqref>B69</xm:sqref>
        </x14:dataValidation>
        <x14:dataValidation type="list" allowBlank="1" showInputMessage="1" showErrorMessage="1">
          <x14:formula1>
            <xm:f>UCP!$C$32:$C$76</xm:f>
          </x14:formula1>
          <xm:sqref>B61</xm:sqref>
        </x14:dataValidation>
        <x14:dataValidation type="list" allowBlank="1" showInputMessage="1" showErrorMessage="1">
          <x14:formula1>
            <xm:f>UCP!$C$32:$C$76</xm:f>
          </x14:formula1>
          <xm:sqref>B45</xm:sqref>
        </x14:dataValidation>
        <x14:dataValidation type="list" allowBlank="1" showInputMessage="1" showErrorMessage="1">
          <x14:formula1>
            <xm:f>UCP!$C$32:$C$76</xm:f>
          </x14:formula1>
          <xm:sqref>B37</xm:sqref>
        </x14:dataValidation>
        <x14:dataValidation type="list" allowBlank="1" showInputMessage="1" showErrorMessage="1">
          <x14:formula1>
            <xm:f>UCP!$C$32:$C$76</xm:f>
          </x14:formula1>
          <xm:sqref>B109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G115"/>
  <sheetViews>
    <sheetView zoomScale="80" zoomScaleNormal="80" workbookViewId="0">
      <selection activeCell="G17" sqref="G17"/>
    </sheetView>
  </sheetViews>
  <sheetFormatPr defaultRowHeight="15" x14ac:dyDescent="0.25"/>
  <cols>
    <col min="1" max="1" width="9.140625" style="1"/>
    <col min="2" max="2" width="8.140625" style="1" customWidth="1"/>
    <col min="3" max="3" width="63.140625" style="1" customWidth="1"/>
    <col min="4" max="4" width="16.7109375" style="1" customWidth="1"/>
    <col min="5" max="5" width="16.28515625" style="1" customWidth="1"/>
    <col min="6" max="6" width="18.42578125" style="1" customWidth="1"/>
    <col min="7" max="7" width="50.5703125" style="1" customWidth="1"/>
    <col min="8" max="8" width="20.5703125" style="1" customWidth="1"/>
    <col min="9" max="9" width="23.5703125" style="1" customWidth="1"/>
    <col min="10" max="16384" width="9.140625" style="1"/>
  </cols>
  <sheetData>
    <row r="6" spans="1:4" x14ac:dyDescent="0.25">
      <c r="A6" s="11" t="s">
        <v>321</v>
      </c>
    </row>
    <row r="8" spans="1:4" ht="25.5" x14ac:dyDescent="0.25">
      <c r="B8" s="256" t="s">
        <v>25</v>
      </c>
      <c r="C8" s="257"/>
      <c r="D8" s="133" t="s">
        <v>230</v>
      </c>
    </row>
    <row r="9" spans="1:4" x14ac:dyDescent="0.25">
      <c r="A9" s="104">
        <f t="shared" ref="A9:A17" si="0">IF(AND(EXACT(B9,""),D9=0),0,1)</f>
        <v>0</v>
      </c>
      <c r="B9" s="121" t="str">
        <f>IF(ISBLANK(B37),"",B37)</f>
        <v/>
      </c>
      <c r="C9" s="110"/>
      <c r="D9" s="124">
        <f>IF(ISBLANK(B37),0,D43)</f>
        <v>0</v>
      </c>
    </row>
    <row r="10" spans="1:4" x14ac:dyDescent="0.25">
      <c r="A10" s="104">
        <f t="shared" si="0"/>
        <v>0</v>
      </c>
      <c r="B10" s="122" t="str">
        <f>IF(ISBLANK(B45),"",B45)</f>
        <v/>
      </c>
      <c r="C10" s="113"/>
      <c r="D10" s="125">
        <f>IF(ISBLANK(B45),0,D51)</f>
        <v>0</v>
      </c>
    </row>
    <row r="11" spans="1:4" x14ac:dyDescent="0.25">
      <c r="A11" s="104">
        <f t="shared" si="0"/>
        <v>0</v>
      </c>
      <c r="B11" s="122" t="str">
        <f>IF(ISBLANK(B53),"",B53)</f>
        <v/>
      </c>
      <c r="C11" s="113"/>
      <c r="D11" s="125">
        <f>IF(ISBLANK(B53),0,D59)</f>
        <v>0</v>
      </c>
    </row>
    <row r="12" spans="1:4" x14ac:dyDescent="0.25">
      <c r="A12" s="104">
        <f t="shared" si="0"/>
        <v>0</v>
      </c>
      <c r="B12" s="122" t="str">
        <f>IF(ISBLANK(B61),"",B61)</f>
        <v/>
      </c>
      <c r="C12" s="113"/>
      <c r="D12" s="125">
        <f>IF(ISBLANK(B61),0,D67)</f>
        <v>0</v>
      </c>
    </row>
    <row r="13" spans="1:4" x14ac:dyDescent="0.25">
      <c r="A13" s="104">
        <f t="shared" si="0"/>
        <v>0</v>
      </c>
      <c r="B13" s="122" t="str">
        <f>IF(ISBLANK(B69),"",B69)</f>
        <v/>
      </c>
      <c r="C13" s="113"/>
      <c r="D13" s="125">
        <f>IF(ISBLANK(B69),0,D75)</f>
        <v>0</v>
      </c>
    </row>
    <row r="14" spans="1:4" x14ac:dyDescent="0.25">
      <c r="A14" s="104">
        <f t="shared" si="0"/>
        <v>0</v>
      </c>
      <c r="B14" s="122" t="str">
        <f>IF(ISBLANK(B77),"",B77)</f>
        <v/>
      </c>
      <c r="C14" s="113"/>
      <c r="D14" s="125">
        <f>IF(ISBLANK(B77),0,D83)</f>
        <v>0</v>
      </c>
    </row>
    <row r="15" spans="1:4" x14ac:dyDescent="0.25">
      <c r="A15" s="104">
        <f t="shared" si="0"/>
        <v>0</v>
      </c>
      <c r="B15" s="122" t="str">
        <f>IF(ISBLANK(B85),"",B85)</f>
        <v/>
      </c>
      <c r="C15" s="113"/>
      <c r="D15" s="125">
        <f>IF(ISBLANK(B85),0,D91)</f>
        <v>0</v>
      </c>
    </row>
    <row r="16" spans="1:4" x14ac:dyDescent="0.25">
      <c r="A16" s="104">
        <f t="shared" si="0"/>
        <v>0</v>
      </c>
      <c r="B16" s="122" t="str">
        <f>IF(ISBLANK(B93),"",B93)</f>
        <v/>
      </c>
      <c r="C16" s="113"/>
      <c r="D16" s="125">
        <f>IF(ISBLANK(B93),0,D99)</f>
        <v>0</v>
      </c>
    </row>
    <row r="17" spans="1:5" x14ac:dyDescent="0.25">
      <c r="A17" s="104">
        <f t="shared" si="0"/>
        <v>0</v>
      </c>
      <c r="B17" s="122" t="str">
        <f>IF(ISBLANK(B101),"",B101)</f>
        <v/>
      </c>
      <c r="C17" s="113"/>
      <c r="D17" s="125">
        <f>IF(ISBLANK(B101),0,D107)</f>
        <v>0</v>
      </c>
    </row>
    <row r="18" spans="1:5" x14ac:dyDescent="0.25">
      <c r="A18" s="104">
        <f>IF(AND(EXACT(B18,""),D18=0),0,1)</f>
        <v>0</v>
      </c>
      <c r="B18" s="122" t="str">
        <f>IF(ISBLANK(B109),"",B109)</f>
        <v/>
      </c>
      <c r="C18" s="113"/>
      <c r="D18" s="125">
        <f>IF(ISBLANK(B109),0,D115)</f>
        <v>0</v>
      </c>
    </row>
    <row r="19" spans="1:5" x14ac:dyDescent="0.25">
      <c r="A19" s="104">
        <f t="shared" ref="A19:A28" si="1">IF(AND(EXACT(B19,""),D19=0),0,1)</f>
        <v>0</v>
      </c>
      <c r="B19" s="122" t="str">
        <f>IF(ISBLANK(B117),"",B117)</f>
        <v/>
      </c>
      <c r="C19" s="113"/>
      <c r="D19" s="125">
        <f>IF(ISBLANK(B117),0,D123)</f>
        <v>0</v>
      </c>
    </row>
    <row r="20" spans="1:5" x14ac:dyDescent="0.25">
      <c r="A20" s="104">
        <f t="shared" si="1"/>
        <v>0</v>
      </c>
      <c r="B20" s="122" t="str">
        <f>IF(ISBLANK(B125),"",B125)</f>
        <v/>
      </c>
      <c r="C20" s="113"/>
      <c r="D20" s="125">
        <f>IF(ISBLANK(B125),0,D131)</f>
        <v>0</v>
      </c>
    </row>
    <row r="21" spans="1:5" x14ac:dyDescent="0.25">
      <c r="A21" s="104">
        <f t="shared" si="1"/>
        <v>0</v>
      </c>
      <c r="B21" s="122" t="str">
        <f>IF(ISBLANK(B133),"",B133)</f>
        <v/>
      </c>
      <c r="C21" s="113"/>
      <c r="D21" s="125">
        <f>IF(ISBLANK(B133),0,D139)</f>
        <v>0</v>
      </c>
    </row>
    <row r="22" spans="1:5" x14ac:dyDescent="0.25">
      <c r="A22" s="104">
        <f t="shared" si="1"/>
        <v>0</v>
      </c>
      <c r="B22" s="122" t="str">
        <f>IF(ISBLANK(B141),"",B141)</f>
        <v/>
      </c>
      <c r="C22" s="113"/>
      <c r="D22" s="125">
        <f>IF(ISBLANK(B141),0,D147)</f>
        <v>0</v>
      </c>
    </row>
    <row r="23" spans="1:5" x14ac:dyDescent="0.25">
      <c r="A23" s="104">
        <f t="shared" si="1"/>
        <v>0</v>
      </c>
      <c r="B23" s="122" t="str">
        <f>IF(ISBLANK(B149),"",B149)</f>
        <v/>
      </c>
      <c r="C23" s="113"/>
      <c r="D23" s="125">
        <f>IF(ISBLANK(B149),0,D155)</f>
        <v>0</v>
      </c>
    </row>
    <row r="24" spans="1:5" x14ac:dyDescent="0.25">
      <c r="A24" s="104">
        <f t="shared" si="1"/>
        <v>0</v>
      </c>
      <c r="B24" s="122" t="str">
        <f>IF(ISBLANK(B157),"",B157)</f>
        <v/>
      </c>
      <c r="C24" s="113"/>
      <c r="D24" s="125">
        <f>IF(ISBLANK(B157),0,D163)</f>
        <v>0</v>
      </c>
    </row>
    <row r="25" spans="1:5" x14ac:dyDescent="0.25">
      <c r="A25" s="104">
        <f t="shared" si="1"/>
        <v>0</v>
      </c>
      <c r="B25" s="122" t="str">
        <f>IF(ISBLANK(B165),"",B165)</f>
        <v/>
      </c>
      <c r="C25" s="113"/>
      <c r="D25" s="125">
        <f>IF(ISBLANK(B165),0,D171)</f>
        <v>0</v>
      </c>
    </row>
    <row r="26" spans="1:5" x14ac:dyDescent="0.25">
      <c r="A26" s="104">
        <f t="shared" si="1"/>
        <v>0</v>
      </c>
      <c r="B26" s="122" t="str">
        <f>IF(ISBLANK(B173),"",B173)</f>
        <v/>
      </c>
      <c r="C26" s="113"/>
      <c r="D26" s="125">
        <f>IF(ISBLANK(B173),0,D179)</f>
        <v>0</v>
      </c>
    </row>
    <row r="27" spans="1:5" x14ac:dyDescent="0.25">
      <c r="A27" s="104">
        <f t="shared" si="1"/>
        <v>0</v>
      </c>
      <c r="B27" s="122" t="str">
        <f>IF(ISBLANK(B181),"",B181)</f>
        <v/>
      </c>
      <c r="C27" s="113"/>
      <c r="D27" s="125">
        <f>IF(ISBLANK(B181),0,D187)</f>
        <v>0</v>
      </c>
    </row>
    <row r="28" spans="1:5" x14ac:dyDescent="0.25">
      <c r="A28" s="104">
        <f t="shared" si="1"/>
        <v>0</v>
      </c>
      <c r="B28" s="123" t="str">
        <f>IF(ISBLANK(B189),"",B189)</f>
        <v/>
      </c>
      <c r="C28" s="116"/>
      <c r="D28" s="126">
        <f>IF(ISBLANK(B189),0,D195)</f>
        <v>0</v>
      </c>
    </row>
    <row r="29" spans="1:5" x14ac:dyDescent="0.25">
      <c r="D29" s="104">
        <f>IF(SUM(A9:A28)=0,0,SUM(D9:D28)/SUM(A9:A28))</f>
        <v>0</v>
      </c>
    </row>
    <row r="30" spans="1:5" x14ac:dyDescent="0.25">
      <c r="C30" s="100" t="s">
        <v>311</v>
      </c>
      <c r="D30" s="172">
        <f>IF(D29 - (D29*10%*E31)&lt;0,0,(D29- (D29*10%*E31)))</f>
        <v>0</v>
      </c>
    </row>
    <row r="31" spans="1:5" x14ac:dyDescent="0.25">
      <c r="C31" s="164" t="s">
        <v>310</v>
      </c>
      <c r="D31" s="173">
        <v>0</v>
      </c>
      <c r="E31" s="104">
        <f>IF(EXACT(D32,Parâmetros!$H$2),D31,D31+1)</f>
        <v>1</v>
      </c>
    </row>
    <row r="32" spans="1:5" x14ac:dyDescent="0.25">
      <c r="C32" s="164" t="s">
        <v>333</v>
      </c>
      <c r="D32" s="173" t="s">
        <v>332</v>
      </c>
    </row>
    <row r="34" spans="1:7" x14ac:dyDescent="0.25">
      <c r="A34" s="11" t="s">
        <v>236</v>
      </c>
    </row>
    <row r="37" spans="1:7" ht="21" x14ac:dyDescent="0.3">
      <c r="A37" s="120" t="s">
        <v>234</v>
      </c>
      <c r="B37" s="253"/>
      <c r="C37" s="255"/>
      <c r="D37" s="133" t="s">
        <v>15</v>
      </c>
      <c r="E37" s="171" t="s">
        <v>213</v>
      </c>
      <c r="F37" s="171" t="s">
        <v>213</v>
      </c>
      <c r="G37" s="171" t="s">
        <v>214</v>
      </c>
    </row>
    <row r="38" spans="1:7" x14ac:dyDescent="0.25">
      <c r="B38" s="90"/>
      <c r="C38" s="163" t="str">
        <f>Entregáveis!$C$153</f>
        <v>O Caso de Uso Foi Totalmente Implementado.</v>
      </c>
      <c r="D38" s="97">
        <f>Entregáveis!$D$153</f>
        <v>0.4</v>
      </c>
      <c r="E38" s="105"/>
      <c r="F38" s="101">
        <f>IF(ISBLANK(E38),,VLOOKUP($E38,Parâmetros!$C$2:$D$6,2,FALSE)*D38)</f>
        <v>0</v>
      </c>
      <c r="G38" s="144"/>
    </row>
    <row r="39" spans="1:7" x14ac:dyDescent="0.25">
      <c r="B39" s="82"/>
      <c r="C39" s="14" t="str">
        <f>Entregáveis!$C$154</f>
        <v>Não Existem Erros que Impedem a Verificação do Caso de Uso</v>
      </c>
      <c r="D39" s="96">
        <f>Entregáveis!$D$154</f>
        <v>0.3</v>
      </c>
      <c r="E39" s="105"/>
      <c r="F39" s="101">
        <f>IF(ISBLANK(E39),,VLOOKUP($E39,Parâmetros!$C$2:$D$6,2,FALSE)*D39)</f>
        <v>0</v>
      </c>
      <c r="G39" s="144"/>
    </row>
    <row r="40" spans="1:7" x14ac:dyDescent="0.25">
      <c r="B40" s="82"/>
      <c r="C40" s="14" t="str">
        <f>Entregáveis!$C$155</f>
        <v>Conformidade entre o escopo da proposta e o escopo do Caso de Uso Implementado</v>
      </c>
      <c r="D40" s="96">
        <f>Entregáveis!$D$155</f>
        <v>0.2</v>
      </c>
      <c r="E40" s="105"/>
      <c r="F40" s="101">
        <f>IF(ISBLANK(E40),,VLOOKUP($E40,Parâmetros!$C$2:$D$6,2,FALSE)*D40)</f>
        <v>0</v>
      </c>
      <c r="G40" s="144"/>
    </row>
    <row r="41" spans="1:7" x14ac:dyDescent="0.25">
      <c r="B41" s="84"/>
      <c r="C41" s="56" t="str">
        <f>Entregáveis!$C$156</f>
        <v>Os Erros Encontrados Não Impedem a Verificação do Caso de Uso</v>
      </c>
      <c r="D41" s="98">
        <f>Entregáveis!$D$156</f>
        <v>0.1</v>
      </c>
      <c r="E41" s="105"/>
      <c r="F41" s="101">
        <f>IF(ISBLANK(E41),,VLOOKUP($E41,Parâmetros!$C$2:$D$6,2,FALSE)*D41)</f>
        <v>0</v>
      </c>
      <c r="G41" s="144"/>
    </row>
    <row r="43" spans="1:7" x14ac:dyDescent="0.25">
      <c r="C43" s="100" t="s">
        <v>235</v>
      </c>
      <c r="D43" s="119">
        <f xml:space="preserve"> SUM(F38:F41)*10</f>
        <v>0</v>
      </c>
    </row>
    <row r="45" spans="1:7" ht="21" x14ac:dyDescent="0.3">
      <c r="A45" s="120" t="s">
        <v>234</v>
      </c>
      <c r="B45" s="253"/>
      <c r="C45" s="254"/>
      <c r="D45" s="171" t="s">
        <v>15</v>
      </c>
      <c r="E45" s="171" t="s">
        <v>213</v>
      </c>
      <c r="F45" s="171" t="s">
        <v>213</v>
      </c>
      <c r="G45" s="171" t="s">
        <v>214</v>
      </c>
    </row>
    <row r="46" spans="1:7" x14ac:dyDescent="0.25">
      <c r="B46" s="82"/>
      <c r="C46" s="163" t="str">
        <f>Entregáveis!$C$153</f>
        <v>O Caso de Uso Foi Totalmente Implementado.</v>
      </c>
      <c r="D46" s="97">
        <f>Entregáveis!$D$153</f>
        <v>0.4</v>
      </c>
      <c r="E46" s="105"/>
      <c r="F46" s="101">
        <f>IF(ISBLANK(E46),,VLOOKUP($E46,Parâmetros!$C$2:$D$6,2,FALSE)*D46)</f>
        <v>0</v>
      </c>
      <c r="G46" s="144"/>
    </row>
    <row r="47" spans="1:7" x14ac:dyDescent="0.25">
      <c r="B47" s="82"/>
      <c r="C47" s="14" t="str">
        <f>Entregáveis!$C$154</f>
        <v>Não Existem Erros que Impedem a Verificação do Caso de Uso</v>
      </c>
      <c r="D47" s="96">
        <f>Entregáveis!$D$154</f>
        <v>0.3</v>
      </c>
      <c r="E47" s="105"/>
      <c r="F47" s="101">
        <f>IF(ISBLANK(E47),,VLOOKUP($E47,Parâmetros!$C$2:$D$6,2,FALSE)*D47)</f>
        <v>0</v>
      </c>
      <c r="G47" s="144"/>
    </row>
    <row r="48" spans="1:7" x14ac:dyDescent="0.25">
      <c r="B48" s="82"/>
      <c r="C48" s="14" t="str">
        <f>Entregáveis!$C$155</f>
        <v>Conformidade entre o escopo da proposta e o escopo do Caso de Uso Implementado</v>
      </c>
      <c r="D48" s="96">
        <f>Entregáveis!$D$155</f>
        <v>0.2</v>
      </c>
      <c r="E48" s="105"/>
      <c r="F48" s="101">
        <f>IF(ISBLANK(E48),,VLOOKUP($E48,Parâmetros!$C$2:$D$6,2,FALSE)*D48)</f>
        <v>0</v>
      </c>
      <c r="G48" s="144"/>
    </row>
    <row r="49" spans="1:7" x14ac:dyDescent="0.25">
      <c r="B49" s="84"/>
      <c r="C49" s="56" t="str">
        <f>Entregáveis!$C$156</f>
        <v>Os Erros Encontrados Não Impedem a Verificação do Caso de Uso</v>
      </c>
      <c r="D49" s="98">
        <f>Entregáveis!$D$156</f>
        <v>0.1</v>
      </c>
      <c r="E49" s="105"/>
      <c r="F49" s="101">
        <f>IF(ISBLANK(E49),,VLOOKUP($E49,Parâmetros!$C$2:$D$6,2,FALSE)*D49)</f>
        <v>0</v>
      </c>
      <c r="G49" s="144"/>
    </row>
    <row r="51" spans="1:7" x14ac:dyDescent="0.25">
      <c r="C51" s="100" t="s">
        <v>235</v>
      </c>
      <c r="D51" s="119">
        <f xml:space="preserve"> SUM(F46:F49)*10</f>
        <v>0</v>
      </c>
    </row>
    <row r="53" spans="1:7" ht="21" x14ac:dyDescent="0.3">
      <c r="A53" s="120" t="s">
        <v>234</v>
      </c>
      <c r="B53" s="253"/>
      <c r="C53" s="254"/>
      <c r="D53" s="171" t="s">
        <v>15</v>
      </c>
      <c r="E53" s="171" t="s">
        <v>213</v>
      </c>
      <c r="F53" s="171" t="s">
        <v>213</v>
      </c>
      <c r="G53" s="171" t="s">
        <v>214</v>
      </c>
    </row>
    <row r="54" spans="1:7" x14ac:dyDescent="0.25">
      <c r="B54" s="82"/>
      <c r="C54" s="163" t="str">
        <f>Entregáveis!$C$153</f>
        <v>O Caso de Uso Foi Totalmente Implementado.</v>
      </c>
      <c r="D54" s="97">
        <f>Entregáveis!$D$153</f>
        <v>0.4</v>
      </c>
      <c r="E54" s="105"/>
      <c r="F54" s="101">
        <f>IF(ISBLANK(E54),,VLOOKUP($E54,Parâmetros!$C$2:$D$6,2,FALSE)*D54)</f>
        <v>0</v>
      </c>
      <c r="G54" s="144"/>
    </row>
    <row r="55" spans="1:7" x14ac:dyDescent="0.25">
      <c r="B55" s="82"/>
      <c r="C55" s="14" t="str">
        <f>Entregáveis!$C$154</f>
        <v>Não Existem Erros que Impedem a Verificação do Caso de Uso</v>
      </c>
      <c r="D55" s="96">
        <f>Entregáveis!$D$154</f>
        <v>0.3</v>
      </c>
      <c r="E55" s="105"/>
      <c r="F55" s="101">
        <f>IF(ISBLANK(E55),,VLOOKUP($E55,Parâmetros!$C$2:$D$6,2,FALSE)*D55)</f>
        <v>0</v>
      </c>
      <c r="G55" s="144"/>
    </row>
    <row r="56" spans="1:7" x14ac:dyDescent="0.25">
      <c r="B56" s="82"/>
      <c r="C56" s="14" t="str">
        <f>Entregáveis!$C$155</f>
        <v>Conformidade entre o escopo da proposta e o escopo do Caso de Uso Implementado</v>
      </c>
      <c r="D56" s="96">
        <f>Entregáveis!$D$155</f>
        <v>0.2</v>
      </c>
      <c r="E56" s="105"/>
      <c r="F56" s="101">
        <f>IF(ISBLANK(E56),,VLOOKUP($E56,Parâmetros!$C$2:$D$6,2,FALSE)*D56)</f>
        <v>0</v>
      </c>
      <c r="G56" s="144"/>
    </row>
    <row r="57" spans="1:7" x14ac:dyDescent="0.25">
      <c r="B57" s="84"/>
      <c r="C57" s="56" t="str">
        <f>Entregáveis!$C$156</f>
        <v>Os Erros Encontrados Não Impedem a Verificação do Caso de Uso</v>
      </c>
      <c r="D57" s="98">
        <f>Entregáveis!$D$156</f>
        <v>0.1</v>
      </c>
      <c r="E57" s="105"/>
      <c r="F57" s="101">
        <f>IF(ISBLANK(E57),,VLOOKUP($E57,Parâmetros!$C$2:$D$6,2,FALSE)*D57)</f>
        <v>0</v>
      </c>
      <c r="G57" s="144"/>
    </row>
    <row r="59" spans="1:7" x14ac:dyDescent="0.25">
      <c r="C59" s="100" t="s">
        <v>235</v>
      </c>
      <c r="D59" s="119">
        <f xml:space="preserve"> SUM(F54:F57)*10</f>
        <v>0</v>
      </c>
    </row>
    <row r="61" spans="1:7" ht="21" x14ac:dyDescent="0.3">
      <c r="A61" s="120" t="s">
        <v>234</v>
      </c>
      <c r="B61" s="253"/>
      <c r="C61" s="254"/>
      <c r="D61" s="171" t="s">
        <v>15</v>
      </c>
      <c r="E61" s="171" t="s">
        <v>213</v>
      </c>
      <c r="F61" s="171" t="s">
        <v>213</v>
      </c>
      <c r="G61" s="171" t="s">
        <v>214</v>
      </c>
    </row>
    <row r="62" spans="1:7" x14ac:dyDescent="0.25">
      <c r="B62" s="82"/>
      <c r="C62" s="163" t="str">
        <f>Entregáveis!$C$153</f>
        <v>O Caso de Uso Foi Totalmente Implementado.</v>
      </c>
      <c r="D62" s="97">
        <f>Entregáveis!$D$153</f>
        <v>0.4</v>
      </c>
      <c r="E62" s="105"/>
      <c r="F62" s="101">
        <f>IF(ISBLANK(E62),,VLOOKUP($E62,Parâmetros!$C$2:$D$6,2,FALSE)*D62)</f>
        <v>0</v>
      </c>
      <c r="G62" s="144"/>
    </row>
    <row r="63" spans="1:7" x14ac:dyDescent="0.25">
      <c r="B63" s="82"/>
      <c r="C63" s="14" t="str">
        <f>Entregáveis!$C$154</f>
        <v>Não Existem Erros que Impedem a Verificação do Caso de Uso</v>
      </c>
      <c r="D63" s="96">
        <f>Entregáveis!$D$154</f>
        <v>0.3</v>
      </c>
      <c r="E63" s="105"/>
      <c r="F63" s="101">
        <f>IF(ISBLANK(E63),,VLOOKUP($E63,Parâmetros!$C$2:$D$6,2,FALSE)*D63)</f>
        <v>0</v>
      </c>
      <c r="G63" s="144"/>
    </row>
    <row r="64" spans="1:7" x14ac:dyDescent="0.25">
      <c r="B64" s="82"/>
      <c r="C64" s="14" t="str">
        <f>Entregáveis!$C$155</f>
        <v>Conformidade entre o escopo da proposta e o escopo do Caso de Uso Implementado</v>
      </c>
      <c r="D64" s="96">
        <f>Entregáveis!$D$155</f>
        <v>0.2</v>
      </c>
      <c r="E64" s="105"/>
      <c r="F64" s="101">
        <f>IF(ISBLANK(E64),,VLOOKUP($E64,Parâmetros!$C$2:$D$6,2,FALSE)*D64)</f>
        <v>0</v>
      </c>
      <c r="G64" s="144"/>
    </row>
    <row r="65" spans="1:7" x14ac:dyDescent="0.25">
      <c r="B65" s="84"/>
      <c r="C65" s="56" t="str">
        <f>Entregáveis!$C$156</f>
        <v>Os Erros Encontrados Não Impedem a Verificação do Caso de Uso</v>
      </c>
      <c r="D65" s="98">
        <f>Entregáveis!$D$156</f>
        <v>0.1</v>
      </c>
      <c r="E65" s="105"/>
      <c r="F65" s="101">
        <f>IF(ISBLANK(E65),,VLOOKUP($E65,Parâmetros!$C$2:$D$6,2,FALSE)*D65)</f>
        <v>0</v>
      </c>
      <c r="G65" s="144"/>
    </row>
    <row r="67" spans="1:7" x14ac:dyDescent="0.25">
      <c r="C67" s="100" t="s">
        <v>235</v>
      </c>
      <c r="D67" s="119">
        <f xml:space="preserve"> SUM(F62:F65)*10</f>
        <v>0</v>
      </c>
    </row>
    <row r="69" spans="1:7" ht="21" x14ac:dyDescent="0.3">
      <c r="A69" s="120" t="s">
        <v>234</v>
      </c>
      <c r="B69" s="253"/>
      <c r="C69" s="254"/>
      <c r="D69" s="171" t="s">
        <v>15</v>
      </c>
      <c r="E69" s="171" t="s">
        <v>213</v>
      </c>
      <c r="F69" s="171" t="s">
        <v>213</v>
      </c>
      <c r="G69" s="171" t="s">
        <v>214</v>
      </c>
    </row>
    <row r="70" spans="1:7" x14ac:dyDescent="0.25">
      <c r="B70" s="82"/>
      <c r="C70" s="163" t="str">
        <f>Entregáveis!$C$153</f>
        <v>O Caso de Uso Foi Totalmente Implementado.</v>
      </c>
      <c r="D70" s="97">
        <f>Entregáveis!$D$153</f>
        <v>0.4</v>
      </c>
      <c r="E70" s="105"/>
      <c r="F70" s="101">
        <f>IF(ISBLANK(E70),,VLOOKUP($E70,Parâmetros!$C$2:$D$6,2,FALSE)*D70)</f>
        <v>0</v>
      </c>
      <c r="G70" s="144"/>
    </row>
    <row r="71" spans="1:7" x14ac:dyDescent="0.25">
      <c r="B71" s="82"/>
      <c r="C71" s="14" t="str">
        <f>Entregáveis!$C$154</f>
        <v>Não Existem Erros que Impedem a Verificação do Caso de Uso</v>
      </c>
      <c r="D71" s="96">
        <f>Entregáveis!$D$154</f>
        <v>0.3</v>
      </c>
      <c r="E71" s="105"/>
      <c r="F71" s="101">
        <f>IF(ISBLANK(E71),,VLOOKUP($E71,Parâmetros!$C$2:$D$6,2,FALSE)*D71)</f>
        <v>0</v>
      </c>
      <c r="G71" s="144"/>
    </row>
    <row r="72" spans="1:7" x14ac:dyDescent="0.25">
      <c r="B72" s="82"/>
      <c r="C72" s="14" t="str">
        <f>Entregáveis!$C$155</f>
        <v>Conformidade entre o escopo da proposta e o escopo do Caso de Uso Implementado</v>
      </c>
      <c r="D72" s="96">
        <f>Entregáveis!$D$155</f>
        <v>0.2</v>
      </c>
      <c r="E72" s="105"/>
      <c r="F72" s="101">
        <f>IF(ISBLANK(E72),,VLOOKUP($E72,Parâmetros!$C$2:$D$6,2,FALSE)*D72)</f>
        <v>0</v>
      </c>
      <c r="G72" s="144"/>
    </row>
    <row r="73" spans="1:7" x14ac:dyDescent="0.25">
      <c r="B73" s="84"/>
      <c r="C73" s="56" t="str">
        <f>Entregáveis!$C$156</f>
        <v>Os Erros Encontrados Não Impedem a Verificação do Caso de Uso</v>
      </c>
      <c r="D73" s="98">
        <f>Entregáveis!$D$156</f>
        <v>0.1</v>
      </c>
      <c r="E73" s="105"/>
      <c r="F73" s="101">
        <f>IF(ISBLANK(E73),,VLOOKUP($E73,Parâmetros!$C$2:$D$6,2,FALSE)*D73)</f>
        <v>0</v>
      </c>
      <c r="G73" s="144"/>
    </row>
    <row r="75" spans="1:7" x14ac:dyDescent="0.25">
      <c r="C75" s="100" t="s">
        <v>235</v>
      </c>
      <c r="D75" s="119">
        <f xml:space="preserve"> SUM(F70:F73)*10</f>
        <v>0</v>
      </c>
    </row>
    <row r="77" spans="1:7" ht="21" x14ac:dyDescent="0.3">
      <c r="A77" s="120" t="s">
        <v>234</v>
      </c>
      <c r="B77" s="253"/>
      <c r="C77" s="254"/>
      <c r="D77" s="171" t="s">
        <v>15</v>
      </c>
      <c r="E77" s="171" t="s">
        <v>213</v>
      </c>
      <c r="F77" s="171" t="s">
        <v>213</v>
      </c>
      <c r="G77" s="171" t="s">
        <v>214</v>
      </c>
    </row>
    <row r="78" spans="1:7" x14ac:dyDescent="0.25">
      <c r="B78" s="82"/>
      <c r="C78" s="163" t="str">
        <f>Entregáveis!$C$153</f>
        <v>O Caso de Uso Foi Totalmente Implementado.</v>
      </c>
      <c r="D78" s="97">
        <f>Entregáveis!$D$153</f>
        <v>0.4</v>
      </c>
      <c r="E78" s="105"/>
      <c r="F78" s="101">
        <f>IF(ISBLANK(E78),,VLOOKUP($E78,Parâmetros!$C$2:$D$6,2,FALSE)*D78)</f>
        <v>0</v>
      </c>
      <c r="G78" s="144"/>
    </row>
    <row r="79" spans="1:7" x14ac:dyDescent="0.25">
      <c r="B79" s="82"/>
      <c r="C79" s="14" t="str">
        <f>Entregáveis!$C$154</f>
        <v>Não Existem Erros que Impedem a Verificação do Caso de Uso</v>
      </c>
      <c r="D79" s="96">
        <f>Entregáveis!$D$154</f>
        <v>0.3</v>
      </c>
      <c r="E79" s="105"/>
      <c r="F79" s="101">
        <f>IF(ISBLANK(E79),,VLOOKUP($E79,Parâmetros!$C$2:$D$6,2,FALSE)*D79)</f>
        <v>0</v>
      </c>
      <c r="G79" s="144"/>
    </row>
    <row r="80" spans="1:7" x14ac:dyDescent="0.25">
      <c r="B80" s="82"/>
      <c r="C80" s="14" t="str">
        <f>Entregáveis!$C$155</f>
        <v>Conformidade entre o escopo da proposta e o escopo do Caso de Uso Implementado</v>
      </c>
      <c r="D80" s="96">
        <f>Entregáveis!$D$155</f>
        <v>0.2</v>
      </c>
      <c r="E80" s="105"/>
      <c r="F80" s="101">
        <f>IF(ISBLANK(E80),,VLOOKUP($E80,Parâmetros!$C$2:$D$6,2,FALSE)*D80)</f>
        <v>0</v>
      </c>
      <c r="G80" s="144"/>
    </row>
    <row r="81" spans="1:7" x14ac:dyDescent="0.25">
      <c r="B81" s="84"/>
      <c r="C81" s="56" t="str">
        <f>Entregáveis!$C$156</f>
        <v>Os Erros Encontrados Não Impedem a Verificação do Caso de Uso</v>
      </c>
      <c r="D81" s="98">
        <f>Entregáveis!$D$156</f>
        <v>0.1</v>
      </c>
      <c r="E81" s="105"/>
      <c r="F81" s="101">
        <f>IF(ISBLANK(E81),,VLOOKUP($E81,Parâmetros!$C$2:$D$6,2,FALSE)*D81)</f>
        <v>0</v>
      </c>
      <c r="G81" s="144"/>
    </row>
    <row r="83" spans="1:7" x14ac:dyDescent="0.25">
      <c r="C83" s="100" t="s">
        <v>235</v>
      </c>
      <c r="D83" s="119">
        <f xml:space="preserve"> SUM(F78:F81)*10</f>
        <v>0</v>
      </c>
    </row>
    <row r="85" spans="1:7" ht="21" x14ac:dyDescent="0.3">
      <c r="A85" s="120" t="s">
        <v>234</v>
      </c>
      <c r="B85" s="253"/>
      <c r="C85" s="254"/>
      <c r="D85" s="171" t="s">
        <v>15</v>
      </c>
      <c r="E85" s="171" t="s">
        <v>213</v>
      </c>
      <c r="F85" s="171" t="s">
        <v>213</v>
      </c>
      <c r="G85" s="171" t="s">
        <v>214</v>
      </c>
    </row>
    <row r="86" spans="1:7" x14ac:dyDescent="0.25">
      <c r="B86" s="82"/>
      <c r="C86" s="163" t="str">
        <f>Entregáveis!$C$153</f>
        <v>O Caso de Uso Foi Totalmente Implementado.</v>
      </c>
      <c r="D86" s="97">
        <f>Entregáveis!$D$153</f>
        <v>0.4</v>
      </c>
      <c r="E86" s="105"/>
      <c r="F86" s="101">
        <f>IF(ISBLANK(E86),,VLOOKUP($E86,Parâmetros!$C$2:$D$6,2,FALSE)*D86)</f>
        <v>0</v>
      </c>
      <c r="G86" s="144"/>
    </row>
    <row r="87" spans="1:7" x14ac:dyDescent="0.25">
      <c r="B87" s="82"/>
      <c r="C87" s="14" t="str">
        <f>Entregáveis!$C$154</f>
        <v>Não Existem Erros que Impedem a Verificação do Caso de Uso</v>
      </c>
      <c r="D87" s="96">
        <f>Entregáveis!$D$154</f>
        <v>0.3</v>
      </c>
      <c r="E87" s="105"/>
      <c r="F87" s="101">
        <f>IF(ISBLANK(E87),,VLOOKUP($E87,Parâmetros!$C$2:$D$6,2,FALSE)*D87)</f>
        <v>0</v>
      </c>
      <c r="G87" s="144"/>
    </row>
    <row r="88" spans="1:7" x14ac:dyDescent="0.25">
      <c r="B88" s="82"/>
      <c r="C88" s="14" t="str">
        <f>Entregáveis!$C$155</f>
        <v>Conformidade entre o escopo da proposta e o escopo do Caso de Uso Implementado</v>
      </c>
      <c r="D88" s="96">
        <f>Entregáveis!$D$155</f>
        <v>0.2</v>
      </c>
      <c r="E88" s="105"/>
      <c r="F88" s="101">
        <f>IF(ISBLANK(E88),,VLOOKUP($E88,Parâmetros!$C$2:$D$6,2,FALSE)*D88)</f>
        <v>0</v>
      </c>
      <c r="G88" s="144"/>
    </row>
    <row r="89" spans="1:7" x14ac:dyDescent="0.25">
      <c r="B89" s="84"/>
      <c r="C89" s="56" t="str">
        <f>Entregáveis!$C$156</f>
        <v>Os Erros Encontrados Não Impedem a Verificação do Caso de Uso</v>
      </c>
      <c r="D89" s="98">
        <f>Entregáveis!$D$156</f>
        <v>0.1</v>
      </c>
      <c r="E89" s="105"/>
      <c r="F89" s="101">
        <f>IF(ISBLANK(E89),,VLOOKUP($E89,Parâmetros!$C$2:$D$6,2,FALSE)*D89)</f>
        <v>0</v>
      </c>
      <c r="G89" s="144"/>
    </row>
    <row r="91" spans="1:7" x14ac:dyDescent="0.25">
      <c r="C91" s="100" t="s">
        <v>235</v>
      </c>
      <c r="D91" s="119">
        <f xml:space="preserve"> SUM(F86:F89)*10</f>
        <v>0</v>
      </c>
    </row>
    <row r="93" spans="1:7" ht="21" x14ac:dyDescent="0.3">
      <c r="A93" s="120" t="s">
        <v>234</v>
      </c>
      <c r="B93" s="253"/>
      <c r="C93" s="254"/>
      <c r="D93" s="171" t="s">
        <v>15</v>
      </c>
      <c r="E93" s="171" t="s">
        <v>213</v>
      </c>
      <c r="F93" s="171" t="s">
        <v>213</v>
      </c>
      <c r="G93" s="171" t="s">
        <v>214</v>
      </c>
    </row>
    <row r="94" spans="1:7" x14ac:dyDescent="0.25">
      <c r="B94" s="82"/>
      <c r="C94" s="163" t="str">
        <f>Entregáveis!$C$153</f>
        <v>O Caso de Uso Foi Totalmente Implementado.</v>
      </c>
      <c r="D94" s="97">
        <f>Entregáveis!$D$153</f>
        <v>0.4</v>
      </c>
      <c r="E94" s="105"/>
      <c r="F94" s="101">
        <f>IF(ISBLANK(E94),,VLOOKUP($E94,Parâmetros!$C$2:$D$6,2,FALSE)*D94)</f>
        <v>0</v>
      </c>
      <c r="G94" s="144"/>
    </row>
    <row r="95" spans="1:7" x14ac:dyDescent="0.25">
      <c r="B95" s="82"/>
      <c r="C95" s="14" t="str">
        <f>Entregáveis!$C$154</f>
        <v>Não Existem Erros que Impedem a Verificação do Caso de Uso</v>
      </c>
      <c r="D95" s="96">
        <f>Entregáveis!$D$154</f>
        <v>0.3</v>
      </c>
      <c r="E95" s="105"/>
      <c r="F95" s="101">
        <f>IF(ISBLANK(E95),,VLOOKUP($E95,Parâmetros!$C$2:$D$6,2,FALSE)*D95)</f>
        <v>0</v>
      </c>
      <c r="G95" s="144"/>
    </row>
    <row r="96" spans="1:7" x14ac:dyDescent="0.25">
      <c r="B96" s="82"/>
      <c r="C96" s="14" t="str">
        <f>Entregáveis!$C$155</f>
        <v>Conformidade entre o escopo da proposta e o escopo do Caso de Uso Implementado</v>
      </c>
      <c r="D96" s="96">
        <f>Entregáveis!$D$155</f>
        <v>0.2</v>
      </c>
      <c r="E96" s="105"/>
      <c r="F96" s="101">
        <f>IF(ISBLANK(E96),,VLOOKUP($E96,Parâmetros!$C$2:$D$6,2,FALSE)*D96)</f>
        <v>0</v>
      </c>
      <c r="G96" s="144"/>
    </row>
    <row r="97" spans="1:7" x14ac:dyDescent="0.25">
      <c r="B97" s="84"/>
      <c r="C97" s="56" t="str">
        <f>Entregáveis!$C$156</f>
        <v>Os Erros Encontrados Não Impedem a Verificação do Caso de Uso</v>
      </c>
      <c r="D97" s="98">
        <f>Entregáveis!$D$156</f>
        <v>0.1</v>
      </c>
      <c r="E97" s="105"/>
      <c r="F97" s="101">
        <f>IF(ISBLANK(E97),,VLOOKUP($E97,Parâmetros!$C$2:$D$6,2,FALSE)*D97)</f>
        <v>0</v>
      </c>
      <c r="G97" s="144"/>
    </row>
    <row r="99" spans="1:7" x14ac:dyDescent="0.25">
      <c r="C99" s="100" t="s">
        <v>235</v>
      </c>
      <c r="D99" s="119">
        <f xml:space="preserve"> SUM(F94:F97)*10</f>
        <v>0</v>
      </c>
    </row>
    <row r="101" spans="1:7" ht="21" x14ac:dyDescent="0.3">
      <c r="A101" s="120" t="s">
        <v>234</v>
      </c>
      <c r="B101" s="253"/>
      <c r="C101" s="254"/>
      <c r="D101" s="171" t="s">
        <v>15</v>
      </c>
      <c r="E101" s="171" t="s">
        <v>213</v>
      </c>
      <c r="F101" s="171" t="s">
        <v>213</v>
      </c>
      <c r="G101" s="171" t="s">
        <v>214</v>
      </c>
    </row>
    <row r="102" spans="1:7" x14ac:dyDescent="0.25">
      <c r="B102" s="82"/>
      <c r="C102" s="163" t="str">
        <f>Entregáveis!$C$153</f>
        <v>O Caso de Uso Foi Totalmente Implementado.</v>
      </c>
      <c r="D102" s="97">
        <f>Entregáveis!$D$153</f>
        <v>0.4</v>
      </c>
      <c r="E102" s="105"/>
      <c r="F102" s="101">
        <f>IF(ISBLANK(E102),,VLOOKUP($E102,Parâmetros!$C$2:$D$6,2,FALSE)*D102)</f>
        <v>0</v>
      </c>
      <c r="G102" s="144"/>
    </row>
    <row r="103" spans="1:7" x14ac:dyDescent="0.25">
      <c r="B103" s="82"/>
      <c r="C103" s="14" t="str">
        <f>Entregáveis!$C$154</f>
        <v>Não Existem Erros que Impedem a Verificação do Caso de Uso</v>
      </c>
      <c r="D103" s="96">
        <f>Entregáveis!$D$154</f>
        <v>0.3</v>
      </c>
      <c r="E103" s="105"/>
      <c r="F103" s="101">
        <f>IF(ISBLANK(E103),,VLOOKUP($E103,Parâmetros!$C$2:$D$6,2,FALSE)*D103)</f>
        <v>0</v>
      </c>
      <c r="G103" s="144"/>
    </row>
    <row r="104" spans="1:7" x14ac:dyDescent="0.25">
      <c r="B104" s="82"/>
      <c r="C104" s="14" t="str">
        <f>Entregáveis!$C$155</f>
        <v>Conformidade entre o escopo da proposta e o escopo do Caso de Uso Implementado</v>
      </c>
      <c r="D104" s="96">
        <f>Entregáveis!$D$155</f>
        <v>0.2</v>
      </c>
      <c r="E104" s="105"/>
      <c r="F104" s="101">
        <f>IF(ISBLANK(E104),,VLOOKUP($E104,Parâmetros!$C$2:$D$6,2,FALSE)*D104)</f>
        <v>0</v>
      </c>
      <c r="G104" s="144"/>
    </row>
    <row r="105" spans="1:7" x14ac:dyDescent="0.25">
      <c r="B105" s="84"/>
      <c r="C105" s="56" t="str">
        <f>Entregáveis!$C$156</f>
        <v>Os Erros Encontrados Não Impedem a Verificação do Caso de Uso</v>
      </c>
      <c r="D105" s="98">
        <f>Entregáveis!$D$156</f>
        <v>0.1</v>
      </c>
      <c r="E105" s="105"/>
      <c r="F105" s="101">
        <f>IF(ISBLANK(E105),,VLOOKUP($E105,Parâmetros!$C$2:$D$6,2,FALSE)*D105)</f>
        <v>0</v>
      </c>
      <c r="G105" s="144"/>
    </row>
    <row r="107" spans="1:7" x14ac:dyDescent="0.25">
      <c r="C107" s="100" t="s">
        <v>235</v>
      </c>
      <c r="D107" s="119">
        <f xml:space="preserve"> SUM(F102:F105)*10</f>
        <v>0</v>
      </c>
    </row>
    <row r="109" spans="1:7" ht="21" x14ac:dyDescent="0.3">
      <c r="A109" s="120" t="s">
        <v>234</v>
      </c>
      <c r="B109" s="253"/>
      <c r="C109" s="254"/>
      <c r="D109" s="171" t="s">
        <v>15</v>
      </c>
      <c r="E109" s="171" t="s">
        <v>213</v>
      </c>
      <c r="F109" s="171" t="s">
        <v>213</v>
      </c>
      <c r="G109" s="171" t="s">
        <v>214</v>
      </c>
    </row>
    <row r="110" spans="1:7" x14ac:dyDescent="0.25">
      <c r="B110" s="82"/>
      <c r="C110" s="163" t="str">
        <f>Entregáveis!$C$153</f>
        <v>O Caso de Uso Foi Totalmente Implementado.</v>
      </c>
      <c r="D110" s="97">
        <f>Entregáveis!$D$153</f>
        <v>0.4</v>
      </c>
      <c r="E110" s="105"/>
      <c r="F110" s="101">
        <f>IF(ISBLANK(E110),,VLOOKUP($E110,Parâmetros!$C$2:$D$6,2,FALSE)*D110)</f>
        <v>0</v>
      </c>
      <c r="G110" s="144"/>
    </row>
    <row r="111" spans="1:7" x14ac:dyDescent="0.25">
      <c r="B111" s="82"/>
      <c r="C111" s="14" t="str">
        <f>Entregáveis!$C$154</f>
        <v>Não Existem Erros que Impedem a Verificação do Caso de Uso</v>
      </c>
      <c r="D111" s="96">
        <f>Entregáveis!$D$154</f>
        <v>0.3</v>
      </c>
      <c r="E111" s="105"/>
      <c r="F111" s="101">
        <f>IF(ISBLANK(E111),,VLOOKUP($E111,Parâmetros!$C$2:$D$6,2,FALSE)*D111)</f>
        <v>0</v>
      </c>
      <c r="G111" s="144"/>
    </row>
    <row r="112" spans="1:7" x14ac:dyDescent="0.25">
      <c r="B112" s="82"/>
      <c r="C112" s="14" t="str">
        <f>Entregáveis!$C$155</f>
        <v>Conformidade entre o escopo da proposta e o escopo do Caso de Uso Implementado</v>
      </c>
      <c r="D112" s="96">
        <f>Entregáveis!$D$155</f>
        <v>0.2</v>
      </c>
      <c r="E112" s="105"/>
      <c r="F112" s="101">
        <f>IF(ISBLANK(E112),,VLOOKUP($E112,Parâmetros!$C$2:$D$6,2,FALSE)*D112)</f>
        <v>0</v>
      </c>
      <c r="G112" s="144"/>
    </row>
    <row r="113" spans="2:7" x14ac:dyDescent="0.25">
      <c r="B113" s="84"/>
      <c r="C113" s="56" t="str">
        <f>Entregáveis!$C$156</f>
        <v>Os Erros Encontrados Não Impedem a Verificação do Caso de Uso</v>
      </c>
      <c r="D113" s="98">
        <f>Entregáveis!$D$156</f>
        <v>0.1</v>
      </c>
      <c r="E113" s="105"/>
      <c r="F113" s="101">
        <f>IF(ISBLANK(E113),,VLOOKUP($E113,Parâmetros!$C$2:$D$6,2,FALSE)*D113)</f>
        <v>0</v>
      </c>
      <c r="G113" s="144"/>
    </row>
    <row r="115" spans="2:7" x14ac:dyDescent="0.25">
      <c r="C115" s="100" t="s">
        <v>235</v>
      </c>
      <c r="D115" s="119">
        <f xml:space="preserve"> SUM(F110:F113)*10</f>
        <v>0</v>
      </c>
    </row>
  </sheetData>
  <sheetProtection password="8352" sheet="1" objects="1" scenarios="1"/>
  <protectedRanges>
    <protectedRange sqref="B77 G102:G105 E78:E81 G78:G81 B85 B109 E86:E89 G86:G89 B93 G110:G113 E94:E97 G94:G97 B101 E110:E113 E102:E105" name="UC002_1"/>
    <protectedRange sqref="B37 G62:G65 G38:G41 B45 B69 E46:E49 G46:G49 B53 G70:G73 E54:E57 G54:G57 B61 E70:E73 E62:E65 E38:E41" name="UC001_1"/>
    <protectedRange sqref="D31:D32" name="Avaliação_1"/>
  </protectedRanges>
  <mergeCells count="11">
    <mergeCell ref="B8:C8"/>
    <mergeCell ref="B37:C37"/>
    <mergeCell ref="B45:C45"/>
    <mergeCell ref="B53:C53"/>
    <mergeCell ref="B101:C101"/>
    <mergeCell ref="B109:C109"/>
    <mergeCell ref="B61:C61"/>
    <mergeCell ref="B69:C69"/>
    <mergeCell ref="B77:C77"/>
    <mergeCell ref="B85:C85"/>
    <mergeCell ref="B93:C93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count="12">
        <x14:dataValidation type="list" allowBlank="1" showInputMessage="1" showErrorMessage="1">
          <x14:formula1>
            <xm:f>Parâmetros!$C$2:$C$6</xm:f>
          </x14:formula1>
          <xm:sqref>E102:E105 E110:E113 E46:E49 E54:E57 E62:E65 E70:E73 E78:E81 E86:E89 E94:E97 E38:E41</xm:sqref>
        </x14:dataValidation>
        <x14:dataValidation type="list" allowBlank="1" showInputMessage="1" showErrorMessage="1">
          <x14:formula1>
            <xm:f>Parâmetros!$H$2:$H$3</xm:f>
          </x14:formula1>
          <xm:sqref>D32</xm:sqref>
        </x14:dataValidation>
        <x14:dataValidation type="list" allowBlank="1" showInputMessage="1" showErrorMessage="1">
          <x14:formula1>
            <xm:f>UCP!$C$32:$C$76</xm:f>
          </x14:formula1>
          <xm:sqref>B53</xm:sqref>
        </x14:dataValidation>
        <x14:dataValidation type="list" allowBlank="1" showInputMessage="1" showErrorMessage="1">
          <x14:formula1>
            <xm:f>UCP!$C$32:$C$76</xm:f>
          </x14:formula1>
          <xm:sqref>B101</xm:sqref>
        </x14:dataValidation>
        <x14:dataValidation type="list" allowBlank="1" showInputMessage="1" showErrorMessage="1">
          <x14:formula1>
            <xm:f>UCP!$C$32:$C$76</xm:f>
          </x14:formula1>
          <xm:sqref>B93</xm:sqref>
        </x14:dataValidation>
        <x14:dataValidation type="list" allowBlank="1" showInputMessage="1" showErrorMessage="1">
          <x14:formula1>
            <xm:f>UCP!$C$32:$C$76</xm:f>
          </x14:formula1>
          <xm:sqref>B85</xm:sqref>
        </x14:dataValidation>
        <x14:dataValidation type="list" allowBlank="1" showInputMessage="1" showErrorMessage="1">
          <x14:formula1>
            <xm:f>UCP!$C$32:$C$76</xm:f>
          </x14:formula1>
          <xm:sqref>B77</xm:sqref>
        </x14:dataValidation>
        <x14:dataValidation type="list" allowBlank="1" showInputMessage="1" showErrorMessage="1">
          <x14:formula1>
            <xm:f>UCP!$C$32:$C$76</xm:f>
          </x14:formula1>
          <xm:sqref>B69</xm:sqref>
        </x14:dataValidation>
        <x14:dataValidation type="list" allowBlank="1" showInputMessage="1" showErrorMessage="1">
          <x14:formula1>
            <xm:f>UCP!$C$32:$C$76</xm:f>
          </x14:formula1>
          <xm:sqref>B61</xm:sqref>
        </x14:dataValidation>
        <x14:dataValidation type="list" allowBlank="1" showInputMessage="1" showErrorMessage="1">
          <x14:formula1>
            <xm:f>UCP!$C$32:$C$76</xm:f>
          </x14:formula1>
          <xm:sqref>B45</xm:sqref>
        </x14:dataValidation>
        <x14:dataValidation type="list" allowBlank="1" showInputMessage="1" showErrorMessage="1">
          <x14:formula1>
            <xm:f>UCP!$C$32:$C$76</xm:f>
          </x14:formula1>
          <xm:sqref>B37</xm:sqref>
        </x14:dataValidation>
        <x14:dataValidation type="list" allowBlank="1" showInputMessage="1" showErrorMessage="1">
          <x14:formula1>
            <xm:f>UCP!$C$32:$C$76</xm:f>
          </x14:formula1>
          <xm:sqref>B109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G51"/>
  <sheetViews>
    <sheetView topLeftCell="A34" zoomScale="80" zoomScaleNormal="80" workbookViewId="0">
      <selection activeCell="E49" sqref="E49"/>
    </sheetView>
  </sheetViews>
  <sheetFormatPr defaultRowHeight="15" x14ac:dyDescent="0.25"/>
  <cols>
    <col min="1" max="1" width="9.140625" style="1"/>
    <col min="2" max="2" width="10.28515625" style="1" customWidth="1"/>
    <col min="3" max="3" width="52.85546875" style="1" customWidth="1"/>
    <col min="4" max="4" width="19.7109375" style="1" customWidth="1"/>
    <col min="5" max="5" width="21.42578125" style="1" customWidth="1"/>
    <col min="6" max="6" width="17.85546875" style="1" customWidth="1"/>
    <col min="7" max="7" width="42.85546875" style="1" customWidth="1"/>
    <col min="8" max="16384" width="9.140625" style="1"/>
  </cols>
  <sheetData>
    <row r="6" spans="1:7" x14ac:dyDescent="0.25">
      <c r="A6" s="11" t="s">
        <v>317</v>
      </c>
    </row>
    <row r="8" spans="1:7" ht="25.5" x14ac:dyDescent="0.25">
      <c r="C8" s="133" t="s">
        <v>91</v>
      </c>
      <c r="D8" s="149" t="s">
        <v>259</v>
      </c>
      <c r="E8" s="149" t="s">
        <v>230</v>
      </c>
      <c r="F8" s="191" t="s">
        <v>260</v>
      </c>
      <c r="G8" s="192"/>
    </row>
    <row r="9" spans="1:7" x14ac:dyDescent="0.25">
      <c r="C9" s="20" t="str">
        <f>IF(ISBLANK('Dados do Projeto'!$C$17),"",'Dados do Projeto'!$C$17)</f>
        <v>Luiz Fernando Nascimento da Cruz</v>
      </c>
      <c r="D9" s="141">
        <v>1</v>
      </c>
      <c r="E9" s="142">
        <f>$E$19*D9</f>
        <v>2.2949999999999999</v>
      </c>
      <c r="F9" s="260"/>
      <c r="G9" s="260"/>
    </row>
    <row r="10" spans="1:7" x14ac:dyDescent="0.25">
      <c r="C10" s="20" t="str">
        <f>IF(ISBLANK('Dados do Projeto'!$C$18),"",'Dados do Projeto'!$C$18)</f>
        <v>Jaqueline Talita Winckes</v>
      </c>
      <c r="D10" s="141">
        <v>1</v>
      </c>
      <c r="E10" s="142">
        <f>$E$19*D10</f>
        <v>2.2949999999999999</v>
      </c>
      <c r="F10" s="260"/>
      <c r="G10" s="260"/>
    </row>
    <row r="11" spans="1:7" x14ac:dyDescent="0.25">
      <c r="C11" s="20" t="str">
        <f>IF(ISBLANK('Dados do Projeto'!$C$19),"",'Dados do Projeto'!$C$19)</f>
        <v>Paulo Henrique Ferreira de Lima</v>
      </c>
      <c r="D11" s="141">
        <v>1</v>
      </c>
      <c r="E11" s="142">
        <f>$E$19*D11</f>
        <v>2.2949999999999999</v>
      </c>
      <c r="F11" s="260"/>
      <c r="G11" s="260"/>
    </row>
    <row r="14" spans="1:7" x14ac:dyDescent="0.25">
      <c r="C14" s="149" t="s">
        <v>239</v>
      </c>
      <c r="D14" s="149" t="s">
        <v>15</v>
      </c>
      <c r="E14" s="149" t="s">
        <v>230</v>
      </c>
      <c r="F14" s="133" t="s">
        <v>231</v>
      </c>
    </row>
    <row r="15" spans="1:7" x14ac:dyDescent="0.25">
      <c r="C15" s="131" t="str">
        <f>B25</f>
        <v>Banca Física - Manual do Sistema</v>
      </c>
      <c r="D15" s="95">
        <v>0.05</v>
      </c>
      <c r="E15" s="134">
        <f>E30</f>
        <v>0</v>
      </c>
      <c r="F15" s="137">
        <f>D15*E15</f>
        <v>0</v>
      </c>
    </row>
    <row r="16" spans="1:7" x14ac:dyDescent="0.25">
      <c r="C16" s="129" t="str">
        <f>B35</f>
        <v>Banca Física - Apresentação da Equipe</v>
      </c>
      <c r="D16" s="79">
        <v>0.1</v>
      </c>
      <c r="E16" s="135">
        <f>E42</f>
        <v>0</v>
      </c>
      <c r="F16" s="138">
        <f>D16*E16</f>
        <v>0</v>
      </c>
    </row>
    <row r="17" spans="1:7" x14ac:dyDescent="0.25">
      <c r="C17" s="130" t="str">
        <f>B46</f>
        <v>Banca Física - Conteúdo Técnico</v>
      </c>
      <c r="D17" s="89">
        <v>0.85</v>
      </c>
      <c r="E17" s="136">
        <f>E51</f>
        <v>3</v>
      </c>
      <c r="F17" s="139">
        <f>D17*E17</f>
        <v>2.5499999999999998</v>
      </c>
    </row>
    <row r="18" spans="1:7" x14ac:dyDescent="0.25">
      <c r="F18" s="165">
        <f>SUM(F15:F17)</f>
        <v>2.5499999999999998</v>
      </c>
    </row>
    <row r="19" spans="1:7" x14ac:dyDescent="0.25">
      <c r="D19" s="100" t="s">
        <v>327</v>
      </c>
      <c r="E19" s="119">
        <f>IF(F18 - (F18*10%*F20)&lt;0,0,(F18- (F18*10%*F20)))</f>
        <v>2.2949999999999999</v>
      </c>
    </row>
    <row r="20" spans="1:7" x14ac:dyDescent="0.25">
      <c r="D20" s="164" t="s">
        <v>310</v>
      </c>
      <c r="E20" s="173"/>
      <c r="F20" s="104">
        <f>IF(EXACT(E21,Parâmetros!$H$2),E20,E20+1)</f>
        <v>1</v>
      </c>
    </row>
    <row r="21" spans="1:7" x14ac:dyDescent="0.25">
      <c r="D21" s="164" t="s">
        <v>333</v>
      </c>
      <c r="E21" s="173" t="s">
        <v>332</v>
      </c>
    </row>
    <row r="23" spans="1:7" x14ac:dyDescent="0.25">
      <c r="A23" s="11" t="s">
        <v>256</v>
      </c>
    </row>
    <row r="25" spans="1:7" ht="20.25" x14ac:dyDescent="0.25">
      <c r="B25" s="239" t="str">
        <f>Entregáveis!B160</f>
        <v>Banca Física - Manual do Sistema</v>
      </c>
      <c r="C25" s="240"/>
      <c r="D25" s="149" t="s">
        <v>15</v>
      </c>
      <c r="E25" s="149" t="s">
        <v>253</v>
      </c>
      <c r="F25" s="149" t="s">
        <v>253</v>
      </c>
      <c r="G25" s="149" t="s">
        <v>254</v>
      </c>
    </row>
    <row r="26" spans="1:7" x14ac:dyDescent="0.25">
      <c r="B26" s="99"/>
      <c r="C26" s="94" t="str">
        <f>Entregáveis!C161</f>
        <v>Realização de Todas as Correções Solicitadas na Banca Lógica</v>
      </c>
      <c r="D26" s="166">
        <f>Entregáveis!D161</f>
        <v>0.2</v>
      </c>
      <c r="E26" s="105"/>
      <c r="F26" s="101">
        <f>IF(ISBLANK(E26),0,VLOOKUP($E26,Parâmetros!$C$2:$D$6,2,FALSE)*D26)</f>
        <v>0</v>
      </c>
      <c r="G26" s="144"/>
    </row>
    <row r="27" spans="1:7" x14ac:dyDescent="0.25">
      <c r="B27" s="99"/>
      <c r="C27" s="94" t="str">
        <f>Entregáveis!C162</f>
        <v>Manual do Usuário</v>
      </c>
      <c r="D27" s="166">
        <f>Entregáveis!D162</f>
        <v>0.4</v>
      </c>
      <c r="E27" s="105"/>
      <c r="F27" s="101">
        <f>IF(ISBLANK(E27),0,VLOOKUP($E27,Parâmetros!$C$2:$D$6,2,FALSE)*D27)</f>
        <v>0</v>
      </c>
      <c r="G27" s="144"/>
    </row>
    <row r="28" spans="1:7" x14ac:dyDescent="0.25">
      <c r="B28" s="99"/>
      <c r="C28" s="94" t="str">
        <f>Entregáveis!C163</f>
        <v>Contrato de Software</v>
      </c>
      <c r="D28" s="166">
        <f>Entregáveis!D163</f>
        <v>0.4</v>
      </c>
      <c r="E28" s="105"/>
      <c r="F28" s="101">
        <f>IF(ISBLANK(E28),0,VLOOKUP($E28,Parâmetros!$C$2:$D$6,2,FALSE)*D28)</f>
        <v>0</v>
      </c>
      <c r="G28" s="144"/>
    </row>
    <row r="30" spans="1:7" x14ac:dyDescent="0.25">
      <c r="D30" s="100" t="s">
        <v>255</v>
      </c>
      <c r="E30" s="109">
        <f>((SUM(F26:F28))*10)</f>
        <v>0</v>
      </c>
    </row>
    <row r="33" spans="1:7" x14ac:dyDescent="0.25">
      <c r="A33" s="11" t="s">
        <v>257</v>
      </c>
    </row>
    <row r="35" spans="1:7" ht="20.25" x14ac:dyDescent="0.25">
      <c r="B35" s="258" t="str">
        <f>Entregáveis!B167</f>
        <v>Banca Física - Apresentação da Equipe</v>
      </c>
      <c r="C35" s="259"/>
      <c r="D35" s="133" t="s">
        <v>15</v>
      </c>
      <c r="E35" s="149" t="s">
        <v>253</v>
      </c>
      <c r="F35" s="149" t="s">
        <v>253</v>
      </c>
      <c r="G35" s="149" t="s">
        <v>254</v>
      </c>
    </row>
    <row r="36" spans="1:7" x14ac:dyDescent="0.25">
      <c r="B36" s="90"/>
      <c r="C36" s="81" t="str">
        <f>Entregáveis!C168</f>
        <v>Desenvoltura Oral</v>
      </c>
      <c r="D36" s="97">
        <f>Entregáveis!D168</f>
        <v>0.2</v>
      </c>
      <c r="E36" s="105"/>
      <c r="F36" s="101">
        <f>IF(ISBLANK(E36),0,VLOOKUP($E36,Parâmetros!$C$2:$D$6,2,FALSE)*D36)</f>
        <v>0</v>
      </c>
      <c r="G36" s="144"/>
    </row>
    <row r="37" spans="1:7" x14ac:dyDescent="0.25">
      <c r="B37" s="82"/>
      <c r="C37" s="83" t="str">
        <f>Entregáveis!C169</f>
        <v>Recursos Utilizados na Apresentação</v>
      </c>
      <c r="D37" s="96">
        <f>Entregáveis!D169</f>
        <v>0.1</v>
      </c>
      <c r="E37" s="105"/>
      <c r="F37" s="101">
        <f>IF(ISBLANK(E37),0,VLOOKUP($E37,Parâmetros!$C$2:$D$6,2,FALSE)*D37)</f>
        <v>0</v>
      </c>
      <c r="G37" s="144"/>
    </row>
    <row r="38" spans="1:7" x14ac:dyDescent="0.25">
      <c r="B38" s="82"/>
      <c r="C38" s="83" t="str">
        <f>Entregáveis!C170</f>
        <v>Clareza na Explanação do Assunto</v>
      </c>
      <c r="D38" s="96">
        <f>Entregáveis!D170</f>
        <v>0.1</v>
      </c>
      <c r="E38" s="105"/>
      <c r="F38" s="101">
        <f>IF(ISBLANK(E38),0,VLOOKUP($E38,Parâmetros!$C$2:$D$6,2,FALSE)*D38)</f>
        <v>0</v>
      </c>
      <c r="G38" s="144"/>
    </row>
    <row r="39" spans="1:7" x14ac:dyDescent="0.25">
      <c r="B39" s="82"/>
      <c r="C39" s="83" t="str">
        <f>Entregáveis!C171</f>
        <v>Domínio do Assunto</v>
      </c>
      <c r="D39" s="96">
        <f>Entregáveis!D171</f>
        <v>0.5</v>
      </c>
      <c r="E39" s="105"/>
      <c r="F39" s="101">
        <f>IF(ISBLANK(E39),0,VLOOKUP($E39,Parâmetros!$C$2:$D$6,2,FALSE)*D39)</f>
        <v>0</v>
      </c>
      <c r="G39" s="144"/>
    </row>
    <row r="40" spans="1:7" x14ac:dyDescent="0.25">
      <c r="B40" s="84"/>
      <c r="C40" s="85" t="str">
        <f>Entregáveis!C172</f>
        <v>Conformidade com o Tempo disponível para Apresentação</v>
      </c>
      <c r="D40" s="98">
        <f>Entregáveis!D172</f>
        <v>0.1</v>
      </c>
      <c r="E40" s="105"/>
      <c r="F40" s="101">
        <f>IF(ISBLANK(E40),0,VLOOKUP($E40,Parâmetros!$C$2:$D$6,2,FALSE)*D40)</f>
        <v>0</v>
      </c>
      <c r="G40" s="144"/>
    </row>
    <row r="42" spans="1:7" x14ac:dyDescent="0.25">
      <c r="D42" s="100" t="s">
        <v>315</v>
      </c>
      <c r="E42" s="109">
        <f>((SUM(F36:F40))*10)</f>
        <v>0</v>
      </c>
    </row>
    <row r="43" spans="1:7" x14ac:dyDescent="0.25">
      <c r="D43" s="100"/>
      <c r="E43" s="140"/>
    </row>
    <row r="44" spans="1:7" x14ac:dyDescent="0.25">
      <c r="A44" s="11" t="s">
        <v>258</v>
      </c>
      <c r="D44" s="100"/>
      <c r="E44" s="140"/>
    </row>
    <row r="46" spans="1:7" ht="20.25" x14ac:dyDescent="0.25">
      <c r="B46" s="258" t="str">
        <f>Entregáveis!B176</f>
        <v>Banca Física - Conteúdo Técnico</v>
      </c>
      <c r="C46" s="259"/>
      <c r="D46" s="133" t="s">
        <v>15</v>
      </c>
      <c r="E46" s="149" t="s">
        <v>253</v>
      </c>
      <c r="F46" s="149" t="s">
        <v>253</v>
      </c>
      <c r="G46" s="149" t="s">
        <v>254</v>
      </c>
    </row>
    <row r="47" spans="1:7" x14ac:dyDescent="0.25">
      <c r="B47" s="90"/>
      <c r="C47" s="81" t="str">
        <f>Entregáveis!C177</f>
        <v>Todos os Casos de Uso Foram Implementados</v>
      </c>
      <c r="D47" s="97">
        <f>Entregáveis!D177</f>
        <v>0.4</v>
      </c>
      <c r="E47" s="105"/>
      <c r="F47" s="101">
        <f>IF(ISBLANK(E47),0,VLOOKUP($E47,Parâmetros!$C$2:$D$6,2,FALSE)*D47)</f>
        <v>0</v>
      </c>
      <c r="G47" s="144"/>
    </row>
    <row r="48" spans="1:7" x14ac:dyDescent="0.25">
      <c r="B48" s="82"/>
      <c r="C48" s="83" t="str">
        <f>Entregáveis!C178</f>
        <v>Não Foram encontrados erros que impedem a verificação de alguma funcionalidade</v>
      </c>
      <c r="D48" s="96">
        <f>Entregáveis!D178</f>
        <v>0.3</v>
      </c>
      <c r="E48" s="105" t="s">
        <v>221</v>
      </c>
      <c r="F48" s="101">
        <f>IF(ISBLANK(E48),0,VLOOKUP($E48,Parâmetros!$C$2:$D$6,2,FALSE)*D48)</f>
        <v>0.3</v>
      </c>
      <c r="G48" s="144"/>
    </row>
    <row r="49" spans="2:7" x14ac:dyDescent="0.25">
      <c r="B49" s="84"/>
      <c r="C49" s="85" t="str">
        <f>Entregáveis!C179</f>
        <v>Há Conformidade entre o escopo da proposta e o escopo do Protótipo</v>
      </c>
      <c r="D49" s="98">
        <f>Entregáveis!D179</f>
        <v>0.3</v>
      </c>
      <c r="E49" s="105"/>
      <c r="F49" s="101">
        <f>IF(ISBLANK(E49),0,VLOOKUP($E49,Parâmetros!$C$2:$D$6,2,FALSE)*D49)</f>
        <v>0</v>
      </c>
      <c r="G49" s="144"/>
    </row>
    <row r="51" spans="2:7" x14ac:dyDescent="0.25">
      <c r="D51" s="100" t="s">
        <v>316</v>
      </c>
      <c r="E51" s="109">
        <f>((SUM(F47:F49))*10)</f>
        <v>3</v>
      </c>
    </row>
  </sheetData>
  <sheetProtection password="824A" sheet="1" objects="1" scenarios="1"/>
  <protectedRanges>
    <protectedRange sqref="D9:D11 F9:G11 G36:G40 G47:G49 E36:E40 G26:G28 E26:E28 E47:E49" name="Banca Lógica"/>
    <protectedRange sqref="E20:E21" name="Avaliação_1_1"/>
  </protectedRanges>
  <mergeCells count="7">
    <mergeCell ref="B46:C46"/>
    <mergeCell ref="F8:G8"/>
    <mergeCell ref="F9:G9"/>
    <mergeCell ref="F10:G10"/>
    <mergeCell ref="F11:G11"/>
    <mergeCell ref="B25:C25"/>
    <mergeCell ref="B35:C35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Parâmetros!$C$2:$C$6</xm:f>
          </x14:formula1>
          <xm:sqref>E36:E40 E26:E28 E47:E49</xm:sqref>
        </x14:dataValidation>
        <x14:dataValidation type="list" allowBlank="1" showInputMessage="1" showErrorMessage="1">
          <x14:formula1>
            <xm:f>Parâmetros!$H$2:$H$3</xm:f>
          </x14:formula1>
          <xm:sqref>E21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"/>
  <sheetViews>
    <sheetView zoomScale="80" zoomScaleNormal="80" workbookViewId="0">
      <selection activeCell="E9" sqref="E9"/>
    </sheetView>
  </sheetViews>
  <sheetFormatPr defaultRowHeight="15" x14ac:dyDescent="0.25"/>
  <cols>
    <col min="1" max="1" width="9.140625" style="1"/>
    <col min="2" max="2" width="50.42578125" style="1" customWidth="1"/>
    <col min="3" max="3" width="24.5703125" style="1" customWidth="1"/>
    <col min="4" max="4" width="21" style="1" customWidth="1"/>
    <col min="5" max="5" width="43.7109375" style="1" customWidth="1"/>
    <col min="6" max="6" width="62.42578125" style="1" customWidth="1"/>
    <col min="7" max="16384" width="9.140625" style="1"/>
  </cols>
  <sheetData>
    <row r="1" spans="1:6" x14ac:dyDescent="0.25">
      <c r="D1" s="104" t="str">
        <f>Parâmetros!G2</f>
        <v>Aprovado</v>
      </c>
    </row>
    <row r="2" spans="1:6" x14ac:dyDescent="0.25">
      <c r="D2" s="104" t="str">
        <f>Parâmetros!G3</f>
        <v>Reprovado</v>
      </c>
    </row>
    <row r="6" spans="1:6" x14ac:dyDescent="0.25">
      <c r="A6" s="11" t="s">
        <v>323</v>
      </c>
    </row>
    <row r="8" spans="1:6" ht="25.5" x14ac:dyDescent="0.25">
      <c r="B8" s="133" t="s">
        <v>91</v>
      </c>
      <c r="C8" s="149" t="s">
        <v>270</v>
      </c>
      <c r="D8" s="149" t="s">
        <v>271</v>
      </c>
      <c r="E8" s="149" t="s">
        <v>230</v>
      </c>
      <c r="F8" s="143" t="s">
        <v>260</v>
      </c>
    </row>
    <row r="9" spans="1:6" x14ac:dyDescent="0.25">
      <c r="B9" s="20" t="str">
        <f>IF(ISBLANK('Dados do Projeto'!$C$17),"",'Dados do Projeto'!$C$17)</f>
        <v>Luiz Fernando Nascimento da Cruz</v>
      </c>
      <c r="C9" s="145">
        <f>IF(EXACT(B9,""),"",COUNTIFS($D$18:$D$45,Parâmetros!$F$3,$C$18:$C$45,Parâmetros!$E$2)+ COUNTIFS($D$18:$D$45,Parâmetros!$F$3,$C$18:$C$45,Parâmetros!$E$3))</f>
        <v>0</v>
      </c>
      <c r="D9" s="13" t="str">
        <f>IF(EXACT(C9,""),"",IF(C9&gt;0,Parâmetros!$G$3,Parâmetros!$G$2))</f>
        <v>Aprovado</v>
      </c>
      <c r="E9" s="146"/>
      <c r="F9" s="144"/>
    </row>
    <row r="10" spans="1:6" x14ac:dyDescent="0.25">
      <c r="B10" s="20" t="str">
        <f>IF(ISBLANK('Dados do Projeto'!$C$18),"",'Dados do Projeto'!$C$18)</f>
        <v>Jaqueline Talita Winckes</v>
      </c>
      <c r="C10" s="145">
        <f>IF(EXACT(B10,""),"",COUNTIFS($D$18:$D$45,Parâmetros!$F$3,$C$18:$C$45,Parâmetros!$E$2)+ COUNTIFS($D$18:$D$45,Parâmetros!$F$3,$C$18:$C$45,Parâmetros!$E$4))</f>
        <v>0</v>
      </c>
      <c r="D10" s="13" t="str">
        <f>IF(EXACT(C10,""),"",IF(C10&gt;0,Parâmetros!$G$3,Parâmetros!$G$2))</f>
        <v>Aprovado</v>
      </c>
      <c r="E10" s="146"/>
      <c r="F10" s="144"/>
    </row>
    <row r="11" spans="1:6" x14ac:dyDescent="0.25">
      <c r="B11" s="20" t="str">
        <f>IF(ISBLANK('Dados do Projeto'!$C$19),"",'Dados do Projeto'!$C$19)</f>
        <v>Paulo Henrique Ferreira de Lima</v>
      </c>
      <c r="C11" s="145">
        <f>IF(EXACT(B11,""),"",COUNTIFS($D$18:$D$45,Parâmetros!$F$3,$C$18:$C$45,Parâmetros!$E$2)+ COUNTIFS($D$18:$D$45,Parâmetros!$F$3,$C$18:$C$45,Parâmetros!$E$5))</f>
        <v>0</v>
      </c>
      <c r="D11" s="13" t="str">
        <f>IF(EXACT(C11,""),"",IF(C11&gt;0,Parâmetros!$G$3,Parâmetros!$G$2))</f>
        <v>Aprovado</v>
      </c>
      <c r="E11" s="146"/>
      <c r="F11" s="144"/>
    </row>
    <row r="14" spans="1:6" x14ac:dyDescent="0.25">
      <c r="A14" s="11" t="s">
        <v>324</v>
      </c>
    </row>
    <row r="17" spans="2:5" x14ac:dyDescent="0.25">
      <c r="B17" s="133" t="s">
        <v>264</v>
      </c>
      <c r="C17" s="133" t="s">
        <v>261</v>
      </c>
      <c r="D17" s="133" t="s">
        <v>266</v>
      </c>
      <c r="E17" s="133" t="s">
        <v>269</v>
      </c>
    </row>
    <row r="18" spans="2:5" x14ac:dyDescent="0.25">
      <c r="B18" s="105"/>
      <c r="C18" s="105"/>
      <c r="D18" s="105"/>
      <c r="E18" s="105"/>
    </row>
    <row r="19" spans="2:5" x14ac:dyDescent="0.25">
      <c r="B19" s="105"/>
      <c r="C19" s="105"/>
      <c r="D19" s="105"/>
      <c r="E19" s="105"/>
    </row>
    <row r="20" spans="2:5" x14ac:dyDescent="0.25">
      <c r="B20" s="105"/>
      <c r="C20" s="105"/>
      <c r="D20" s="105"/>
      <c r="E20" s="105"/>
    </row>
    <row r="21" spans="2:5" x14ac:dyDescent="0.25">
      <c r="B21" s="105"/>
      <c r="C21" s="105"/>
      <c r="D21" s="105"/>
      <c r="E21" s="105"/>
    </row>
    <row r="22" spans="2:5" x14ac:dyDescent="0.25">
      <c r="B22" s="105"/>
      <c r="C22" s="105"/>
      <c r="D22" s="105"/>
      <c r="E22" s="105"/>
    </row>
    <row r="23" spans="2:5" x14ac:dyDescent="0.25">
      <c r="B23" s="105"/>
      <c r="C23" s="105"/>
      <c r="D23" s="105"/>
      <c r="E23" s="105"/>
    </row>
    <row r="24" spans="2:5" x14ac:dyDescent="0.25">
      <c r="B24" s="105"/>
      <c r="C24" s="105"/>
      <c r="D24" s="105"/>
      <c r="E24" s="105"/>
    </row>
    <row r="25" spans="2:5" x14ac:dyDescent="0.25">
      <c r="B25" s="105"/>
      <c r="C25" s="105"/>
      <c r="D25" s="105"/>
      <c r="E25" s="105"/>
    </row>
    <row r="26" spans="2:5" x14ac:dyDescent="0.25">
      <c r="B26" s="105"/>
      <c r="C26" s="105"/>
      <c r="D26" s="105"/>
      <c r="E26" s="105"/>
    </row>
    <row r="27" spans="2:5" x14ac:dyDescent="0.25">
      <c r="B27" s="105"/>
      <c r="C27" s="105"/>
      <c r="D27" s="105"/>
      <c r="E27" s="105"/>
    </row>
    <row r="28" spans="2:5" x14ac:dyDescent="0.25">
      <c r="B28" s="105"/>
      <c r="C28" s="105"/>
      <c r="D28" s="105"/>
      <c r="E28" s="105"/>
    </row>
    <row r="29" spans="2:5" x14ac:dyDescent="0.25">
      <c r="B29" s="105"/>
      <c r="C29" s="105"/>
      <c r="D29" s="105"/>
      <c r="E29" s="105"/>
    </row>
    <row r="30" spans="2:5" x14ac:dyDescent="0.25">
      <c r="B30" s="105"/>
      <c r="C30" s="105"/>
      <c r="D30" s="105"/>
      <c r="E30" s="105"/>
    </row>
    <row r="31" spans="2:5" x14ac:dyDescent="0.25">
      <c r="B31" s="105"/>
      <c r="C31" s="105"/>
      <c r="D31" s="105"/>
      <c r="E31" s="105"/>
    </row>
    <row r="32" spans="2:5" x14ac:dyDescent="0.25">
      <c r="B32" s="105"/>
      <c r="C32" s="105"/>
      <c r="D32" s="105"/>
      <c r="E32" s="105"/>
    </row>
    <row r="33" spans="2:5" x14ac:dyDescent="0.25">
      <c r="B33" s="105"/>
      <c r="C33" s="105"/>
      <c r="D33" s="105"/>
      <c r="E33" s="105"/>
    </row>
    <row r="34" spans="2:5" x14ac:dyDescent="0.25">
      <c r="B34" s="105"/>
      <c r="C34" s="105"/>
      <c r="D34" s="105"/>
      <c r="E34" s="105"/>
    </row>
    <row r="35" spans="2:5" x14ac:dyDescent="0.25">
      <c r="B35" s="105"/>
      <c r="C35" s="105"/>
      <c r="D35" s="105"/>
      <c r="E35" s="105"/>
    </row>
    <row r="36" spans="2:5" x14ac:dyDescent="0.25">
      <c r="B36" s="105"/>
      <c r="C36" s="105"/>
      <c r="D36" s="105"/>
      <c r="E36" s="105"/>
    </row>
    <row r="37" spans="2:5" x14ac:dyDescent="0.25">
      <c r="B37" s="105"/>
      <c r="C37" s="105"/>
      <c r="D37" s="105"/>
      <c r="E37" s="105"/>
    </row>
    <row r="38" spans="2:5" x14ac:dyDescent="0.25">
      <c r="B38" s="105"/>
      <c r="C38" s="105"/>
      <c r="D38" s="105"/>
      <c r="E38" s="105"/>
    </row>
    <row r="39" spans="2:5" x14ac:dyDescent="0.25">
      <c r="B39" s="105"/>
      <c r="C39" s="105"/>
      <c r="D39" s="105"/>
      <c r="E39" s="105"/>
    </row>
    <row r="40" spans="2:5" x14ac:dyDescent="0.25">
      <c r="B40" s="105"/>
      <c r="C40" s="105"/>
      <c r="D40" s="105"/>
      <c r="E40" s="105"/>
    </row>
    <row r="41" spans="2:5" x14ac:dyDescent="0.25">
      <c r="B41" s="105"/>
      <c r="C41" s="105"/>
      <c r="D41" s="105"/>
      <c r="E41" s="105"/>
    </row>
    <row r="42" spans="2:5" x14ac:dyDescent="0.25">
      <c r="B42" s="105"/>
      <c r="C42" s="105"/>
      <c r="D42" s="105"/>
      <c r="E42" s="105"/>
    </row>
    <row r="43" spans="2:5" x14ac:dyDescent="0.25">
      <c r="B43" s="105"/>
      <c r="C43" s="105"/>
      <c r="D43" s="105"/>
      <c r="E43" s="105"/>
    </row>
    <row r="44" spans="2:5" x14ac:dyDescent="0.25">
      <c r="B44" s="105"/>
      <c r="C44" s="105"/>
      <c r="D44" s="105"/>
      <c r="E44" s="105"/>
    </row>
    <row r="45" spans="2:5" x14ac:dyDescent="0.25">
      <c r="B45" s="105"/>
      <c r="C45" s="105"/>
      <c r="D45" s="105"/>
      <c r="E45" s="105"/>
    </row>
  </sheetData>
  <sheetProtection password="8352" sheet="1" objects="1" scenarios="1"/>
  <protectedRanges>
    <protectedRange sqref="E9:F11 B18:E45" name="Final"/>
  </protectedRanges>
  <conditionalFormatting sqref="D9:D11">
    <cfRule type="cellIs" dxfId="1" priority="1" operator="equal">
      <formula>$D$2</formula>
    </cfRule>
    <cfRule type="cellIs" dxfId="0" priority="2" operator="equal">
      <formula>$D$1</formula>
    </cfRule>
  </conditionalFormatting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Parâmetros!$E$2:$E$5</xm:f>
          </x14:formula1>
          <xm:sqref>C18:C45</xm:sqref>
        </x14:dataValidation>
        <x14:dataValidation type="list" allowBlank="1" showInputMessage="1" showErrorMessage="1">
          <x14:formula1>
            <xm:f>Parâmetros!$F$2:$F$3</xm:f>
          </x14:formula1>
          <xm:sqref>D18:D45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H52"/>
  <sheetViews>
    <sheetView zoomScale="80" zoomScaleNormal="80" workbookViewId="0">
      <selection activeCell="B11" sqref="B11"/>
    </sheetView>
  </sheetViews>
  <sheetFormatPr defaultRowHeight="15" x14ac:dyDescent="0.25"/>
  <cols>
    <col min="1" max="1" width="6.28515625" style="1" customWidth="1"/>
    <col min="2" max="3" width="13.42578125" style="1" customWidth="1"/>
    <col min="4" max="4" width="18.28515625" style="1" customWidth="1"/>
    <col min="5" max="5" width="35.140625" style="1" customWidth="1"/>
    <col min="6" max="6" width="42.140625" style="1" customWidth="1"/>
    <col min="7" max="7" width="17.5703125" style="1" customWidth="1"/>
    <col min="8" max="8" width="18.140625" style="1" customWidth="1"/>
    <col min="9" max="16384" width="9.140625" style="1"/>
  </cols>
  <sheetData>
    <row r="7" spans="1:8" x14ac:dyDescent="0.25">
      <c r="A7" s="11" t="s">
        <v>206</v>
      </c>
    </row>
    <row r="10" spans="1:8" ht="38.25" x14ac:dyDescent="0.25">
      <c r="B10" s="42" t="s">
        <v>207</v>
      </c>
      <c r="C10" s="42" t="s">
        <v>208</v>
      </c>
      <c r="D10" s="42" t="s">
        <v>209</v>
      </c>
      <c r="E10" s="42" t="s">
        <v>202</v>
      </c>
      <c r="F10" s="42" t="s">
        <v>203</v>
      </c>
      <c r="G10" s="42" t="s">
        <v>204</v>
      </c>
      <c r="H10" s="42" t="s">
        <v>205</v>
      </c>
    </row>
    <row r="11" spans="1:8" x14ac:dyDescent="0.25">
      <c r="B11" s="71"/>
      <c r="C11" s="71"/>
      <c r="D11" s="71"/>
      <c r="E11" s="72"/>
      <c r="F11" s="72"/>
      <c r="G11" s="71"/>
      <c r="H11" s="71"/>
    </row>
    <row r="12" spans="1:8" x14ac:dyDescent="0.25">
      <c r="B12" s="71"/>
      <c r="C12" s="71"/>
      <c r="D12" s="71"/>
      <c r="E12" s="72"/>
      <c r="F12" s="72"/>
      <c r="G12" s="71"/>
      <c r="H12" s="71"/>
    </row>
    <row r="13" spans="1:8" x14ac:dyDescent="0.25">
      <c r="B13" s="71"/>
      <c r="C13" s="71"/>
      <c r="D13" s="71"/>
      <c r="E13" s="72"/>
      <c r="F13" s="72"/>
      <c r="G13" s="71"/>
      <c r="H13" s="71"/>
    </row>
    <row r="14" spans="1:8" x14ac:dyDescent="0.25">
      <c r="B14" s="71"/>
      <c r="C14" s="71"/>
      <c r="D14" s="71"/>
      <c r="E14" s="72"/>
      <c r="F14" s="72"/>
      <c r="G14" s="71"/>
      <c r="H14" s="71"/>
    </row>
    <row r="15" spans="1:8" x14ac:dyDescent="0.25">
      <c r="B15" s="71"/>
      <c r="C15" s="71"/>
      <c r="D15" s="71"/>
      <c r="E15" s="72"/>
      <c r="F15" s="72"/>
      <c r="G15" s="71"/>
      <c r="H15" s="71"/>
    </row>
    <row r="16" spans="1:8" x14ac:dyDescent="0.25">
      <c r="B16" s="71"/>
      <c r="C16" s="71"/>
      <c r="D16" s="71"/>
      <c r="E16" s="72"/>
      <c r="F16" s="72"/>
      <c r="G16" s="71"/>
      <c r="H16" s="71"/>
    </row>
    <row r="17" spans="2:8" x14ac:dyDescent="0.25">
      <c r="B17" s="71"/>
      <c r="C17" s="71"/>
      <c r="D17" s="71"/>
      <c r="E17" s="72"/>
      <c r="F17" s="72"/>
      <c r="G17" s="71"/>
      <c r="H17" s="71"/>
    </row>
    <row r="18" spans="2:8" x14ac:dyDescent="0.25">
      <c r="B18" s="71"/>
      <c r="C18" s="71"/>
      <c r="D18" s="71"/>
      <c r="E18" s="72"/>
      <c r="F18" s="72"/>
      <c r="G18" s="71"/>
      <c r="H18" s="71"/>
    </row>
    <row r="19" spans="2:8" x14ac:dyDescent="0.25">
      <c r="B19" s="71"/>
      <c r="C19" s="71"/>
      <c r="D19" s="71"/>
      <c r="E19" s="72"/>
      <c r="F19" s="72"/>
      <c r="G19" s="71"/>
      <c r="H19" s="71"/>
    </row>
    <row r="20" spans="2:8" x14ac:dyDescent="0.25">
      <c r="B20" s="71"/>
      <c r="C20" s="71"/>
      <c r="D20" s="71"/>
      <c r="E20" s="72"/>
      <c r="F20" s="72"/>
      <c r="G20" s="71"/>
      <c r="H20" s="71"/>
    </row>
    <row r="21" spans="2:8" x14ac:dyDescent="0.25">
      <c r="B21" s="71"/>
      <c r="C21" s="71"/>
      <c r="D21" s="71"/>
      <c r="E21" s="72"/>
      <c r="F21" s="72"/>
      <c r="G21" s="71"/>
      <c r="H21" s="71"/>
    </row>
    <row r="22" spans="2:8" x14ac:dyDescent="0.25">
      <c r="B22" s="71"/>
      <c r="C22" s="71"/>
      <c r="D22" s="71"/>
      <c r="E22" s="72"/>
      <c r="F22" s="72"/>
      <c r="G22" s="71"/>
      <c r="H22" s="71"/>
    </row>
    <row r="23" spans="2:8" x14ac:dyDescent="0.25">
      <c r="B23" s="71"/>
      <c r="C23" s="71"/>
      <c r="D23" s="71"/>
      <c r="E23" s="72"/>
      <c r="F23" s="72"/>
      <c r="G23" s="71"/>
      <c r="H23" s="71"/>
    </row>
    <row r="24" spans="2:8" x14ac:dyDescent="0.25">
      <c r="B24" s="71"/>
      <c r="C24" s="71"/>
      <c r="D24" s="71"/>
      <c r="E24" s="72"/>
      <c r="F24" s="72"/>
      <c r="G24" s="71"/>
      <c r="H24" s="71"/>
    </row>
    <row r="25" spans="2:8" x14ac:dyDescent="0.25">
      <c r="B25" s="71"/>
      <c r="C25" s="71"/>
      <c r="D25" s="71"/>
      <c r="E25" s="72"/>
      <c r="F25" s="72"/>
      <c r="G25" s="71"/>
      <c r="H25" s="71"/>
    </row>
    <row r="26" spans="2:8" x14ac:dyDescent="0.25">
      <c r="B26" s="71"/>
      <c r="C26" s="71"/>
      <c r="D26" s="71"/>
      <c r="E26" s="72"/>
      <c r="F26" s="72"/>
      <c r="G26" s="71"/>
      <c r="H26" s="71"/>
    </row>
    <row r="27" spans="2:8" x14ac:dyDescent="0.25">
      <c r="B27" s="71"/>
      <c r="C27" s="71"/>
      <c r="D27" s="71"/>
      <c r="E27" s="72"/>
      <c r="F27" s="72"/>
      <c r="G27" s="71"/>
      <c r="H27" s="71"/>
    </row>
    <row r="28" spans="2:8" x14ac:dyDescent="0.25">
      <c r="B28" s="71"/>
      <c r="C28" s="71"/>
      <c r="D28" s="71"/>
      <c r="E28" s="72"/>
      <c r="F28" s="72"/>
      <c r="G28" s="71"/>
      <c r="H28" s="71"/>
    </row>
    <row r="29" spans="2:8" x14ac:dyDescent="0.25">
      <c r="B29" s="71"/>
      <c r="C29" s="71"/>
      <c r="D29" s="71"/>
      <c r="E29" s="72"/>
      <c r="F29" s="72"/>
      <c r="G29" s="71"/>
      <c r="H29" s="71"/>
    </row>
    <row r="30" spans="2:8" x14ac:dyDescent="0.25">
      <c r="B30" s="71"/>
      <c r="C30" s="71"/>
      <c r="D30" s="71"/>
      <c r="E30" s="72"/>
      <c r="F30" s="72"/>
      <c r="G30" s="71"/>
      <c r="H30" s="71"/>
    </row>
    <row r="31" spans="2:8" x14ac:dyDescent="0.25">
      <c r="B31" s="71"/>
      <c r="C31" s="71"/>
      <c r="D31" s="71"/>
      <c r="E31" s="72"/>
      <c r="F31" s="72"/>
      <c r="G31" s="71"/>
      <c r="H31" s="71"/>
    </row>
    <row r="32" spans="2:8" x14ac:dyDescent="0.25">
      <c r="B32" s="71"/>
      <c r="C32" s="71"/>
      <c r="D32" s="71"/>
      <c r="E32" s="72"/>
      <c r="F32" s="72"/>
      <c r="G32" s="71"/>
      <c r="H32" s="71"/>
    </row>
    <row r="33" spans="2:8" x14ac:dyDescent="0.25">
      <c r="B33" s="71"/>
      <c r="C33" s="71"/>
      <c r="D33" s="71"/>
      <c r="E33" s="72"/>
      <c r="F33" s="72"/>
      <c r="G33" s="71"/>
      <c r="H33" s="71"/>
    </row>
    <row r="34" spans="2:8" x14ac:dyDescent="0.25">
      <c r="B34" s="71"/>
      <c r="C34" s="71"/>
      <c r="D34" s="71"/>
      <c r="E34" s="72"/>
      <c r="F34" s="72"/>
      <c r="G34" s="71"/>
      <c r="H34" s="71"/>
    </row>
    <row r="35" spans="2:8" x14ac:dyDescent="0.25">
      <c r="B35" s="71"/>
      <c r="C35" s="71"/>
      <c r="D35" s="71"/>
      <c r="E35" s="72"/>
      <c r="F35" s="72"/>
      <c r="G35" s="71"/>
      <c r="H35" s="71"/>
    </row>
    <row r="36" spans="2:8" x14ac:dyDescent="0.25">
      <c r="B36" s="71"/>
      <c r="C36" s="71"/>
      <c r="D36" s="71"/>
      <c r="E36" s="72"/>
      <c r="F36" s="72"/>
      <c r="G36" s="71"/>
      <c r="H36" s="71"/>
    </row>
    <row r="37" spans="2:8" x14ac:dyDescent="0.25">
      <c r="B37" s="71"/>
      <c r="C37" s="71"/>
      <c r="D37" s="71"/>
      <c r="E37" s="72"/>
      <c r="F37" s="72"/>
      <c r="G37" s="71"/>
      <c r="H37" s="71"/>
    </row>
    <row r="38" spans="2:8" x14ac:dyDescent="0.25">
      <c r="B38" s="71"/>
      <c r="C38" s="71"/>
      <c r="D38" s="71"/>
      <c r="E38" s="72"/>
      <c r="F38" s="72"/>
      <c r="G38" s="71"/>
      <c r="H38" s="71"/>
    </row>
    <row r="39" spans="2:8" x14ac:dyDescent="0.25">
      <c r="B39" s="71"/>
      <c r="C39" s="71"/>
      <c r="D39" s="71"/>
      <c r="E39" s="72"/>
      <c r="F39" s="72"/>
      <c r="G39" s="71"/>
      <c r="H39" s="71"/>
    </row>
    <row r="40" spans="2:8" x14ac:dyDescent="0.25">
      <c r="B40" s="71"/>
      <c r="C40" s="71"/>
      <c r="D40" s="71"/>
      <c r="E40" s="72"/>
      <c r="F40" s="72"/>
      <c r="G40" s="71"/>
      <c r="H40" s="71"/>
    </row>
    <row r="41" spans="2:8" x14ac:dyDescent="0.25">
      <c r="B41" s="71"/>
      <c r="C41" s="71"/>
      <c r="D41" s="71"/>
      <c r="E41" s="72"/>
      <c r="F41" s="72"/>
      <c r="G41" s="71"/>
      <c r="H41" s="71"/>
    </row>
    <row r="42" spans="2:8" x14ac:dyDescent="0.25">
      <c r="B42" s="71"/>
      <c r="C42" s="71"/>
      <c r="D42" s="71"/>
      <c r="E42" s="72"/>
      <c r="F42" s="72"/>
      <c r="G42" s="71"/>
      <c r="H42" s="71"/>
    </row>
    <row r="43" spans="2:8" x14ac:dyDescent="0.25">
      <c r="B43" s="71"/>
      <c r="C43" s="71"/>
      <c r="D43" s="71"/>
      <c r="E43" s="72"/>
      <c r="F43" s="72"/>
      <c r="G43" s="71"/>
      <c r="H43" s="71"/>
    </row>
    <row r="44" spans="2:8" x14ac:dyDescent="0.25">
      <c r="B44" s="71"/>
      <c r="C44" s="71"/>
      <c r="D44" s="71"/>
      <c r="E44" s="72"/>
      <c r="F44" s="72"/>
      <c r="G44" s="71"/>
      <c r="H44" s="71"/>
    </row>
    <row r="45" spans="2:8" x14ac:dyDescent="0.25">
      <c r="B45" s="71"/>
      <c r="C45" s="71"/>
      <c r="D45" s="71"/>
      <c r="E45" s="72"/>
      <c r="F45" s="72"/>
      <c r="G45" s="71"/>
      <c r="H45" s="71"/>
    </row>
    <row r="46" spans="2:8" x14ac:dyDescent="0.25">
      <c r="B46" s="71"/>
      <c r="C46" s="71"/>
      <c r="D46" s="71"/>
      <c r="E46" s="72"/>
      <c r="F46" s="72"/>
      <c r="G46" s="71"/>
      <c r="H46" s="71"/>
    </row>
    <row r="47" spans="2:8" x14ac:dyDescent="0.25">
      <c r="B47" s="71"/>
      <c r="C47" s="71"/>
      <c r="D47" s="71"/>
      <c r="E47" s="72"/>
      <c r="F47" s="72"/>
      <c r="G47" s="71"/>
      <c r="H47" s="71"/>
    </row>
    <row r="48" spans="2:8" x14ac:dyDescent="0.25">
      <c r="B48" s="71"/>
      <c r="C48" s="71"/>
      <c r="D48" s="71"/>
      <c r="E48" s="72"/>
      <c r="F48" s="72"/>
      <c r="G48" s="71"/>
      <c r="H48" s="71"/>
    </row>
    <row r="49" spans="2:8" x14ac:dyDescent="0.25">
      <c r="B49" s="71"/>
      <c r="C49" s="71"/>
      <c r="D49" s="71"/>
      <c r="E49" s="72"/>
      <c r="F49" s="72"/>
      <c r="G49" s="71"/>
      <c r="H49" s="71"/>
    </row>
    <row r="50" spans="2:8" x14ac:dyDescent="0.25">
      <c r="B50" s="71"/>
      <c r="C50" s="71"/>
      <c r="D50" s="71"/>
      <c r="E50" s="72"/>
      <c r="F50" s="72"/>
      <c r="G50" s="71"/>
      <c r="H50" s="71"/>
    </row>
    <row r="51" spans="2:8" x14ac:dyDescent="0.25">
      <c r="B51" s="71"/>
      <c r="C51" s="71"/>
      <c r="D51" s="71"/>
      <c r="E51" s="72"/>
      <c r="F51" s="72"/>
      <c r="G51" s="71"/>
      <c r="H51" s="71"/>
    </row>
    <row r="52" spans="2:8" x14ac:dyDescent="0.25">
      <c r="B52" s="71"/>
      <c r="C52" s="71"/>
      <c r="D52" s="71"/>
      <c r="E52" s="72"/>
      <c r="F52" s="72"/>
      <c r="G52" s="71"/>
      <c r="H52" s="71"/>
    </row>
  </sheetData>
  <sheetProtection password="8352" sheet="1" objects="1" scenarios="1"/>
  <protectedRanges>
    <protectedRange sqref="B11:H52" name="Mudança de Escopo"/>
  </protectedRanges>
  <pageMargins left="0.511811024" right="0.511811024" top="0.78740157499999996" bottom="0.78740157499999996" header="0.31496062000000002" footer="0.31496062000000002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G51"/>
  <sheetViews>
    <sheetView topLeftCell="A13" zoomScale="80" zoomScaleNormal="80" workbookViewId="0">
      <selection activeCell="D14" sqref="D14"/>
    </sheetView>
  </sheetViews>
  <sheetFormatPr defaultRowHeight="15" x14ac:dyDescent="0.25"/>
  <cols>
    <col min="1" max="1" width="6.7109375" style="1" customWidth="1"/>
    <col min="2" max="2" width="64.42578125" style="1" customWidth="1"/>
    <col min="3" max="3" width="27.42578125" style="1" customWidth="1"/>
    <col min="4" max="4" width="13.5703125" style="1" customWidth="1"/>
    <col min="5" max="5" width="17.140625" style="1" customWidth="1"/>
    <col min="6" max="6" width="22.7109375" style="1" customWidth="1"/>
    <col min="7" max="7" width="10.5703125" style="1" bestFit="1" customWidth="1"/>
    <col min="8" max="16384" width="9.140625" style="1"/>
  </cols>
  <sheetData>
    <row r="6" spans="1:7" x14ac:dyDescent="0.25">
      <c r="A6" s="11" t="s">
        <v>274</v>
      </c>
    </row>
    <row r="7" spans="1:7" x14ac:dyDescent="0.25">
      <c r="A7" s="11"/>
    </row>
    <row r="8" spans="1:7" x14ac:dyDescent="0.25">
      <c r="B8" s="190" t="s">
        <v>177</v>
      </c>
      <c r="C8" s="190"/>
      <c r="D8" s="190"/>
      <c r="E8" s="190"/>
      <c r="F8" s="190"/>
    </row>
    <row r="9" spans="1:7" ht="25.5" x14ac:dyDescent="0.25">
      <c r="B9" s="175" t="s">
        <v>12</v>
      </c>
      <c r="C9" s="175" t="s">
        <v>178</v>
      </c>
      <c r="D9" s="175" t="s">
        <v>179</v>
      </c>
      <c r="E9" s="175" t="s">
        <v>181</v>
      </c>
      <c r="F9" s="175" t="s">
        <v>180</v>
      </c>
    </row>
    <row r="10" spans="1:7" x14ac:dyDescent="0.25">
      <c r="B10" s="20" t="s">
        <v>160</v>
      </c>
      <c r="C10" s="55">
        <v>41683</v>
      </c>
      <c r="D10" s="47">
        <f t="shared" ref="D10:D17" si="0">C10+G10</f>
        <v>41698</v>
      </c>
      <c r="E10" s="49">
        <f>D10-C10</f>
        <v>15</v>
      </c>
      <c r="F10" s="54">
        <f t="shared" ref="F10:F15" si="1">D10</f>
        <v>41698</v>
      </c>
      <c r="G10" s="170">
        <v>15</v>
      </c>
    </row>
    <row r="11" spans="1:7" x14ac:dyDescent="0.25">
      <c r="B11" s="20" t="s">
        <v>161</v>
      </c>
      <c r="C11" s="47">
        <f>D10</f>
        <v>41698</v>
      </c>
      <c r="D11" s="47">
        <f t="shared" si="0"/>
        <v>41705</v>
      </c>
      <c r="E11" s="49">
        <v>7</v>
      </c>
      <c r="F11" s="54">
        <f t="shared" si="1"/>
        <v>41705</v>
      </c>
      <c r="G11" s="170">
        <v>7</v>
      </c>
    </row>
    <row r="12" spans="1:7" x14ac:dyDescent="0.25">
      <c r="B12" s="20" t="s">
        <v>159</v>
      </c>
      <c r="C12" s="47">
        <f>D11</f>
        <v>41705</v>
      </c>
      <c r="D12" s="47">
        <f t="shared" si="0"/>
        <v>41733</v>
      </c>
      <c r="E12" s="49">
        <f t="shared" ref="E12:E17" si="2">D12-C12</f>
        <v>28</v>
      </c>
      <c r="F12" s="54">
        <f t="shared" si="1"/>
        <v>41733</v>
      </c>
      <c r="G12" s="170">
        <v>28</v>
      </c>
    </row>
    <row r="13" spans="1:7" x14ac:dyDescent="0.25">
      <c r="B13" s="20" t="s">
        <v>168</v>
      </c>
      <c r="C13" s="47">
        <f>D12</f>
        <v>41733</v>
      </c>
      <c r="D13" s="47">
        <f t="shared" si="0"/>
        <v>41761</v>
      </c>
      <c r="E13" s="49">
        <f t="shared" si="2"/>
        <v>28</v>
      </c>
      <c r="F13" s="54">
        <f t="shared" si="1"/>
        <v>41761</v>
      </c>
      <c r="G13" s="170">
        <v>28</v>
      </c>
    </row>
    <row r="14" spans="1:7" x14ac:dyDescent="0.25">
      <c r="B14" s="20" t="s">
        <v>169</v>
      </c>
      <c r="C14" s="47">
        <f>D13</f>
        <v>41761</v>
      </c>
      <c r="D14" s="55">
        <f t="shared" si="0"/>
        <v>41796</v>
      </c>
      <c r="E14" s="49">
        <f t="shared" si="2"/>
        <v>35</v>
      </c>
      <c r="F14" s="54">
        <f t="shared" si="1"/>
        <v>41796</v>
      </c>
      <c r="G14" s="170">
        <v>35</v>
      </c>
    </row>
    <row r="15" spans="1:7" x14ac:dyDescent="0.25">
      <c r="B15" s="20" t="s">
        <v>170</v>
      </c>
      <c r="C15" s="47">
        <f>D14</f>
        <v>41796</v>
      </c>
      <c r="D15" s="47">
        <f t="shared" si="0"/>
        <v>41803</v>
      </c>
      <c r="E15" s="49">
        <f t="shared" si="2"/>
        <v>7</v>
      </c>
      <c r="F15" s="54">
        <f t="shared" si="1"/>
        <v>41803</v>
      </c>
      <c r="G15" s="170">
        <v>7</v>
      </c>
    </row>
    <row r="16" spans="1:7" x14ac:dyDescent="0.25">
      <c r="B16" s="20" t="s">
        <v>167</v>
      </c>
      <c r="C16" s="47">
        <f>D15+5</f>
        <v>41808</v>
      </c>
      <c r="D16" s="47">
        <f t="shared" si="0"/>
        <v>41820</v>
      </c>
      <c r="E16" s="49">
        <v>15</v>
      </c>
      <c r="F16" s="54" t="s">
        <v>182</v>
      </c>
      <c r="G16" s="170">
        <v>12</v>
      </c>
    </row>
    <row r="17" spans="1:7" x14ac:dyDescent="0.25">
      <c r="B17" s="20" t="s">
        <v>93</v>
      </c>
      <c r="C17" s="47">
        <f>D16+2</f>
        <v>41822</v>
      </c>
      <c r="D17" s="47">
        <f t="shared" si="0"/>
        <v>41830</v>
      </c>
      <c r="E17" s="49">
        <f t="shared" si="2"/>
        <v>8</v>
      </c>
      <c r="F17" s="54" t="s">
        <v>182</v>
      </c>
      <c r="G17" s="170">
        <v>8</v>
      </c>
    </row>
    <row r="18" spans="1:7" x14ac:dyDescent="0.25">
      <c r="A18" s="8"/>
    </row>
    <row r="19" spans="1:7" x14ac:dyDescent="0.25">
      <c r="A19" s="8"/>
    </row>
    <row r="20" spans="1:7" x14ac:dyDescent="0.25">
      <c r="A20" s="8"/>
    </row>
    <row r="21" spans="1:7" x14ac:dyDescent="0.25">
      <c r="A21" s="8"/>
    </row>
    <row r="22" spans="1:7" x14ac:dyDescent="0.25">
      <c r="A22" s="8"/>
      <c r="B22" s="191" t="s">
        <v>184</v>
      </c>
      <c r="C22" s="192"/>
    </row>
    <row r="23" spans="1:7" x14ac:dyDescent="0.25">
      <c r="A23" s="8"/>
      <c r="B23" s="175" t="s">
        <v>183</v>
      </c>
      <c r="C23" s="175" t="s">
        <v>11</v>
      </c>
    </row>
    <row r="24" spans="1:7" x14ac:dyDescent="0.25">
      <c r="A24" s="8"/>
      <c r="B24" s="53" t="s">
        <v>162</v>
      </c>
      <c r="C24" s="51">
        <f>F12</f>
        <v>41733</v>
      </c>
    </row>
    <row r="25" spans="1:7" x14ac:dyDescent="0.25">
      <c r="A25" s="8"/>
      <c r="B25" s="53" t="s">
        <v>164</v>
      </c>
      <c r="C25" s="51">
        <f>F14</f>
        <v>41796</v>
      </c>
    </row>
    <row r="26" spans="1:7" x14ac:dyDescent="0.25">
      <c r="A26" s="8"/>
      <c r="B26" s="53" t="s">
        <v>166</v>
      </c>
      <c r="C26" s="52" t="s">
        <v>381</v>
      </c>
    </row>
    <row r="27" spans="1:7" x14ac:dyDescent="0.25">
      <c r="A27" s="8"/>
      <c r="B27" s="53" t="s">
        <v>165</v>
      </c>
      <c r="C27" s="51">
        <f>D17</f>
        <v>41830</v>
      </c>
    </row>
    <row r="28" spans="1:7" x14ac:dyDescent="0.25">
      <c r="A28" s="8"/>
    </row>
    <row r="29" spans="1:7" x14ac:dyDescent="0.25">
      <c r="A29" s="8"/>
    </row>
    <row r="30" spans="1:7" x14ac:dyDescent="0.25">
      <c r="A30" s="8"/>
    </row>
    <row r="31" spans="1:7" x14ac:dyDescent="0.25">
      <c r="A31" s="8"/>
    </row>
    <row r="32" spans="1:7" x14ac:dyDescent="0.25">
      <c r="A32" s="11" t="s">
        <v>275</v>
      </c>
    </row>
    <row r="33" spans="1:7" x14ac:dyDescent="0.25">
      <c r="A33" s="8"/>
    </row>
    <row r="34" spans="1:7" x14ac:dyDescent="0.25">
      <c r="A34" s="8"/>
    </row>
    <row r="35" spans="1:7" x14ac:dyDescent="0.25">
      <c r="A35" s="8"/>
      <c r="B35" s="190" t="s">
        <v>177</v>
      </c>
      <c r="C35" s="190"/>
      <c r="D35" s="190"/>
      <c r="E35" s="190"/>
      <c r="F35" s="190"/>
    </row>
    <row r="36" spans="1:7" ht="25.5" x14ac:dyDescent="0.25">
      <c r="B36" s="175" t="s">
        <v>12</v>
      </c>
      <c r="C36" s="175" t="s">
        <v>178</v>
      </c>
      <c r="D36" s="175" t="s">
        <v>179</v>
      </c>
      <c r="E36" s="175" t="s">
        <v>181</v>
      </c>
      <c r="F36" s="175" t="s">
        <v>180</v>
      </c>
    </row>
    <row r="37" spans="1:7" x14ac:dyDescent="0.25">
      <c r="B37" s="20" t="s">
        <v>276</v>
      </c>
      <c r="C37" s="55">
        <v>41683</v>
      </c>
      <c r="D37" s="47">
        <f t="shared" ref="D37:D43" si="3">C37+G37</f>
        <v>41713</v>
      </c>
      <c r="E37" s="49">
        <f>D37-C37</f>
        <v>30</v>
      </c>
      <c r="F37" s="54">
        <f t="shared" ref="F37:F41" si="4">D37</f>
        <v>41713</v>
      </c>
      <c r="G37" s="170">
        <v>30</v>
      </c>
    </row>
    <row r="38" spans="1:7" x14ac:dyDescent="0.25">
      <c r="B38" s="20" t="s">
        <v>277</v>
      </c>
      <c r="C38" s="47">
        <f>D37+6</f>
        <v>41719</v>
      </c>
      <c r="D38" s="47">
        <f t="shared" si="3"/>
        <v>41727</v>
      </c>
      <c r="E38" s="49">
        <f t="shared" ref="E38:E43" si="5">D38-C38</f>
        <v>8</v>
      </c>
      <c r="F38" s="54" t="s">
        <v>182</v>
      </c>
      <c r="G38" s="170">
        <v>8</v>
      </c>
    </row>
    <row r="39" spans="1:7" x14ac:dyDescent="0.25">
      <c r="B39" s="20" t="s">
        <v>168</v>
      </c>
      <c r="C39" s="47">
        <f>D38</f>
        <v>41727</v>
      </c>
      <c r="D39" s="47">
        <f t="shared" si="3"/>
        <v>41761</v>
      </c>
      <c r="E39" s="49">
        <f t="shared" si="5"/>
        <v>34</v>
      </c>
      <c r="F39" s="54">
        <f t="shared" si="4"/>
        <v>41761</v>
      </c>
      <c r="G39" s="170">
        <v>34</v>
      </c>
    </row>
    <row r="40" spans="1:7" x14ac:dyDescent="0.25">
      <c r="B40" s="20" t="s">
        <v>169</v>
      </c>
      <c r="C40" s="47">
        <f>D39</f>
        <v>41761</v>
      </c>
      <c r="D40" s="55">
        <f t="shared" si="3"/>
        <v>41789</v>
      </c>
      <c r="E40" s="49">
        <f t="shared" si="5"/>
        <v>28</v>
      </c>
      <c r="F40" s="54">
        <f t="shared" si="4"/>
        <v>41789</v>
      </c>
      <c r="G40" s="170">
        <v>28</v>
      </c>
    </row>
    <row r="41" spans="1:7" x14ac:dyDescent="0.25">
      <c r="B41" s="20" t="s">
        <v>279</v>
      </c>
      <c r="C41" s="47">
        <f>D40</f>
        <v>41789</v>
      </c>
      <c r="D41" s="47">
        <f t="shared" si="3"/>
        <v>41803</v>
      </c>
      <c r="E41" s="49">
        <f t="shared" si="5"/>
        <v>14</v>
      </c>
      <c r="F41" s="54">
        <f t="shared" si="4"/>
        <v>41803</v>
      </c>
      <c r="G41" s="170">
        <v>14</v>
      </c>
    </row>
    <row r="42" spans="1:7" x14ac:dyDescent="0.25">
      <c r="B42" s="20" t="s">
        <v>278</v>
      </c>
      <c r="C42" s="47">
        <f>D41+4</f>
        <v>41807</v>
      </c>
      <c r="D42" s="47">
        <f t="shared" si="3"/>
        <v>41818</v>
      </c>
      <c r="E42" s="49">
        <f t="shared" si="5"/>
        <v>11</v>
      </c>
      <c r="F42" s="54" t="s">
        <v>182</v>
      </c>
      <c r="G42" s="170">
        <v>11</v>
      </c>
    </row>
    <row r="43" spans="1:7" x14ac:dyDescent="0.25">
      <c r="B43" s="20" t="s">
        <v>93</v>
      </c>
      <c r="C43" s="47">
        <f>D42+6</f>
        <v>41824</v>
      </c>
      <c r="D43" s="47">
        <f t="shared" si="3"/>
        <v>41830</v>
      </c>
      <c r="E43" s="49">
        <f t="shared" si="5"/>
        <v>6</v>
      </c>
      <c r="F43" s="54" t="s">
        <v>182</v>
      </c>
      <c r="G43" s="170">
        <v>6</v>
      </c>
    </row>
    <row r="45" spans="1:7" x14ac:dyDescent="0.25">
      <c r="F45" s="147"/>
    </row>
    <row r="46" spans="1:7" x14ac:dyDescent="0.25">
      <c r="B46" s="191" t="s">
        <v>184</v>
      </c>
      <c r="C46" s="192"/>
    </row>
    <row r="47" spans="1:7" x14ac:dyDescent="0.25">
      <c r="B47" s="175" t="s">
        <v>183</v>
      </c>
      <c r="C47" s="175" t="s">
        <v>11</v>
      </c>
    </row>
    <row r="48" spans="1:7" x14ac:dyDescent="0.25">
      <c r="B48" s="53" t="s">
        <v>162</v>
      </c>
      <c r="C48" s="51">
        <f>D38</f>
        <v>41727</v>
      </c>
    </row>
    <row r="49" spans="2:3" x14ac:dyDescent="0.25">
      <c r="B49" s="53" t="s">
        <v>164</v>
      </c>
      <c r="C49" s="51">
        <f>D41</f>
        <v>41803</v>
      </c>
    </row>
    <row r="50" spans="2:3" x14ac:dyDescent="0.25">
      <c r="B50" s="53" t="s">
        <v>166</v>
      </c>
      <c r="C50" s="52" t="s">
        <v>382</v>
      </c>
    </row>
    <row r="51" spans="2:3" x14ac:dyDescent="0.25">
      <c r="B51" s="53" t="s">
        <v>165</v>
      </c>
      <c r="C51" s="51">
        <f>D43</f>
        <v>41830</v>
      </c>
    </row>
  </sheetData>
  <sheetProtection password="824A" sheet="1" objects="1" scenarios="1"/>
  <mergeCells count="4">
    <mergeCell ref="B22:C22"/>
    <mergeCell ref="B8:F8"/>
    <mergeCell ref="B35:F35"/>
    <mergeCell ref="B46:C46"/>
  </mergeCells>
  <pageMargins left="0.511811024" right="0.511811024" top="0.78740157499999996" bottom="0.78740157499999996" header="0.31496062000000002" footer="0.31496062000000002"/>
  <pageSetup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zoomScale="90" zoomScaleNormal="90" workbookViewId="0">
      <selection activeCell="D5" sqref="D5"/>
    </sheetView>
  </sheetViews>
  <sheetFormatPr defaultRowHeight="15" x14ac:dyDescent="0.25"/>
  <cols>
    <col min="1" max="1" width="11" style="1" customWidth="1"/>
    <col min="2" max="2" width="11.28515625" style="1" customWidth="1"/>
    <col min="3" max="3" width="20.85546875" style="1" customWidth="1"/>
    <col min="4" max="4" width="92.7109375" style="1" customWidth="1"/>
    <col min="5" max="16384" width="9.140625" style="1"/>
  </cols>
  <sheetData>
    <row r="1" spans="1:4" ht="12.75" customHeight="1" x14ac:dyDescent="0.25">
      <c r="A1" s="191" t="s">
        <v>281</v>
      </c>
      <c r="B1" s="261"/>
      <c r="C1" s="261"/>
      <c r="D1" s="192"/>
    </row>
    <row r="2" spans="1:4" x14ac:dyDescent="0.25">
      <c r="A2" s="148" t="s">
        <v>282</v>
      </c>
      <c r="B2" s="148" t="s">
        <v>11</v>
      </c>
      <c r="C2" s="148" t="s">
        <v>261</v>
      </c>
      <c r="D2" s="148" t="s">
        <v>203</v>
      </c>
    </row>
    <row r="3" spans="1:4" x14ac:dyDescent="0.25">
      <c r="A3" s="150" t="s">
        <v>283</v>
      </c>
      <c r="B3" s="151">
        <v>40206</v>
      </c>
      <c r="C3" s="152" t="s">
        <v>284</v>
      </c>
      <c r="D3" s="153" t="s">
        <v>285</v>
      </c>
    </row>
    <row r="4" spans="1:4" ht="30" x14ac:dyDescent="0.25">
      <c r="A4" s="18" t="s">
        <v>328</v>
      </c>
      <c r="B4" s="151">
        <v>40354</v>
      </c>
      <c r="C4" s="152" t="s">
        <v>284</v>
      </c>
      <c r="D4" s="154" t="s">
        <v>329</v>
      </c>
    </row>
    <row r="5" spans="1:4" ht="51.75" x14ac:dyDescent="0.25">
      <c r="A5" s="150" t="s">
        <v>334</v>
      </c>
      <c r="B5" s="151">
        <v>40371</v>
      </c>
      <c r="C5" s="152" t="s">
        <v>284</v>
      </c>
      <c r="D5" s="155" t="s">
        <v>335</v>
      </c>
    </row>
    <row r="6" spans="1:4" x14ac:dyDescent="0.25">
      <c r="A6" s="150" t="s">
        <v>338</v>
      </c>
      <c r="B6" s="151">
        <v>40382</v>
      </c>
      <c r="C6" s="152" t="s">
        <v>284</v>
      </c>
      <c r="D6" s="155" t="s">
        <v>339</v>
      </c>
    </row>
    <row r="7" spans="1:4" ht="51.75" x14ac:dyDescent="0.25">
      <c r="A7" s="150" t="s">
        <v>342</v>
      </c>
      <c r="B7" s="151">
        <v>40515</v>
      </c>
      <c r="C7" s="152" t="s">
        <v>284</v>
      </c>
      <c r="D7" s="155" t="s">
        <v>344</v>
      </c>
    </row>
    <row r="8" spans="1:4" x14ac:dyDescent="0.25">
      <c r="A8" s="150" t="s">
        <v>345</v>
      </c>
      <c r="B8" s="151">
        <v>40581</v>
      </c>
      <c r="C8" s="152" t="s">
        <v>284</v>
      </c>
      <c r="D8" s="155" t="s">
        <v>346</v>
      </c>
    </row>
    <row r="9" spans="1:4" x14ac:dyDescent="0.25">
      <c r="A9" s="18" t="s">
        <v>347</v>
      </c>
      <c r="B9" s="151">
        <v>40734</v>
      </c>
      <c r="C9" s="152" t="s">
        <v>350</v>
      </c>
      <c r="D9" s="154" t="s">
        <v>351</v>
      </c>
    </row>
    <row r="10" spans="1:4" x14ac:dyDescent="0.25">
      <c r="A10" s="18" t="s">
        <v>348</v>
      </c>
      <c r="B10" s="151">
        <v>40735</v>
      </c>
      <c r="C10" s="152" t="s">
        <v>350</v>
      </c>
      <c r="D10" s="154" t="s">
        <v>352</v>
      </c>
    </row>
    <row r="11" spans="1:4" x14ac:dyDescent="0.25">
      <c r="A11" s="18" t="s">
        <v>349</v>
      </c>
      <c r="B11" s="151">
        <v>40735</v>
      </c>
      <c r="C11" s="152" t="s">
        <v>350</v>
      </c>
      <c r="D11" s="154" t="s">
        <v>353</v>
      </c>
    </row>
    <row r="12" spans="1:4" x14ac:dyDescent="0.25">
      <c r="A12" s="18" t="s">
        <v>354</v>
      </c>
      <c r="B12" s="151">
        <v>40940</v>
      </c>
      <c r="C12" s="13" t="s">
        <v>350</v>
      </c>
      <c r="D12" s="154" t="s">
        <v>355</v>
      </c>
    </row>
    <row r="13" spans="1:4" x14ac:dyDescent="0.25">
      <c r="A13" s="18" t="s">
        <v>356</v>
      </c>
      <c r="B13" s="151">
        <v>41030</v>
      </c>
      <c r="C13" s="13" t="s">
        <v>350</v>
      </c>
      <c r="D13" s="13" t="s">
        <v>357</v>
      </c>
    </row>
    <row r="14" spans="1:4" x14ac:dyDescent="0.25">
      <c r="A14" s="18" t="s">
        <v>358</v>
      </c>
      <c r="B14" s="151">
        <v>41091</v>
      </c>
      <c r="C14" s="13" t="s">
        <v>350</v>
      </c>
      <c r="D14" s="13" t="s">
        <v>359</v>
      </c>
    </row>
    <row r="15" spans="1:4" x14ac:dyDescent="0.25">
      <c r="A15" s="18" t="s">
        <v>360</v>
      </c>
      <c r="B15" s="151">
        <v>41100</v>
      </c>
      <c r="C15" s="13" t="s">
        <v>350</v>
      </c>
      <c r="D15" s="13" t="s">
        <v>361</v>
      </c>
    </row>
    <row r="16" spans="1:4" x14ac:dyDescent="0.25">
      <c r="A16" s="18"/>
      <c r="B16" s="13"/>
      <c r="C16" s="13"/>
      <c r="D16" s="13"/>
    </row>
    <row r="17" spans="1:4" x14ac:dyDescent="0.25">
      <c r="A17" s="18"/>
      <c r="B17" s="13"/>
      <c r="C17" s="13"/>
      <c r="D17" s="13"/>
    </row>
    <row r="18" spans="1:4" x14ac:dyDescent="0.25">
      <c r="A18" s="18"/>
      <c r="B18" s="13"/>
      <c r="C18" s="13"/>
      <c r="D18" s="13"/>
    </row>
    <row r="19" spans="1:4" x14ac:dyDescent="0.25">
      <c r="A19" s="18"/>
      <c r="B19" s="13"/>
      <c r="C19" s="13"/>
      <c r="D19" s="13"/>
    </row>
    <row r="20" spans="1:4" x14ac:dyDescent="0.25">
      <c r="A20" s="18"/>
      <c r="B20" s="13"/>
      <c r="C20" s="13"/>
      <c r="D20" s="13"/>
    </row>
    <row r="21" spans="1:4" x14ac:dyDescent="0.25">
      <c r="A21" s="18"/>
      <c r="B21" s="13"/>
      <c r="C21" s="13"/>
      <c r="D21" s="13"/>
    </row>
    <row r="22" spans="1:4" x14ac:dyDescent="0.25">
      <c r="A22" s="18"/>
      <c r="B22" s="13"/>
      <c r="C22" s="13"/>
      <c r="D22" s="13"/>
    </row>
    <row r="23" spans="1:4" x14ac:dyDescent="0.25">
      <c r="A23" s="18"/>
      <c r="B23" s="13"/>
      <c r="C23" s="13"/>
      <c r="D23" s="13"/>
    </row>
    <row r="24" spans="1:4" x14ac:dyDescent="0.25">
      <c r="A24" s="18"/>
      <c r="B24" s="13"/>
      <c r="C24" s="13"/>
      <c r="D24" s="13"/>
    </row>
  </sheetData>
  <sheetProtection password="824A" sheet="1" objects="1" scenarios="1"/>
  <mergeCells count="1">
    <mergeCell ref="A1:D1"/>
  </mergeCells>
  <pageMargins left="0.511811024" right="0.511811024" top="0.78740157499999996" bottom="0.78740157499999996" header="0.31496062000000002" footer="0.31496062000000002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N23"/>
  <sheetViews>
    <sheetView zoomScale="80" zoomScaleNormal="80" workbookViewId="0">
      <selection activeCell="C21" sqref="C21"/>
    </sheetView>
  </sheetViews>
  <sheetFormatPr defaultRowHeight="15" x14ac:dyDescent="0.25"/>
  <cols>
    <col min="1" max="1" width="4.28515625" style="1" customWidth="1"/>
    <col min="2" max="2" width="21.140625" style="1" customWidth="1"/>
    <col min="3" max="3" width="37.5703125" style="1" customWidth="1"/>
    <col min="4" max="4" width="5" style="1" customWidth="1"/>
    <col min="5" max="16384" width="9.140625" style="1"/>
  </cols>
  <sheetData>
    <row r="3" spans="2:14" x14ac:dyDescent="0.25">
      <c r="D3"/>
    </row>
    <row r="11" spans="2:14" ht="15.75" thickBot="1" x14ac:dyDescent="0.3"/>
    <row r="12" spans="2:14" ht="15" customHeight="1" x14ac:dyDescent="0.25">
      <c r="B12" s="205" t="s">
        <v>0</v>
      </c>
      <c r="C12" s="206"/>
      <c r="E12" s="193" t="s">
        <v>10</v>
      </c>
      <c r="F12" s="194"/>
      <c r="G12" s="194"/>
      <c r="H12" s="194"/>
      <c r="I12" s="194"/>
      <c r="J12" s="194"/>
      <c r="K12" s="194"/>
      <c r="L12" s="194"/>
      <c r="M12" s="194"/>
      <c r="N12" s="195"/>
    </row>
    <row r="13" spans="2:14" x14ac:dyDescent="0.25">
      <c r="B13" s="2" t="s">
        <v>7</v>
      </c>
      <c r="C13" s="3" t="s">
        <v>389</v>
      </c>
      <c r="E13" s="196" t="s">
        <v>386</v>
      </c>
      <c r="F13" s="197"/>
      <c r="G13" s="197"/>
      <c r="H13" s="197"/>
      <c r="I13" s="197"/>
      <c r="J13" s="197"/>
      <c r="K13" s="197"/>
      <c r="L13" s="197"/>
      <c r="M13" s="197"/>
      <c r="N13" s="198"/>
    </row>
    <row r="14" spans="2:14" x14ac:dyDescent="0.25">
      <c r="B14" s="2" t="s">
        <v>6</v>
      </c>
      <c r="C14" s="3">
        <v>2014</v>
      </c>
      <c r="E14" s="199"/>
      <c r="F14" s="200"/>
      <c r="G14" s="200"/>
      <c r="H14" s="200"/>
      <c r="I14" s="200"/>
      <c r="J14" s="200"/>
      <c r="K14" s="200"/>
      <c r="L14" s="200"/>
      <c r="M14" s="200"/>
      <c r="N14" s="201"/>
    </row>
    <row r="15" spans="2:14" ht="15.75" thickBot="1" x14ac:dyDescent="0.3">
      <c r="B15" s="4" t="s">
        <v>8</v>
      </c>
      <c r="C15" s="5">
        <v>1</v>
      </c>
      <c r="E15" s="199"/>
      <c r="F15" s="200"/>
      <c r="G15" s="200"/>
      <c r="H15" s="200"/>
      <c r="I15" s="200"/>
      <c r="J15" s="200"/>
      <c r="K15" s="200"/>
      <c r="L15" s="200"/>
      <c r="M15" s="200"/>
      <c r="N15" s="201"/>
    </row>
    <row r="16" spans="2:14" x14ac:dyDescent="0.25">
      <c r="B16" s="205" t="s">
        <v>5</v>
      </c>
      <c r="C16" s="206"/>
      <c r="E16" s="199"/>
      <c r="F16" s="200"/>
      <c r="G16" s="200"/>
      <c r="H16" s="200"/>
      <c r="I16" s="200"/>
      <c r="J16" s="200"/>
      <c r="K16" s="200"/>
      <c r="L16" s="200"/>
      <c r="M16" s="200"/>
      <c r="N16" s="201"/>
    </row>
    <row r="17" spans="2:14" x14ac:dyDescent="0.25">
      <c r="B17" s="2" t="s">
        <v>1</v>
      </c>
      <c r="C17" s="3" t="s">
        <v>387</v>
      </c>
      <c r="E17" s="199"/>
      <c r="F17" s="200"/>
      <c r="G17" s="200"/>
      <c r="H17" s="200"/>
      <c r="I17" s="200"/>
      <c r="J17" s="200"/>
      <c r="K17" s="200"/>
      <c r="L17" s="200"/>
      <c r="M17" s="200"/>
      <c r="N17" s="201"/>
    </row>
    <row r="18" spans="2:14" x14ac:dyDescent="0.25">
      <c r="B18" s="2" t="s">
        <v>1</v>
      </c>
      <c r="C18" s="3" t="s">
        <v>384</v>
      </c>
      <c r="E18" s="199"/>
      <c r="F18" s="200"/>
      <c r="G18" s="200"/>
      <c r="H18" s="200"/>
      <c r="I18" s="200"/>
      <c r="J18" s="200"/>
      <c r="K18" s="200"/>
      <c r="L18" s="200"/>
      <c r="M18" s="200"/>
      <c r="N18" s="201"/>
    </row>
    <row r="19" spans="2:14" ht="15.75" thickBot="1" x14ac:dyDescent="0.3">
      <c r="B19" s="4" t="s">
        <v>1</v>
      </c>
      <c r="C19" s="5" t="s">
        <v>388</v>
      </c>
      <c r="E19" s="199"/>
      <c r="F19" s="200"/>
      <c r="G19" s="200"/>
      <c r="H19" s="200"/>
      <c r="I19" s="200"/>
      <c r="J19" s="200"/>
      <c r="K19" s="200"/>
      <c r="L19" s="200"/>
      <c r="M19" s="200"/>
      <c r="N19" s="201"/>
    </row>
    <row r="20" spans="2:14" x14ac:dyDescent="0.25">
      <c r="B20" s="193" t="s">
        <v>2</v>
      </c>
      <c r="C20" s="195"/>
      <c r="E20" s="199"/>
      <c r="F20" s="200"/>
      <c r="G20" s="200"/>
      <c r="H20" s="200"/>
      <c r="I20" s="200"/>
      <c r="J20" s="200"/>
      <c r="K20" s="200"/>
      <c r="L20" s="200"/>
      <c r="M20" s="200"/>
      <c r="N20" s="201"/>
    </row>
    <row r="21" spans="2:14" x14ac:dyDescent="0.25">
      <c r="B21" s="2" t="s">
        <v>3</v>
      </c>
      <c r="C21" s="3" t="s">
        <v>390</v>
      </c>
      <c r="E21" s="199"/>
      <c r="F21" s="200"/>
      <c r="G21" s="200"/>
      <c r="H21" s="200"/>
      <c r="I21" s="200"/>
      <c r="J21" s="200"/>
      <c r="K21" s="200"/>
      <c r="L21" s="200"/>
      <c r="M21" s="200"/>
      <c r="N21" s="201"/>
    </row>
    <row r="22" spans="2:14" x14ac:dyDescent="0.25">
      <c r="B22" s="2" t="s">
        <v>4</v>
      </c>
      <c r="C22" s="3" t="s">
        <v>434</v>
      </c>
      <c r="E22" s="199"/>
      <c r="F22" s="200"/>
      <c r="G22" s="200"/>
      <c r="H22" s="200"/>
      <c r="I22" s="200"/>
      <c r="J22" s="200"/>
      <c r="K22" s="200"/>
      <c r="L22" s="200"/>
      <c r="M22" s="200"/>
      <c r="N22" s="201"/>
    </row>
    <row r="23" spans="2:14" ht="15.75" thickBot="1" x14ac:dyDescent="0.3">
      <c r="B23" s="4" t="s">
        <v>9</v>
      </c>
      <c r="C23" s="5" t="s">
        <v>350</v>
      </c>
      <c r="E23" s="202"/>
      <c r="F23" s="203"/>
      <c r="G23" s="203"/>
      <c r="H23" s="203"/>
      <c r="I23" s="203"/>
      <c r="J23" s="203"/>
      <c r="K23" s="203"/>
      <c r="L23" s="203"/>
      <c r="M23" s="203"/>
      <c r="N23" s="204"/>
    </row>
  </sheetData>
  <sheetProtection password="8352" sheet="1" objects="1" scenarios="1"/>
  <protectedRanges>
    <protectedRange sqref="C17:C19 C21:C23 C13:C15 E13" name="Dados da Proposta"/>
  </protectedRanges>
  <mergeCells count="5">
    <mergeCell ref="E12:N12"/>
    <mergeCell ref="E13:N23"/>
    <mergeCell ref="B16:C16"/>
    <mergeCell ref="B12:C12"/>
    <mergeCell ref="B20:C20"/>
  </mergeCells>
  <pageMargins left="0.511811024" right="0.511811024" top="0.78740157499999996" bottom="0.78740157499999996" header="0.31496062000000002" footer="0.31496062000000002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I164"/>
  <sheetViews>
    <sheetView topLeftCell="A19" zoomScale="80" zoomScaleNormal="80" workbookViewId="0">
      <selection activeCell="C62" sqref="C62"/>
    </sheetView>
  </sheetViews>
  <sheetFormatPr defaultRowHeight="15" x14ac:dyDescent="0.25"/>
  <cols>
    <col min="1" max="1" width="6.5703125" style="1" customWidth="1"/>
    <col min="2" max="2" width="11.140625" style="1" customWidth="1"/>
    <col min="3" max="3" width="68.5703125" style="1" customWidth="1"/>
    <col min="4" max="4" width="16.140625" style="1" customWidth="1"/>
    <col min="5" max="5" width="10.85546875" style="1" bestFit="1" customWidth="1"/>
    <col min="6" max="6" width="18.5703125" style="1" customWidth="1"/>
    <col min="7" max="7" width="21.85546875" style="1" customWidth="1"/>
    <col min="8" max="16384" width="9.140625" style="1"/>
  </cols>
  <sheetData>
    <row r="2" spans="1:4" x14ac:dyDescent="0.25">
      <c r="B2" s="11"/>
    </row>
    <row r="3" spans="1:4" x14ac:dyDescent="0.25">
      <c r="C3" s="12"/>
    </row>
    <row r="4" spans="1:4" x14ac:dyDescent="0.25">
      <c r="C4" s="12"/>
    </row>
    <row r="5" spans="1:4" x14ac:dyDescent="0.25">
      <c r="C5" s="12"/>
    </row>
    <row r="6" spans="1:4" x14ac:dyDescent="0.25">
      <c r="A6" s="11" t="s">
        <v>148</v>
      </c>
      <c r="C6" s="12"/>
    </row>
    <row r="7" spans="1:4" x14ac:dyDescent="0.25">
      <c r="A7" s="11"/>
      <c r="C7" s="12"/>
    </row>
    <row r="8" spans="1:4" x14ac:dyDescent="0.25">
      <c r="C8" s="19" t="s">
        <v>149</v>
      </c>
      <c r="D8" s="19" t="s">
        <v>147</v>
      </c>
    </row>
    <row r="9" spans="1:4" x14ac:dyDescent="0.25">
      <c r="C9" s="41" t="s">
        <v>410</v>
      </c>
      <c r="D9" s="44">
        <v>3</v>
      </c>
    </row>
    <row r="10" spans="1:4" x14ac:dyDescent="0.25">
      <c r="C10" s="41" t="s">
        <v>411</v>
      </c>
      <c r="D10" s="44">
        <v>3</v>
      </c>
    </row>
    <row r="11" spans="1:4" x14ac:dyDescent="0.25">
      <c r="C11" s="41" t="s">
        <v>412</v>
      </c>
      <c r="D11" s="44">
        <v>3</v>
      </c>
    </row>
    <row r="12" spans="1:4" x14ac:dyDescent="0.25">
      <c r="C12" s="41"/>
      <c r="D12" s="44"/>
    </row>
    <row r="13" spans="1:4" x14ac:dyDescent="0.25">
      <c r="C13" s="41"/>
      <c r="D13" s="44"/>
    </row>
    <row r="14" spans="1:4" x14ac:dyDescent="0.25">
      <c r="C14" s="41"/>
      <c r="D14" s="44"/>
    </row>
    <row r="15" spans="1:4" x14ac:dyDescent="0.25">
      <c r="C15" s="41"/>
      <c r="D15" s="44"/>
    </row>
    <row r="16" spans="1:4" x14ac:dyDescent="0.25">
      <c r="C16" s="41"/>
      <c r="D16" s="44"/>
    </row>
    <row r="17" spans="1:4" x14ac:dyDescent="0.25">
      <c r="C17" s="41"/>
      <c r="D17" s="44"/>
    </row>
    <row r="18" spans="1:4" x14ac:dyDescent="0.25">
      <c r="C18" s="41"/>
      <c r="D18" s="44"/>
    </row>
    <row r="19" spans="1:4" x14ac:dyDescent="0.25">
      <c r="C19" s="41"/>
      <c r="D19" s="44"/>
    </row>
    <row r="20" spans="1:4" x14ac:dyDescent="0.25">
      <c r="C20" s="41"/>
      <c r="D20" s="44"/>
    </row>
    <row r="21" spans="1:4" x14ac:dyDescent="0.25">
      <c r="C21" s="41"/>
      <c r="D21" s="44"/>
    </row>
    <row r="22" spans="1:4" x14ac:dyDescent="0.25">
      <c r="C22" s="41"/>
      <c r="D22" s="44"/>
    </row>
    <row r="23" spans="1:4" x14ac:dyDescent="0.25">
      <c r="C23" s="41"/>
      <c r="D23" s="44"/>
    </row>
    <row r="24" spans="1:4" x14ac:dyDescent="0.25">
      <c r="C24" s="41"/>
      <c r="D24" s="44"/>
    </row>
    <row r="25" spans="1:4" x14ac:dyDescent="0.25">
      <c r="C25" s="41"/>
      <c r="D25" s="44"/>
    </row>
    <row r="26" spans="1:4" x14ac:dyDescent="0.25">
      <c r="C26" s="41"/>
      <c r="D26" s="44"/>
    </row>
    <row r="27" spans="1:4" x14ac:dyDescent="0.25">
      <c r="C27" s="12"/>
    </row>
    <row r="28" spans="1:4" x14ac:dyDescent="0.25">
      <c r="C28" s="12"/>
    </row>
    <row r="29" spans="1:4" x14ac:dyDescent="0.25">
      <c r="A29" s="11" t="s">
        <v>152</v>
      </c>
      <c r="C29" s="12"/>
    </row>
    <row r="30" spans="1:4" x14ac:dyDescent="0.25">
      <c r="C30" s="12"/>
    </row>
    <row r="31" spans="1:4" x14ac:dyDescent="0.25">
      <c r="C31" s="19" t="s">
        <v>115</v>
      </c>
      <c r="D31" s="19" t="s">
        <v>147</v>
      </c>
    </row>
    <row r="32" spans="1:4" x14ac:dyDescent="0.25">
      <c r="C32" s="176" t="s">
        <v>400</v>
      </c>
      <c r="D32" s="44">
        <v>5</v>
      </c>
    </row>
    <row r="33" spans="3:4" x14ac:dyDescent="0.25">
      <c r="C33" s="176" t="s">
        <v>402</v>
      </c>
      <c r="D33" s="44">
        <v>5</v>
      </c>
    </row>
    <row r="34" spans="3:4" x14ac:dyDescent="0.25">
      <c r="C34" s="176" t="s">
        <v>401</v>
      </c>
      <c r="D34" s="44">
        <v>5</v>
      </c>
    </row>
    <row r="35" spans="3:4" x14ac:dyDescent="0.25">
      <c r="C35" s="176" t="s">
        <v>403</v>
      </c>
      <c r="D35" s="44">
        <v>15</v>
      </c>
    </row>
    <row r="36" spans="3:4" x14ac:dyDescent="0.25">
      <c r="C36" s="176" t="s">
        <v>404</v>
      </c>
      <c r="D36" s="44">
        <v>15</v>
      </c>
    </row>
    <row r="37" spans="3:4" x14ac:dyDescent="0.25">
      <c r="C37" s="176" t="s">
        <v>405</v>
      </c>
      <c r="D37" s="44">
        <v>15</v>
      </c>
    </row>
    <row r="38" spans="3:4" x14ac:dyDescent="0.25">
      <c r="C38" s="176" t="s">
        <v>407</v>
      </c>
      <c r="D38" s="44">
        <v>10</v>
      </c>
    </row>
    <row r="39" spans="3:4" x14ac:dyDescent="0.25">
      <c r="C39" s="176" t="s">
        <v>406</v>
      </c>
      <c r="D39" s="44">
        <v>15</v>
      </c>
    </row>
    <row r="40" spans="3:4" x14ac:dyDescent="0.25">
      <c r="C40" s="176" t="s">
        <v>408</v>
      </c>
      <c r="D40" s="44">
        <v>10</v>
      </c>
    </row>
    <row r="41" spans="3:4" x14ac:dyDescent="0.25">
      <c r="C41" s="176" t="s">
        <v>409</v>
      </c>
      <c r="D41" s="44">
        <v>15</v>
      </c>
    </row>
    <row r="42" spans="3:4" x14ac:dyDescent="0.25">
      <c r="C42" s="176" t="s">
        <v>413</v>
      </c>
      <c r="D42" s="44">
        <v>15</v>
      </c>
    </row>
    <row r="43" spans="3:4" x14ac:dyDescent="0.25">
      <c r="C43" s="176" t="s">
        <v>414</v>
      </c>
      <c r="D43" s="44">
        <v>10</v>
      </c>
    </row>
    <row r="44" spans="3:4" x14ac:dyDescent="0.25">
      <c r="C44" s="176" t="s">
        <v>415</v>
      </c>
      <c r="D44" s="44">
        <v>10</v>
      </c>
    </row>
    <row r="45" spans="3:4" x14ac:dyDescent="0.25">
      <c r="C45" s="176" t="s">
        <v>416</v>
      </c>
      <c r="D45" s="44">
        <v>10</v>
      </c>
    </row>
    <row r="46" spans="3:4" x14ac:dyDescent="0.25">
      <c r="C46" s="176" t="s">
        <v>417</v>
      </c>
      <c r="D46" s="44">
        <v>5</v>
      </c>
    </row>
    <row r="47" spans="3:4" x14ac:dyDescent="0.25">
      <c r="C47" s="176" t="s">
        <v>418</v>
      </c>
      <c r="D47" s="44">
        <v>10</v>
      </c>
    </row>
    <row r="48" spans="3:4" x14ac:dyDescent="0.25">
      <c r="C48" s="176" t="s">
        <v>419</v>
      </c>
      <c r="D48" s="44">
        <v>5</v>
      </c>
    </row>
    <row r="49" spans="3:4" x14ac:dyDescent="0.25">
      <c r="C49" s="176" t="s">
        <v>420</v>
      </c>
      <c r="D49" s="44">
        <v>5</v>
      </c>
    </row>
    <row r="50" spans="3:4" x14ac:dyDescent="0.25">
      <c r="C50" s="176" t="s">
        <v>421</v>
      </c>
      <c r="D50" s="44">
        <v>5</v>
      </c>
    </row>
    <row r="51" spans="3:4" x14ac:dyDescent="0.25">
      <c r="C51" s="176" t="s">
        <v>422</v>
      </c>
      <c r="D51" s="44">
        <v>5</v>
      </c>
    </row>
    <row r="52" spans="3:4" x14ac:dyDescent="0.25">
      <c r="C52" s="176" t="s">
        <v>423</v>
      </c>
      <c r="D52" s="44">
        <v>5</v>
      </c>
    </row>
    <row r="53" spans="3:4" x14ac:dyDescent="0.25">
      <c r="C53" s="176" t="s">
        <v>424</v>
      </c>
      <c r="D53" s="44">
        <v>15</v>
      </c>
    </row>
    <row r="54" spans="3:4" x14ac:dyDescent="0.25">
      <c r="C54" s="176" t="s">
        <v>425</v>
      </c>
      <c r="D54" s="44">
        <v>5</v>
      </c>
    </row>
    <row r="55" spans="3:4" x14ac:dyDescent="0.25">
      <c r="C55" s="176" t="s">
        <v>426</v>
      </c>
      <c r="D55" s="44">
        <v>5</v>
      </c>
    </row>
    <row r="56" spans="3:4" x14ac:dyDescent="0.25">
      <c r="C56" s="176" t="s">
        <v>427</v>
      </c>
      <c r="D56" s="44">
        <v>5</v>
      </c>
    </row>
    <row r="57" spans="3:4" x14ac:dyDescent="0.25">
      <c r="C57" s="176" t="s">
        <v>428</v>
      </c>
      <c r="D57" s="44">
        <v>5</v>
      </c>
    </row>
    <row r="58" spans="3:4" x14ac:dyDescent="0.25">
      <c r="C58" s="176" t="s">
        <v>429</v>
      </c>
      <c r="D58" s="44">
        <v>5</v>
      </c>
    </row>
    <row r="59" spans="3:4" x14ac:dyDescent="0.25">
      <c r="C59" s="176" t="s">
        <v>430</v>
      </c>
      <c r="D59" s="44">
        <v>5</v>
      </c>
    </row>
    <row r="60" spans="3:4" x14ac:dyDescent="0.25">
      <c r="C60" s="176" t="s">
        <v>431</v>
      </c>
      <c r="D60" s="44">
        <v>10</v>
      </c>
    </row>
    <row r="61" spans="3:4" x14ac:dyDescent="0.25">
      <c r="C61" s="176" t="s">
        <v>432</v>
      </c>
      <c r="D61" s="44">
        <v>15</v>
      </c>
    </row>
    <row r="62" spans="3:4" x14ac:dyDescent="0.25">
      <c r="C62" s="176" t="s">
        <v>433</v>
      </c>
      <c r="D62" s="44">
        <v>15</v>
      </c>
    </row>
    <row r="63" spans="3:4" x14ac:dyDescent="0.25">
      <c r="C63" s="176"/>
      <c r="D63" s="44"/>
    </row>
    <row r="64" spans="3:4" x14ac:dyDescent="0.25">
      <c r="C64" s="176"/>
      <c r="D64" s="44"/>
    </row>
    <row r="65" spans="1:4" x14ac:dyDescent="0.25">
      <c r="C65" s="176"/>
      <c r="D65" s="44"/>
    </row>
    <row r="66" spans="1:4" x14ac:dyDescent="0.25">
      <c r="C66" s="176"/>
      <c r="D66" s="44"/>
    </row>
    <row r="67" spans="1:4" x14ac:dyDescent="0.25">
      <c r="C67" s="176"/>
      <c r="D67" s="44"/>
    </row>
    <row r="68" spans="1:4" x14ac:dyDescent="0.25">
      <c r="C68" s="176"/>
      <c r="D68" s="44"/>
    </row>
    <row r="69" spans="1:4" x14ac:dyDescent="0.25">
      <c r="C69" s="176"/>
      <c r="D69" s="44"/>
    </row>
    <row r="70" spans="1:4" x14ac:dyDescent="0.25">
      <c r="C70" s="176"/>
      <c r="D70" s="44"/>
    </row>
    <row r="71" spans="1:4" x14ac:dyDescent="0.25">
      <c r="C71" s="176"/>
      <c r="D71" s="44"/>
    </row>
    <row r="72" spans="1:4" x14ac:dyDescent="0.25">
      <c r="C72" s="176"/>
      <c r="D72" s="44"/>
    </row>
    <row r="73" spans="1:4" x14ac:dyDescent="0.25">
      <c r="C73" s="176"/>
      <c r="D73" s="44"/>
    </row>
    <row r="74" spans="1:4" x14ac:dyDescent="0.25">
      <c r="C74" s="176"/>
      <c r="D74" s="44"/>
    </row>
    <row r="75" spans="1:4" x14ac:dyDescent="0.25">
      <c r="C75" s="176"/>
      <c r="D75" s="44"/>
    </row>
    <row r="76" spans="1:4" x14ac:dyDescent="0.25">
      <c r="C76" s="41"/>
      <c r="D76" s="44"/>
    </row>
    <row r="77" spans="1:4" x14ac:dyDescent="0.25">
      <c r="C77" s="12"/>
    </row>
    <row r="78" spans="1:4" x14ac:dyDescent="0.25">
      <c r="C78" s="12"/>
    </row>
    <row r="79" spans="1:4" x14ac:dyDescent="0.25">
      <c r="A79" s="11" t="s">
        <v>153</v>
      </c>
      <c r="B79" s="11"/>
    </row>
    <row r="80" spans="1:4" ht="15.75" thickBot="1" x14ac:dyDescent="0.3"/>
    <row r="81" spans="1:8" x14ac:dyDescent="0.25">
      <c r="B81" s="6" t="s">
        <v>13</v>
      </c>
      <c r="C81" s="23" t="s">
        <v>14</v>
      </c>
      <c r="D81" s="7" t="s">
        <v>15</v>
      </c>
      <c r="G81" s="6" t="s">
        <v>16</v>
      </c>
      <c r="H81" s="7" t="s">
        <v>17</v>
      </c>
    </row>
    <row r="82" spans="1:8" x14ac:dyDescent="0.25">
      <c r="B82" s="24" t="s">
        <v>18</v>
      </c>
      <c r="C82" s="13" t="s">
        <v>19</v>
      </c>
      <c r="D82" s="25">
        <v>1</v>
      </c>
      <c r="G82" s="45">
        <v>0</v>
      </c>
      <c r="H82" s="25">
        <f>D82*G82</f>
        <v>0</v>
      </c>
    </row>
    <row r="83" spans="1:8" x14ac:dyDescent="0.25">
      <c r="B83" s="24" t="s">
        <v>20</v>
      </c>
      <c r="C83" s="13" t="s">
        <v>21</v>
      </c>
      <c r="D83" s="25">
        <v>2</v>
      </c>
      <c r="G83" s="45">
        <v>0</v>
      </c>
      <c r="H83" s="25">
        <f>D83*G83</f>
        <v>0</v>
      </c>
    </row>
    <row r="84" spans="1:8" ht="15.75" thickBot="1" x14ac:dyDescent="0.3">
      <c r="B84" s="26" t="s">
        <v>22</v>
      </c>
      <c r="C84" s="27" t="s">
        <v>23</v>
      </c>
      <c r="D84" s="28">
        <v>3</v>
      </c>
      <c r="G84" s="45">
        <v>3</v>
      </c>
      <c r="H84" s="25">
        <f>D84*G84</f>
        <v>9</v>
      </c>
    </row>
    <row r="85" spans="1:8" ht="15.75" thickBot="1" x14ac:dyDescent="0.3">
      <c r="F85" s="31" t="s">
        <v>24</v>
      </c>
      <c r="G85" s="29">
        <f>SUM(G82:G84)</f>
        <v>3</v>
      </c>
      <c r="H85" s="30">
        <f>SUM(H82:H84)</f>
        <v>9</v>
      </c>
    </row>
    <row r="87" spans="1:8" x14ac:dyDescent="0.25">
      <c r="A87" s="11" t="s">
        <v>154</v>
      </c>
      <c r="B87" s="11"/>
    </row>
    <row r="88" spans="1:8" ht="15.75" thickBot="1" x14ac:dyDescent="0.3"/>
    <row r="89" spans="1:8" ht="25.5" x14ac:dyDescent="0.25">
      <c r="B89" s="17" t="s">
        <v>25</v>
      </c>
      <c r="C89" s="17" t="s">
        <v>26</v>
      </c>
      <c r="D89" s="17" t="s">
        <v>15</v>
      </c>
      <c r="G89" s="6" t="s">
        <v>27</v>
      </c>
      <c r="H89" s="7" t="s">
        <v>17</v>
      </c>
    </row>
    <row r="90" spans="1:8" x14ac:dyDescent="0.25">
      <c r="B90" s="13" t="s">
        <v>18</v>
      </c>
      <c r="C90" s="13" t="s">
        <v>28</v>
      </c>
      <c r="D90" s="18">
        <v>5</v>
      </c>
      <c r="G90" s="45">
        <v>15</v>
      </c>
      <c r="H90" s="25">
        <f>D90*G90</f>
        <v>75</v>
      </c>
    </row>
    <row r="91" spans="1:8" x14ac:dyDescent="0.25">
      <c r="B91" s="13" t="s">
        <v>20</v>
      </c>
      <c r="C91" s="13" t="s">
        <v>29</v>
      </c>
      <c r="D91" s="18">
        <v>10</v>
      </c>
      <c r="G91" s="45">
        <v>7</v>
      </c>
      <c r="H91" s="25">
        <f>D91*G91</f>
        <v>70</v>
      </c>
    </row>
    <row r="92" spans="1:8" ht="15.75" thickBot="1" x14ac:dyDescent="0.3">
      <c r="B92" s="13" t="s">
        <v>22</v>
      </c>
      <c r="C92" s="13" t="s">
        <v>30</v>
      </c>
      <c r="D92" s="18">
        <v>15</v>
      </c>
      <c r="G92" s="45">
        <v>9</v>
      </c>
      <c r="H92" s="25">
        <f>D92*G92</f>
        <v>135</v>
      </c>
    </row>
    <row r="93" spans="1:8" ht="15.75" thickBot="1" x14ac:dyDescent="0.3">
      <c r="F93" s="31" t="s">
        <v>24</v>
      </c>
      <c r="G93" s="29">
        <f xml:space="preserve"> SUM(G90:G92)</f>
        <v>31</v>
      </c>
      <c r="H93" s="30">
        <f xml:space="preserve"> SUM(H90:H92)</f>
        <v>280</v>
      </c>
    </row>
    <row r="94" spans="1:8" ht="15.75" thickBot="1" x14ac:dyDescent="0.3">
      <c r="F94" s="14"/>
      <c r="G94" s="14"/>
    </row>
    <row r="95" spans="1:8" ht="15.75" thickBot="1" x14ac:dyDescent="0.3">
      <c r="F95" s="31" t="s">
        <v>31</v>
      </c>
      <c r="G95" s="32">
        <f>H93 + H85</f>
        <v>289</v>
      </c>
    </row>
    <row r="96" spans="1:8" x14ac:dyDescent="0.25">
      <c r="F96" s="16" t="s">
        <v>32</v>
      </c>
      <c r="G96" s="14"/>
    </row>
    <row r="98" spans="1:7" x14ac:dyDescent="0.25">
      <c r="A98" s="11" t="s">
        <v>155</v>
      </c>
      <c r="B98" s="11"/>
      <c r="C98" s="11"/>
    </row>
    <row r="99" spans="1:7" ht="15.75" thickBot="1" x14ac:dyDescent="0.3"/>
    <row r="100" spans="1:7" x14ac:dyDescent="0.25">
      <c r="B100" s="6" t="s">
        <v>33</v>
      </c>
      <c r="C100" s="23" t="s">
        <v>26</v>
      </c>
      <c r="D100" s="7" t="s">
        <v>15</v>
      </c>
      <c r="F100" s="6" t="s">
        <v>34</v>
      </c>
      <c r="G100" s="7" t="s">
        <v>17</v>
      </c>
    </row>
    <row r="101" spans="1:7" x14ac:dyDescent="0.25">
      <c r="B101" s="24" t="s">
        <v>35</v>
      </c>
      <c r="C101" s="13" t="s">
        <v>36</v>
      </c>
      <c r="D101" s="25">
        <v>2</v>
      </c>
      <c r="F101" s="33">
        <v>3</v>
      </c>
      <c r="G101" s="25">
        <f t="shared" ref="G101:G113" si="0">D101*F101</f>
        <v>6</v>
      </c>
    </row>
    <row r="102" spans="1:7" x14ac:dyDescent="0.25">
      <c r="B102" s="24" t="s">
        <v>37</v>
      </c>
      <c r="C102" s="13" t="s">
        <v>38</v>
      </c>
      <c r="D102" s="25">
        <v>1</v>
      </c>
      <c r="F102" s="33">
        <v>3</v>
      </c>
      <c r="G102" s="25">
        <f t="shared" si="0"/>
        <v>3</v>
      </c>
    </row>
    <row r="103" spans="1:7" x14ac:dyDescent="0.25">
      <c r="B103" s="24" t="s">
        <v>39</v>
      </c>
      <c r="C103" s="13" t="s">
        <v>40</v>
      </c>
      <c r="D103" s="25">
        <v>1</v>
      </c>
      <c r="F103" s="33">
        <v>5</v>
      </c>
      <c r="G103" s="25">
        <f t="shared" si="0"/>
        <v>5</v>
      </c>
    </row>
    <row r="104" spans="1:7" x14ac:dyDescent="0.25">
      <c r="B104" s="24" t="s">
        <v>41</v>
      </c>
      <c r="C104" s="13" t="s">
        <v>42</v>
      </c>
      <c r="D104" s="25">
        <v>1</v>
      </c>
      <c r="F104" s="33">
        <v>3</v>
      </c>
      <c r="G104" s="25">
        <f t="shared" si="0"/>
        <v>3</v>
      </c>
    </row>
    <row r="105" spans="1:7" x14ac:dyDescent="0.25">
      <c r="B105" s="24" t="s">
        <v>43</v>
      </c>
      <c r="C105" s="13" t="s">
        <v>44</v>
      </c>
      <c r="D105" s="25">
        <v>1</v>
      </c>
      <c r="F105" s="33">
        <v>3</v>
      </c>
      <c r="G105" s="25">
        <f t="shared" si="0"/>
        <v>3</v>
      </c>
    </row>
    <row r="106" spans="1:7" x14ac:dyDescent="0.25">
      <c r="B106" s="24" t="s">
        <v>45</v>
      </c>
      <c r="C106" s="13" t="s">
        <v>46</v>
      </c>
      <c r="D106" s="25">
        <v>0.5</v>
      </c>
      <c r="F106" s="33">
        <v>3</v>
      </c>
      <c r="G106" s="25">
        <f t="shared" si="0"/>
        <v>1.5</v>
      </c>
    </row>
    <row r="107" spans="1:7" x14ac:dyDescent="0.25">
      <c r="B107" s="24" t="s">
        <v>47</v>
      </c>
      <c r="C107" s="13" t="s">
        <v>48</v>
      </c>
      <c r="D107" s="25">
        <v>0.5</v>
      </c>
      <c r="F107" s="33">
        <v>3</v>
      </c>
      <c r="G107" s="25">
        <f t="shared" si="0"/>
        <v>1.5</v>
      </c>
    </row>
    <row r="108" spans="1:7" x14ac:dyDescent="0.25">
      <c r="B108" s="24" t="s">
        <v>49</v>
      </c>
      <c r="C108" s="13" t="s">
        <v>50</v>
      </c>
      <c r="D108" s="25">
        <v>2</v>
      </c>
      <c r="F108" s="33">
        <v>3</v>
      </c>
      <c r="G108" s="25">
        <f t="shared" si="0"/>
        <v>6</v>
      </c>
    </row>
    <row r="109" spans="1:7" x14ac:dyDescent="0.25">
      <c r="B109" s="24" t="s">
        <v>51</v>
      </c>
      <c r="C109" s="13" t="s">
        <v>52</v>
      </c>
      <c r="D109" s="25">
        <v>1</v>
      </c>
      <c r="F109" s="33">
        <v>3</v>
      </c>
      <c r="G109" s="25">
        <f t="shared" si="0"/>
        <v>3</v>
      </c>
    </row>
    <row r="110" spans="1:7" x14ac:dyDescent="0.25">
      <c r="B110" s="24" t="s">
        <v>53</v>
      </c>
      <c r="C110" s="13" t="s">
        <v>54</v>
      </c>
      <c r="D110" s="25">
        <v>1</v>
      </c>
      <c r="F110" s="33">
        <v>3</v>
      </c>
      <c r="G110" s="25">
        <f t="shared" si="0"/>
        <v>3</v>
      </c>
    </row>
    <row r="111" spans="1:7" x14ac:dyDescent="0.25">
      <c r="B111" s="24" t="s">
        <v>55</v>
      </c>
      <c r="C111" s="13" t="s">
        <v>56</v>
      </c>
      <c r="D111" s="25">
        <v>1</v>
      </c>
      <c r="F111" s="33">
        <v>3</v>
      </c>
      <c r="G111" s="25">
        <f t="shared" si="0"/>
        <v>3</v>
      </c>
    </row>
    <row r="112" spans="1:7" x14ac:dyDescent="0.25">
      <c r="B112" s="24" t="s">
        <v>57</v>
      </c>
      <c r="C112" s="13" t="s">
        <v>58</v>
      </c>
      <c r="D112" s="25">
        <v>1</v>
      </c>
      <c r="F112" s="33">
        <v>2</v>
      </c>
      <c r="G112" s="25">
        <f t="shared" si="0"/>
        <v>2</v>
      </c>
    </row>
    <row r="113" spans="1:9" ht="15.75" thickBot="1" x14ac:dyDescent="0.3">
      <c r="B113" s="26" t="s">
        <v>59</v>
      </c>
      <c r="C113" s="27" t="s">
        <v>60</v>
      </c>
      <c r="D113" s="28">
        <v>1</v>
      </c>
      <c r="F113" s="33">
        <v>2</v>
      </c>
      <c r="G113" s="25">
        <f t="shared" si="0"/>
        <v>2</v>
      </c>
    </row>
    <row r="114" spans="1:9" ht="15.75" thickBot="1" x14ac:dyDescent="0.3">
      <c r="F114" s="34" t="s">
        <v>61</v>
      </c>
      <c r="G114" s="30">
        <f xml:space="preserve"> SUM(G101:G113)</f>
        <v>42</v>
      </c>
    </row>
    <row r="115" spans="1:9" ht="15.75" thickBot="1" x14ac:dyDescent="0.3"/>
    <row r="116" spans="1:9" ht="15.75" thickBot="1" x14ac:dyDescent="0.3">
      <c r="F116" s="35" t="s">
        <v>62</v>
      </c>
      <c r="G116" s="36">
        <f>0.6+(0.01 * G114)</f>
        <v>1.02</v>
      </c>
    </row>
    <row r="117" spans="1:9" x14ac:dyDescent="0.25">
      <c r="F117" s="16" t="s">
        <v>63</v>
      </c>
    </row>
    <row r="119" spans="1:9" x14ac:dyDescent="0.25">
      <c r="A119" s="11" t="s">
        <v>156</v>
      </c>
      <c r="B119" s="11"/>
      <c r="C119" s="11"/>
    </row>
    <row r="120" spans="1:9" ht="15.75" thickBot="1" x14ac:dyDescent="0.3"/>
    <row r="121" spans="1:9" x14ac:dyDescent="0.25">
      <c r="B121" s="6" t="s">
        <v>33</v>
      </c>
      <c r="C121" s="23" t="s">
        <v>26</v>
      </c>
      <c r="D121" s="7" t="s">
        <v>15</v>
      </c>
      <c r="F121" s="6" t="s">
        <v>34</v>
      </c>
      <c r="G121" s="7" t="s">
        <v>17</v>
      </c>
    </row>
    <row r="122" spans="1:9" x14ac:dyDescent="0.25">
      <c r="B122" s="24" t="s">
        <v>64</v>
      </c>
      <c r="C122" s="13" t="s">
        <v>65</v>
      </c>
      <c r="D122" s="9">
        <v>1.5</v>
      </c>
      <c r="F122" s="33">
        <v>3</v>
      </c>
      <c r="G122" s="25">
        <f t="shared" ref="G122:G129" si="1">D122*F122</f>
        <v>4.5</v>
      </c>
    </row>
    <row r="123" spans="1:9" x14ac:dyDescent="0.25">
      <c r="B123" s="24" t="s">
        <v>66</v>
      </c>
      <c r="C123" s="13" t="s">
        <v>67</v>
      </c>
      <c r="D123" s="9">
        <v>0.5</v>
      </c>
      <c r="F123" s="33">
        <v>3</v>
      </c>
      <c r="G123" s="25">
        <f t="shared" si="1"/>
        <v>1.5</v>
      </c>
    </row>
    <row r="124" spans="1:9" x14ac:dyDescent="0.25">
      <c r="B124" s="24" t="s">
        <v>68</v>
      </c>
      <c r="C124" s="13" t="s">
        <v>69</v>
      </c>
      <c r="D124" s="9">
        <v>1</v>
      </c>
      <c r="F124" s="33">
        <v>3</v>
      </c>
      <c r="G124" s="25">
        <f t="shared" si="1"/>
        <v>3</v>
      </c>
      <c r="I124" s="15"/>
    </row>
    <row r="125" spans="1:9" x14ac:dyDescent="0.25">
      <c r="B125" s="24" t="s">
        <v>70</v>
      </c>
      <c r="C125" s="13" t="s">
        <v>71</v>
      </c>
      <c r="D125" s="9">
        <v>0.5</v>
      </c>
      <c r="F125" s="33">
        <v>3</v>
      </c>
      <c r="G125" s="25">
        <f t="shared" si="1"/>
        <v>1.5</v>
      </c>
    </row>
    <row r="126" spans="1:9" x14ac:dyDescent="0.25">
      <c r="B126" s="24" t="s">
        <v>72</v>
      </c>
      <c r="C126" s="13" t="s">
        <v>73</v>
      </c>
      <c r="D126" s="9">
        <v>1</v>
      </c>
      <c r="F126" s="33">
        <v>5</v>
      </c>
      <c r="G126" s="25">
        <f t="shared" si="1"/>
        <v>5</v>
      </c>
    </row>
    <row r="127" spans="1:9" x14ac:dyDescent="0.25">
      <c r="B127" s="24" t="s">
        <v>74</v>
      </c>
      <c r="C127" s="13" t="s">
        <v>75</v>
      </c>
      <c r="D127" s="9">
        <v>2</v>
      </c>
      <c r="F127" s="33">
        <v>3</v>
      </c>
      <c r="G127" s="25">
        <f t="shared" si="1"/>
        <v>6</v>
      </c>
    </row>
    <row r="128" spans="1:9" x14ac:dyDescent="0.25">
      <c r="B128" s="24" t="s">
        <v>76</v>
      </c>
      <c r="C128" s="13" t="s">
        <v>77</v>
      </c>
      <c r="D128" s="9">
        <v>-1</v>
      </c>
      <c r="F128" s="33">
        <v>3</v>
      </c>
      <c r="G128" s="25">
        <f t="shared" si="1"/>
        <v>-3</v>
      </c>
    </row>
    <row r="129" spans="1:7" ht="15.75" thickBot="1" x14ac:dyDescent="0.3">
      <c r="B129" s="26" t="s">
        <v>78</v>
      </c>
      <c r="C129" s="27" t="s">
        <v>79</v>
      </c>
      <c r="D129" s="10">
        <v>-1.5</v>
      </c>
      <c r="F129" s="33">
        <v>3</v>
      </c>
      <c r="G129" s="25">
        <f t="shared" si="1"/>
        <v>-4.5</v>
      </c>
    </row>
    <row r="130" spans="1:7" ht="15.75" thickBot="1" x14ac:dyDescent="0.3">
      <c r="B130" s="14"/>
      <c r="C130" s="14"/>
      <c r="D130" s="14"/>
      <c r="F130" s="34" t="s">
        <v>80</v>
      </c>
      <c r="G130" s="30">
        <f xml:space="preserve"> SUM(G117:G129)</f>
        <v>14</v>
      </c>
    </row>
    <row r="131" spans="1:7" ht="15.75" thickBot="1" x14ac:dyDescent="0.3">
      <c r="B131" s="14"/>
      <c r="C131" s="14"/>
      <c r="D131" s="14"/>
    </row>
    <row r="132" spans="1:7" ht="15.75" thickBot="1" x14ac:dyDescent="0.3">
      <c r="B132" s="14"/>
      <c r="C132" s="14"/>
      <c r="D132" s="14"/>
      <c r="F132" s="35" t="s">
        <v>81</v>
      </c>
      <c r="G132" s="36">
        <f>1.4+(-0.03 * G130)</f>
        <v>0.98</v>
      </c>
    </row>
    <row r="133" spans="1:7" x14ac:dyDescent="0.25">
      <c r="B133" s="14"/>
      <c r="C133" s="14"/>
      <c r="D133" s="14"/>
      <c r="F133" s="16" t="s">
        <v>82</v>
      </c>
      <c r="G133" s="14"/>
    </row>
    <row r="135" spans="1:7" x14ac:dyDescent="0.25">
      <c r="A135" s="11" t="s">
        <v>157</v>
      </c>
      <c r="B135" s="11"/>
    </row>
    <row r="136" spans="1:7" ht="15.75" thickBot="1" x14ac:dyDescent="0.3"/>
    <row r="137" spans="1:7" ht="15.75" thickBot="1" x14ac:dyDescent="0.3">
      <c r="B137" s="35" t="s">
        <v>83</v>
      </c>
      <c r="C137" s="37" t="s">
        <v>84</v>
      </c>
      <c r="E137" s="38">
        <f>G132 *G116 *G95</f>
        <v>288.88440000000003</v>
      </c>
    </row>
    <row r="138" spans="1:7" ht="15.75" thickBot="1" x14ac:dyDescent="0.3"/>
    <row r="139" spans="1:7" ht="15.75" thickBot="1" x14ac:dyDescent="0.3">
      <c r="B139" s="207" t="s">
        <v>85</v>
      </c>
      <c r="C139" s="208"/>
      <c r="E139" s="39">
        <v>18</v>
      </c>
      <c r="F139" s="14"/>
      <c r="G139" s="14"/>
    </row>
    <row r="140" spans="1:7" ht="15.75" thickBot="1" x14ac:dyDescent="0.3"/>
    <row r="141" spans="1:7" ht="16.5" thickBot="1" x14ac:dyDescent="0.3">
      <c r="B141" s="207" t="s">
        <v>86</v>
      </c>
      <c r="C141" s="208"/>
      <c r="E141" s="40">
        <f>E137 *E139</f>
        <v>5199.9192000000003</v>
      </c>
    </row>
    <row r="144" spans="1:7" x14ac:dyDescent="0.25">
      <c r="C144" s="58" t="s">
        <v>186</v>
      </c>
      <c r="D144" s="59" t="s">
        <v>187</v>
      </c>
      <c r="E144" s="59" t="s">
        <v>196</v>
      </c>
    </row>
    <row r="145" spans="3:6" x14ac:dyDescent="0.25">
      <c r="C145" s="60" t="s">
        <v>188</v>
      </c>
      <c r="D145" s="61">
        <v>0.1</v>
      </c>
      <c r="E145" s="63">
        <f>$E$141*D145</f>
        <v>519.99192000000005</v>
      </c>
    </row>
    <row r="146" spans="3:6" x14ac:dyDescent="0.25">
      <c r="C146" s="60" t="s">
        <v>98</v>
      </c>
      <c r="D146" s="61">
        <v>0.02</v>
      </c>
      <c r="E146" s="63">
        <f t="shared" ref="E146:E153" si="2">$E$141*D146</f>
        <v>103.998384</v>
      </c>
    </row>
    <row r="147" spans="3:6" x14ac:dyDescent="0.25">
      <c r="C147" s="60" t="s">
        <v>189</v>
      </c>
      <c r="D147" s="61">
        <v>0.08</v>
      </c>
      <c r="E147" s="63">
        <f t="shared" si="2"/>
        <v>415.99353600000001</v>
      </c>
    </row>
    <row r="148" spans="3:6" x14ac:dyDescent="0.25">
      <c r="C148" s="60" t="s">
        <v>190</v>
      </c>
      <c r="D148" s="61">
        <v>0.13</v>
      </c>
      <c r="E148" s="63">
        <f t="shared" si="2"/>
        <v>675.98949600000003</v>
      </c>
    </row>
    <row r="149" spans="3:6" x14ac:dyDescent="0.25">
      <c r="C149" s="60" t="s">
        <v>191</v>
      </c>
      <c r="D149" s="61">
        <v>0.4</v>
      </c>
      <c r="E149" s="63">
        <f t="shared" si="2"/>
        <v>2079.9676800000002</v>
      </c>
    </row>
    <row r="150" spans="3:6" x14ac:dyDescent="0.25">
      <c r="C150" s="60" t="s">
        <v>192</v>
      </c>
      <c r="D150" s="61">
        <v>5.6000000000000001E-2</v>
      </c>
      <c r="E150" s="63">
        <f t="shared" si="2"/>
        <v>291.19547520000003</v>
      </c>
    </row>
    <row r="151" spans="3:6" x14ac:dyDescent="0.25">
      <c r="C151" s="60" t="s">
        <v>193</v>
      </c>
      <c r="D151" s="61">
        <v>8.4000000000000005E-2</v>
      </c>
      <c r="E151" s="63">
        <f t="shared" si="2"/>
        <v>436.79321280000005</v>
      </c>
    </row>
    <row r="152" spans="3:6" x14ac:dyDescent="0.25">
      <c r="C152" s="60" t="s">
        <v>194</v>
      </c>
      <c r="D152" s="61">
        <v>7.8E-2</v>
      </c>
      <c r="E152" s="63">
        <f t="shared" si="2"/>
        <v>405.59369760000004</v>
      </c>
    </row>
    <row r="153" spans="3:6" x14ac:dyDescent="0.25">
      <c r="C153" s="60" t="s">
        <v>195</v>
      </c>
      <c r="D153" s="61">
        <v>5.1999999999999998E-2</v>
      </c>
      <c r="E153" s="63">
        <f t="shared" si="2"/>
        <v>270.39579839999999</v>
      </c>
    </row>
    <row r="154" spans="3:6" x14ac:dyDescent="0.25">
      <c r="D154" s="62">
        <f>SUM(D145:D153)</f>
        <v>1</v>
      </c>
    </row>
    <row r="155" spans="3:6" x14ac:dyDescent="0.25">
      <c r="F155" s="57"/>
    </row>
    <row r="156" spans="3:6" x14ac:dyDescent="0.25">
      <c r="C156" s="210" t="s">
        <v>201</v>
      </c>
      <c r="D156" s="211"/>
      <c r="F156" s="57"/>
    </row>
    <row r="157" spans="3:6" x14ac:dyDescent="0.25">
      <c r="C157" s="68" t="s">
        <v>197</v>
      </c>
      <c r="D157" s="66">
        <f>SUM(D145:D153)*E141</f>
        <v>5199.9192000000003</v>
      </c>
      <c r="F157" s="57"/>
    </row>
    <row r="158" spans="3:6" x14ac:dyDescent="0.25">
      <c r="C158" s="68" t="s">
        <v>198</v>
      </c>
      <c r="D158" s="48">
        <f>SUM(D145:D153)*E141</f>
        <v>5199.9192000000003</v>
      </c>
    </row>
    <row r="159" spans="3:6" x14ac:dyDescent="0.25">
      <c r="C159" s="64"/>
      <c r="D159" s="67">
        <f>SUM(D157:D158)</f>
        <v>10399.838400000001</v>
      </c>
    </row>
    <row r="161" spans="3:6" x14ac:dyDescent="0.25">
      <c r="C161" s="209" t="s">
        <v>280</v>
      </c>
      <c r="D161" s="209"/>
    </row>
    <row r="162" spans="3:6" x14ac:dyDescent="0.25">
      <c r="C162" s="50" t="s">
        <v>199</v>
      </c>
      <c r="D162" s="50">
        <v>30</v>
      </c>
    </row>
    <row r="163" spans="3:6" x14ac:dyDescent="0.25">
      <c r="C163" s="50" t="s">
        <v>200</v>
      </c>
      <c r="D163" s="50">
        <f>D164-D162</f>
        <v>83</v>
      </c>
    </row>
    <row r="164" spans="3:6" x14ac:dyDescent="0.25">
      <c r="D164" s="65">
        <f>'Cronograma do TCC'!D14-'Cronograma do TCC'!C10</f>
        <v>113</v>
      </c>
      <c r="F164" s="14"/>
    </row>
  </sheetData>
  <protectedRanges>
    <protectedRange sqref="D145:D153" name="Rateio"/>
    <protectedRange sqref="F122:F129" name="FA"/>
    <protectedRange sqref="F101:F113" name="FCT"/>
    <protectedRange sqref="C32:D76" name="Casos de Uso"/>
    <protectedRange sqref="C9:D26" name="Atores"/>
  </protectedRanges>
  <mergeCells count="4">
    <mergeCell ref="B139:C139"/>
    <mergeCell ref="B141:C141"/>
    <mergeCell ref="C161:D161"/>
    <mergeCell ref="C156:D156"/>
  </mergeCells>
  <pageMargins left="0.511811024" right="0.511811024" top="0.78740157499999996" bottom="0.78740157499999996" header="0.31496062000000002" footer="0.31496062000000002"/>
  <pageSetup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H66"/>
  <sheetViews>
    <sheetView topLeftCell="A10" zoomScale="70" zoomScaleNormal="70" workbookViewId="0">
      <selection activeCell="B17" sqref="B17"/>
    </sheetView>
  </sheetViews>
  <sheetFormatPr defaultRowHeight="15" x14ac:dyDescent="0.25"/>
  <cols>
    <col min="1" max="1" width="9.140625" style="1"/>
    <col min="2" max="2" width="41.7109375" style="1" customWidth="1"/>
    <col min="3" max="3" width="21.28515625" style="1" customWidth="1"/>
    <col min="4" max="5" width="20.42578125" style="1" customWidth="1"/>
    <col min="6" max="6" width="24.5703125" style="1" customWidth="1"/>
    <col min="7" max="9" width="20.28515625" style="1" customWidth="1"/>
    <col min="10" max="12" width="18.5703125" style="1" customWidth="1"/>
    <col min="13" max="13" width="17.85546875" style="1" customWidth="1"/>
    <col min="14" max="14" width="13.85546875" style="1" customWidth="1"/>
    <col min="15" max="16384" width="9.140625" style="1"/>
  </cols>
  <sheetData>
    <row r="7" spans="1:8" x14ac:dyDescent="0.25">
      <c r="A7" s="11" t="s">
        <v>302</v>
      </c>
    </row>
    <row r="9" spans="1:8" ht="25.5" x14ac:dyDescent="0.25">
      <c r="B9" s="17" t="s">
        <v>91</v>
      </c>
      <c r="C9" s="17" t="s">
        <v>92</v>
      </c>
      <c r="D9" s="19" t="s">
        <v>162</v>
      </c>
      <c r="E9" s="19" t="s">
        <v>163</v>
      </c>
      <c r="F9" s="19" t="s">
        <v>176</v>
      </c>
      <c r="G9" s="19" t="s">
        <v>151</v>
      </c>
      <c r="H9" s="148" t="s">
        <v>93</v>
      </c>
    </row>
    <row r="10" spans="1:8" x14ac:dyDescent="0.25">
      <c r="B10" s="20" t="str">
        <f>IF(ISBLANK('Dados do Projeto'!$C$17),"",'Dados do Projeto'!$C$17)</f>
        <v>Luiz Fernando Nascimento da Cruz</v>
      </c>
      <c r="C10" s="212" t="s">
        <v>172</v>
      </c>
      <c r="D10" s="127">
        <f>'Correção AE1-PSI1'!$E$13</f>
        <v>0</v>
      </c>
      <c r="E10" s="127">
        <f>AVERAGE('Correção Iteração 1-PSI1'!$D$30,'Correção Iteração 2-PSI1'!$D$30)</f>
        <v>0</v>
      </c>
      <c r="F10" s="127">
        <f>'Correção Banca Lógica-PSI1'!E9</f>
        <v>10</v>
      </c>
      <c r="G10" s="127">
        <f>AVERAGE(D10,E10,F10)</f>
        <v>3.3333333333333335</v>
      </c>
      <c r="H10" s="127">
        <f>'Avaliação Complementar-PSI1'!E9</f>
        <v>0</v>
      </c>
    </row>
    <row r="11" spans="1:8" x14ac:dyDescent="0.25">
      <c r="B11" s="20" t="str">
        <f>IF(ISBLANK('Dados do Projeto'!$C$18),"",'Dados do Projeto'!$C$18)</f>
        <v>Jaqueline Talita Winckes</v>
      </c>
      <c r="C11" s="213"/>
      <c r="D11" s="127">
        <f>'Correção AE1-PSI1'!$E$13</f>
        <v>0</v>
      </c>
      <c r="E11" s="127">
        <f>AVERAGE('Correção Iteração 1-PSI1'!$D$30,'Correção Iteração 2-PSI1'!$D$30)</f>
        <v>0</v>
      </c>
      <c r="F11" s="127">
        <f>'Correção Banca Lógica-PSI1'!E10</f>
        <v>10</v>
      </c>
      <c r="G11" s="127">
        <f>AVERAGE(D11,E11,F11)</f>
        <v>3.3333333333333335</v>
      </c>
      <c r="H11" s="127">
        <f>'Avaliação Complementar-PSI1'!E10</f>
        <v>0</v>
      </c>
    </row>
    <row r="12" spans="1:8" x14ac:dyDescent="0.25">
      <c r="B12" s="20" t="str">
        <f>IF(ISBLANK('Dados do Projeto'!$C$19),"",'Dados do Projeto'!$C$19)</f>
        <v>Paulo Henrique Ferreira de Lima</v>
      </c>
      <c r="C12" s="214"/>
      <c r="D12" s="127">
        <f>'Correção AE1-PSI1'!$E$13</f>
        <v>0</v>
      </c>
      <c r="E12" s="127">
        <f>AVERAGE('Correção Iteração 1-PSI1'!$D$30,'Correção Iteração 2-PSI1'!$D$30)</f>
        <v>0</v>
      </c>
      <c r="F12" s="127">
        <f>'Correção Banca Lógica-PSI1'!E11</f>
        <v>10</v>
      </c>
      <c r="G12" s="127">
        <f>AVERAGE(D12,E12,F12)</f>
        <v>3.3333333333333335</v>
      </c>
      <c r="H12" s="127">
        <f>'Avaliação Complementar-PSI1'!E11</f>
        <v>0</v>
      </c>
    </row>
    <row r="15" spans="1:8" x14ac:dyDescent="0.25">
      <c r="A15" s="11" t="s">
        <v>303</v>
      </c>
    </row>
    <row r="17" spans="2:4" x14ac:dyDescent="0.25">
      <c r="B17" s="17" t="s">
        <v>91</v>
      </c>
      <c r="C17" s="17" t="s">
        <v>94</v>
      </c>
      <c r="D17" s="17" t="s">
        <v>95</v>
      </c>
    </row>
    <row r="18" spans="2:4" x14ac:dyDescent="0.25">
      <c r="B18" s="41"/>
      <c r="C18" s="41"/>
      <c r="D18" s="41"/>
    </row>
    <row r="19" spans="2:4" x14ac:dyDescent="0.25">
      <c r="B19" s="41"/>
      <c r="C19" s="41"/>
      <c r="D19" s="41"/>
    </row>
    <row r="20" spans="2:4" x14ac:dyDescent="0.25">
      <c r="B20" s="41"/>
      <c r="C20" s="41"/>
      <c r="D20" s="41"/>
    </row>
    <row r="21" spans="2:4" x14ac:dyDescent="0.25">
      <c r="B21" s="41"/>
      <c r="C21" s="41"/>
      <c r="D21" s="41"/>
    </row>
    <row r="22" spans="2:4" x14ac:dyDescent="0.25">
      <c r="B22" s="41"/>
      <c r="C22" s="41"/>
      <c r="D22" s="41"/>
    </row>
    <row r="23" spans="2:4" x14ac:dyDescent="0.25">
      <c r="B23" s="41"/>
      <c r="C23" s="41"/>
      <c r="D23" s="41"/>
    </row>
    <row r="24" spans="2:4" x14ac:dyDescent="0.25">
      <c r="B24" s="41"/>
      <c r="C24" s="41"/>
      <c r="D24" s="41"/>
    </row>
    <row r="25" spans="2:4" x14ac:dyDescent="0.25">
      <c r="B25" s="41"/>
      <c r="C25" s="41"/>
      <c r="D25" s="41"/>
    </row>
    <row r="26" spans="2:4" x14ac:dyDescent="0.25">
      <c r="B26" s="41"/>
      <c r="C26" s="41"/>
      <c r="D26" s="41"/>
    </row>
    <row r="27" spans="2:4" x14ac:dyDescent="0.25">
      <c r="B27" s="41"/>
      <c r="C27" s="41"/>
      <c r="D27" s="41"/>
    </row>
    <row r="28" spans="2:4" x14ac:dyDescent="0.25">
      <c r="B28" s="41"/>
      <c r="C28" s="41"/>
      <c r="D28" s="41"/>
    </row>
    <row r="29" spans="2:4" x14ac:dyDescent="0.25">
      <c r="B29" s="41"/>
      <c r="C29" s="41"/>
      <c r="D29" s="41"/>
    </row>
    <row r="30" spans="2:4" x14ac:dyDescent="0.25">
      <c r="B30" s="41"/>
      <c r="C30" s="41"/>
      <c r="D30" s="41"/>
    </row>
    <row r="31" spans="2:4" x14ac:dyDescent="0.25">
      <c r="B31" s="41"/>
      <c r="C31" s="41"/>
      <c r="D31" s="41"/>
    </row>
    <row r="32" spans="2:4" x14ac:dyDescent="0.25">
      <c r="B32" s="41"/>
      <c r="C32" s="41"/>
      <c r="D32" s="41"/>
    </row>
    <row r="33" spans="1:8" x14ac:dyDescent="0.25">
      <c r="B33" s="41"/>
      <c r="C33" s="41"/>
      <c r="D33" s="41"/>
    </row>
    <row r="34" spans="1:8" x14ac:dyDescent="0.25">
      <c r="B34" s="41"/>
      <c r="C34" s="41"/>
      <c r="D34" s="41"/>
    </row>
    <row r="35" spans="1:8" x14ac:dyDescent="0.25">
      <c r="B35" s="41"/>
      <c r="C35" s="41"/>
      <c r="D35" s="41"/>
    </row>
    <row r="38" spans="1:8" x14ac:dyDescent="0.25">
      <c r="A38" s="11" t="s">
        <v>305</v>
      </c>
    </row>
    <row r="40" spans="1:8" ht="25.5" x14ac:dyDescent="0.25">
      <c r="B40" s="149" t="s">
        <v>91</v>
      </c>
      <c r="C40" s="149" t="s">
        <v>92</v>
      </c>
      <c r="D40" s="149" t="s">
        <v>162</v>
      </c>
      <c r="E40" s="149" t="s">
        <v>163</v>
      </c>
      <c r="F40" s="149" t="s">
        <v>176</v>
      </c>
      <c r="G40" s="149" t="s">
        <v>151</v>
      </c>
      <c r="H40" s="149" t="s">
        <v>93</v>
      </c>
    </row>
    <row r="41" spans="1:8" x14ac:dyDescent="0.25">
      <c r="B41" s="20" t="str">
        <f>IF(ISBLANK('Dados do Projeto'!$C$17),"",'Dados do Projeto'!$C$17)</f>
        <v>Luiz Fernando Nascimento da Cruz</v>
      </c>
      <c r="C41" s="212" t="s">
        <v>172</v>
      </c>
      <c r="D41" s="127">
        <f>'Correção Banca Protótipo-PSI2'!E9</f>
        <v>0</v>
      </c>
      <c r="E41" s="127">
        <f>AVERAGE('Correção Iteração 1-PSI2'!$D$30,'Correção Iteração 2-PSI2'!$D$30)</f>
        <v>0</v>
      </c>
      <c r="F41" s="127">
        <f>'Correção Banca Física-PSI2'!E9</f>
        <v>2.2949999999999999</v>
      </c>
      <c r="G41" s="127">
        <f>AVERAGE(D41,E41,F41)</f>
        <v>0.76500000000000001</v>
      </c>
      <c r="H41" s="127">
        <f>'Avaliação Complementar-PSI2'!E40</f>
        <v>0</v>
      </c>
    </row>
    <row r="42" spans="1:8" x14ac:dyDescent="0.25">
      <c r="B42" s="20" t="str">
        <f>IF(ISBLANK('Dados do Projeto'!$C$18),"",'Dados do Projeto'!$C$18)</f>
        <v>Jaqueline Talita Winckes</v>
      </c>
      <c r="C42" s="213"/>
      <c r="D42" s="127">
        <f>'Correção Banca Protótipo-PSI2'!E10</f>
        <v>0</v>
      </c>
      <c r="E42" s="127">
        <f>AVERAGE('Correção Iteração 1-PSI2'!$D$30,'Correção Iteração 2-PSI2'!$D$30)</f>
        <v>0</v>
      </c>
      <c r="F42" s="127">
        <f>'Correção Banca Física-PSI2'!E10</f>
        <v>2.2949999999999999</v>
      </c>
      <c r="G42" s="127">
        <f>AVERAGE(D42,E42,F42)</f>
        <v>0.76500000000000001</v>
      </c>
      <c r="H42" s="127">
        <f>'Avaliação Complementar-PSI2'!E41</f>
        <v>0</v>
      </c>
    </row>
    <row r="43" spans="1:8" x14ac:dyDescent="0.25">
      <c r="B43" s="20" t="str">
        <f>IF(ISBLANK('Dados do Projeto'!$C$19),"",'Dados do Projeto'!$C$19)</f>
        <v>Paulo Henrique Ferreira de Lima</v>
      </c>
      <c r="C43" s="214"/>
      <c r="D43" s="127">
        <f>'Correção Banca Protótipo-PSI2'!E11</f>
        <v>0</v>
      </c>
      <c r="E43" s="127">
        <f>AVERAGE('Correção Iteração 1-PSI2'!$D$30,'Correção Iteração 2-PSI2'!$D$30)</f>
        <v>0</v>
      </c>
      <c r="F43" s="127">
        <f>'Correção Banca Física-PSI2'!E11</f>
        <v>2.2949999999999999</v>
      </c>
      <c r="G43" s="127">
        <f>AVERAGE(D43,E43,F43)</f>
        <v>0.76500000000000001</v>
      </c>
      <c r="H43" s="127">
        <f>'Avaliação Complementar-PSI2'!E42</f>
        <v>0</v>
      </c>
    </row>
    <row r="46" spans="1:8" x14ac:dyDescent="0.25">
      <c r="A46" s="11" t="s">
        <v>304</v>
      </c>
    </row>
    <row r="48" spans="1:8" x14ac:dyDescent="0.25">
      <c r="B48" s="149" t="s">
        <v>91</v>
      </c>
      <c r="C48" s="149" t="s">
        <v>94</v>
      </c>
      <c r="D48" s="149" t="s">
        <v>95</v>
      </c>
    </row>
    <row r="49" spans="2:4" x14ac:dyDescent="0.25">
      <c r="B49" s="41"/>
      <c r="C49" s="41"/>
      <c r="D49" s="41"/>
    </row>
    <row r="50" spans="2:4" x14ac:dyDescent="0.25">
      <c r="B50" s="41"/>
      <c r="C50" s="41"/>
      <c r="D50" s="41"/>
    </row>
    <row r="51" spans="2:4" x14ac:dyDescent="0.25">
      <c r="B51" s="41"/>
      <c r="C51" s="41"/>
      <c r="D51" s="41"/>
    </row>
    <row r="52" spans="2:4" x14ac:dyDescent="0.25">
      <c r="B52" s="41"/>
      <c r="C52" s="41"/>
      <c r="D52" s="41"/>
    </row>
    <row r="53" spans="2:4" x14ac:dyDescent="0.25">
      <c r="B53" s="41"/>
      <c r="C53" s="41"/>
      <c r="D53" s="41"/>
    </row>
    <row r="54" spans="2:4" x14ac:dyDescent="0.25">
      <c r="B54" s="41"/>
      <c r="C54" s="41"/>
      <c r="D54" s="41"/>
    </row>
    <row r="55" spans="2:4" x14ac:dyDescent="0.25">
      <c r="B55" s="41"/>
      <c r="C55" s="41"/>
      <c r="D55" s="41"/>
    </row>
    <row r="56" spans="2:4" x14ac:dyDescent="0.25">
      <c r="B56" s="41"/>
      <c r="C56" s="41"/>
      <c r="D56" s="41"/>
    </row>
    <row r="57" spans="2:4" x14ac:dyDescent="0.25">
      <c r="B57" s="41"/>
      <c r="C57" s="41"/>
      <c r="D57" s="41"/>
    </row>
    <row r="58" spans="2:4" x14ac:dyDescent="0.25">
      <c r="B58" s="41"/>
      <c r="C58" s="41"/>
      <c r="D58" s="41"/>
    </row>
    <row r="59" spans="2:4" x14ac:dyDescent="0.25">
      <c r="B59" s="41"/>
      <c r="C59" s="41"/>
      <c r="D59" s="41"/>
    </row>
    <row r="60" spans="2:4" x14ac:dyDescent="0.25">
      <c r="B60" s="41"/>
      <c r="C60" s="41"/>
      <c r="D60" s="41"/>
    </row>
    <row r="61" spans="2:4" x14ac:dyDescent="0.25">
      <c r="B61" s="41"/>
      <c r="C61" s="41"/>
      <c r="D61" s="41"/>
    </row>
    <row r="62" spans="2:4" x14ac:dyDescent="0.25">
      <c r="B62" s="41"/>
      <c r="C62" s="41"/>
      <c r="D62" s="41"/>
    </row>
    <row r="63" spans="2:4" x14ac:dyDescent="0.25">
      <c r="B63" s="41"/>
      <c r="C63" s="41"/>
      <c r="D63" s="41"/>
    </row>
    <row r="64" spans="2:4" x14ac:dyDescent="0.25">
      <c r="B64" s="41"/>
      <c r="C64" s="41"/>
      <c r="D64" s="41"/>
    </row>
    <row r="65" spans="2:4" x14ac:dyDescent="0.25">
      <c r="B65" s="41"/>
      <c r="C65" s="41"/>
      <c r="D65" s="41"/>
    </row>
    <row r="66" spans="2:4" x14ac:dyDescent="0.25">
      <c r="B66" s="41"/>
      <c r="C66" s="41"/>
      <c r="D66" s="41"/>
    </row>
  </sheetData>
  <sheetProtection password="8352" sheet="1" objects="1" scenarios="1"/>
  <protectedRanges>
    <protectedRange sqref="C10 B18:D35 C41 B49:D66" name="NotasFaltas"/>
  </protectedRanges>
  <mergeCells count="2">
    <mergeCell ref="C10:C12"/>
    <mergeCell ref="C41:C43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'Dados do Projeto'!$C$17:$C$19</xm:f>
          </x14:formula1>
          <xm:sqref>B18:B35 B49:B66</xm:sqref>
        </x14:dataValidation>
        <x14:dataValidation type="list" allowBlank="1" showInputMessage="1" showErrorMessage="1">
          <x14:formula1>
            <xm:f>Parâmetros!$B$2:$B$5</xm:f>
          </x14:formula1>
          <xm:sqref>C10:C12 C41:C43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1"/>
  <sheetViews>
    <sheetView zoomScale="80" zoomScaleNormal="80" workbookViewId="0">
      <selection activeCell="D46" sqref="D46:F48"/>
    </sheetView>
  </sheetViews>
  <sheetFormatPr defaultRowHeight="15" x14ac:dyDescent="0.25"/>
  <cols>
    <col min="1" max="1" width="9.140625" style="1"/>
    <col min="2" max="2" width="13.85546875" style="1" customWidth="1"/>
    <col min="3" max="3" width="34.42578125" style="1" customWidth="1"/>
    <col min="4" max="4" width="14.28515625" style="1" customWidth="1"/>
    <col min="5" max="5" width="33" style="1" customWidth="1"/>
    <col min="6" max="6" width="53.28515625" style="1" customWidth="1"/>
    <col min="7" max="16384" width="9.140625" style="1"/>
  </cols>
  <sheetData>
    <row r="1" spans="1:6" x14ac:dyDescent="0.25">
      <c r="D1" s="190" t="s">
        <v>0</v>
      </c>
      <c r="E1" s="190"/>
    </row>
    <row r="2" spans="1:6" x14ac:dyDescent="0.25">
      <c r="D2" s="156" t="s">
        <v>6</v>
      </c>
      <c r="E2" s="157">
        <f>IF(ISBLANK('Dados do Projeto'!$C$14),"",'Dados do Projeto'!$C$14)</f>
        <v>2014</v>
      </c>
    </row>
    <row r="3" spans="1:6" x14ac:dyDescent="0.25">
      <c r="D3" s="156" t="s">
        <v>8</v>
      </c>
      <c r="E3" s="157">
        <f>IF(ISBLANK('Dados do Projeto'!$C$15),"",'Dados do Projeto'!$C$15)</f>
        <v>1</v>
      </c>
    </row>
    <row r="4" spans="1:6" x14ac:dyDescent="0.25">
      <c r="D4" s="156" t="s">
        <v>89</v>
      </c>
      <c r="E4" s="157" t="str">
        <f>IF(ISBLANK('Dados do Projeto'!$C$13),"",'Dados do Projeto'!$C$13)</f>
        <v>MyCluby Social</v>
      </c>
    </row>
    <row r="5" spans="1:6" x14ac:dyDescent="0.25">
      <c r="D5" s="156" t="s">
        <v>90</v>
      </c>
      <c r="E5" s="157" t="str">
        <f>IF(ISBLANK('Dados do Projeto'!$C$21),"",'Dados do Projeto'!$C$21)</f>
        <v>Jesse Teixeira da Silva</v>
      </c>
    </row>
    <row r="6" spans="1:6" x14ac:dyDescent="0.25">
      <c r="D6" s="21"/>
      <c r="E6" s="22"/>
    </row>
    <row r="7" spans="1:6" x14ac:dyDescent="0.25">
      <c r="A7" s="11" t="s">
        <v>87</v>
      </c>
    </row>
    <row r="9" spans="1:6" ht="25.5" customHeight="1" x14ac:dyDescent="0.25">
      <c r="B9" s="17" t="s">
        <v>11</v>
      </c>
      <c r="C9" s="17" t="s">
        <v>91</v>
      </c>
      <c r="D9" s="190" t="s">
        <v>88</v>
      </c>
      <c r="E9" s="190"/>
      <c r="F9" s="190"/>
    </row>
    <row r="10" spans="1:6" x14ac:dyDescent="0.25">
      <c r="B10" s="236">
        <v>41701</v>
      </c>
      <c r="C10" s="177" t="s">
        <v>383</v>
      </c>
      <c r="D10" s="227" t="s">
        <v>396</v>
      </c>
      <c r="E10" s="228"/>
      <c r="F10" s="229"/>
    </row>
    <row r="11" spans="1:6" x14ac:dyDescent="0.25">
      <c r="B11" s="213"/>
      <c r="C11" s="177" t="s">
        <v>384</v>
      </c>
      <c r="D11" s="230"/>
      <c r="E11" s="231"/>
      <c r="F11" s="232"/>
    </row>
    <row r="12" spans="1:6" x14ac:dyDescent="0.25">
      <c r="B12" s="214"/>
      <c r="C12" s="177" t="s">
        <v>385</v>
      </c>
      <c r="D12" s="233"/>
      <c r="E12" s="234"/>
      <c r="F12" s="235"/>
    </row>
    <row r="13" spans="1:6" x14ac:dyDescent="0.25">
      <c r="B13" s="236">
        <v>41708</v>
      </c>
      <c r="C13" s="177" t="s">
        <v>383</v>
      </c>
      <c r="D13" s="218" t="s">
        <v>397</v>
      </c>
      <c r="E13" s="219"/>
      <c r="F13" s="220"/>
    </row>
    <row r="14" spans="1:6" x14ac:dyDescent="0.25">
      <c r="B14" s="213"/>
      <c r="C14" s="177" t="s">
        <v>384</v>
      </c>
      <c r="D14" s="221"/>
      <c r="E14" s="222"/>
      <c r="F14" s="223"/>
    </row>
    <row r="15" spans="1:6" x14ac:dyDescent="0.25">
      <c r="B15" s="214"/>
      <c r="C15" s="177" t="s">
        <v>385</v>
      </c>
      <c r="D15" s="224"/>
      <c r="E15" s="225"/>
      <c r="F15" s="226"/>
    </row>
    <row r="16" spans="1:6" x14ac:dyDescent="0.25">
      <c r="B16" s="215">
        <v>41715</v>
      </c>
      <c r="C16" s="177" t="s">
        <v>383</v>
      </c>
      <c r="D16" s="218" t="s">
        <v>393</v>
      </c>
      <c r="E16" s="219"/>
      <c r="F16" s="220"/>
    </row>
    <row r="17" spans="2:6" x14ac:dyDescent="0.25">
      <c r="B17" s="216"/>
      <c r="C17" s="177" t="s">
        <v>384</v>
      </c>
      <c r="D17" s="221"/>
      <c r="E17" s="222"/>
      <c r="F17" s="223"/>
    </row>
    <row r="18" spans="2:6" x14ac:dyDescent="0.25">
      <c r="B18" s="217"/>
      <c r="C18" s="177" t="s">
        <v>385</v>
      </c>
      <c r="D18" s="224"/>
      <c r="E18" s="225"/>
      <c r="F18" s="226"/>
    </row>
    <row r="19" spans="2:6" x14ac:dyDescent="0.25">
      <c r="B19" s="215">
        <v>41722</v>
      </c>
      <c r="C19" s="177" t="s">
        <v>383</v>
      </c>
      <c r="D19" s="218" t="s">
        <v>398</v>
      </c>
      <c r="E19" s="219"/>
      <c r="F19" s="220"/>
    </row>
    <row r="20" spans="2:6" x14ac:dyDescent="0.25">
      <c r="B20" s="216"/>
      <c r="C20" s="177" t="s">
        <v>384</v>
      </c>
      <c r="D20" s="221"/>
      <c r="E20" s="222"/>
      <c r="F20" s="223"/>
    </row>
    <row r="21" spans="2:6" x14ac:dyDescent="0.25">
      <c r="B21" s="217"/>
      <c r="C21" s="177" t="s">
        <v>385</v>
      </c>
      <c r="D21" s="224"/>
      <c r="E21" s="225"/>
      <c r="F21" s="226"/>
    </row>
    <row r="22" spans="2:6" x14ac:dyDescent="0.25">
      <c r="B22" s="215">
        <v>41726</v>
      </c>
      <c r="C22" s="177" t="s">
        <v>383</v>
      </c>
      <c r="D22" s="218" t="s">
        <v>391</v>
      </c>
      <c r="E22" s="219"/>
      <c r="F22" s="220"/>
    </row>
    <row r="23" spans="2:6" x14ac:dyDescent="0.25">
      <c r="B23" s="216"/>
      <c r="C23" s="177" t="s">
        <v>384</v>
      </c>
      <c r="D23" s="221"/>
      <c r="E23" s="222"/>
      <c r="F23" s="223"/>
    </row>
    <row r="24" spans="2:6" x14ac:dyDescent="0.25">
      <c r="B24" s="217"/>
      <c r="C24" s="177" t="s">
        <v>385</v>
      </c>
      <c r="D24" s="224"/>
      <c r="E24" s="225"/>
      <c r="F24" s="226"/>
    </row>
    <row r="25" spans="2:6" x14ac:dyDescent="0.25">
      <c r="B25" s="187"/>
      <c r="C25" s="177" t="s">
        <v>383</v>
      </c>
      <c r="D25" s="178" t="s">
        <v>392</v>
      </c>
      <c r="E25" s="179"/>
      <c r="F25" s="180"/>
    </row>
    <row r="26" spans="2:6" x14ac:dyDescent="0.25">
      <c r="B26" s="189">
        <v>41729</v>
      </c>
      <c r="C26" s="177" t="s">
        <v>384</v>
      </c>
      <c r="D26" s="181"/>
      <c r="E26" s="182"/>
      <c r="F26" s="183"/>
    </row>
    <row r="27" spans="2:6" x14ac:dyDescent="0.25">
      <c r="B27" s="188"/>
      <c r="C27" s="177" t="s">
        <v>385</v>
      </c>
      <c r="D27" s="184"/>
      <c r="E27" s="185"/>
      <c r="F27" s="186"/>
    </row>
    <row r="28" spans="2:6" x14ac:dyDescent="0.25">
      <c r="B28" s="187"/>
      <c r="C28" s="177" t="s">
        <v>383</v>
      </c>
      <c r="D28" s="178" t="s">
        <v>395</v>
      </c>
      <c r="E28" s="179"/>
      <c r="F28" s="180"/>
    </row>
    <row r="29" spans="2:6" x14ac:dyDescent="0.25">
      <c r="B29" s="189">
        <v>41700</v>
      </c>
      <c r="C29" s="177" t="s">
        <v>384</v>
      </c>
      <c r="D29" s="181"/>
      <c r="E29" s="182"/>
      <c r="F29" s="183"/>
    </row>
    <row r="30" spans="2:6" x14ac:dyDescent="0.25">
      <c r="B30" s="188"/>
      <c r="C30" s="177" t="s">
        <v>385</v>
      </c>
      <c r="D30" s="184"/>
      <c r="E30" s="185"/>
      <c r="F30" s="186"/>
    </row>
    <row r="31" spans="2:6" x14ac:dyDescent="0.25">
      <c r="B31" s="187"/>
      <c r="C31" s="177" t="s">
        <v>383</v>
      </c>
      <c r="D31" s="178" t="s">
        <v>394</v>
      </c>
      <c r="E31" s="179"/>
      <c r="F31" s="180"/>
    </row>
    <row r="32" spans="2:6" x14ac:dyDescent="0.25">
      <c r="B32" s="189">
        <v>41701</v>
      </c>
      <c r="C32" s="177" t="s">
        <v>384</v>
      </c>
      <c r="D32" s="181"/>
      <c r="E32" s="182"/>
      <c r="F32" s="183"/>
    </row>
    <row r="33" spans="2:6" x14ac:dyDescent="0.25">
      <c r="B33" s="188"/>
      <c r="C33" s="177" t="s">
        <v>385</v>
      </c>
      <c r="D33" s="184"/>
      <c r="E33" s="185"/>
      <c r="F33" s="186"/>
    </row>
    <row r="34" spans="2:6" x14ac:dyDescent="0.25">
      <c r="B34" s="236">
        <v>41746</v>
      </c>
      <c r="C34" s="41" t="s">
        <v>387</v>
      </c>
      <c r="D34" s="237" t="s">
        <v>399</v>
      </c>
      <c r="E34" s="228"/>
      <c r="F34" s="229"/>
    </row>
    <row r="35" spans="2:6" x14ac:dyDescent="0.25">
      <c r="B35" s="213"/>
      <c r="C35" s="41" t="s">
        <v>384</v>
      </c>
      <c r="D35" s="230"/>
      <c r="E35" s="231"/>
      <c r="F35" s="232"/>
    </row>
    <row r="36" spans="2:6" x14ac:dyDescent="0.25">
      <c r="B36" s="214"/>
      <c r="C36" s="41" t="s">
        <v>388</v>
      </c>
      <c r="D36" s="233"/>
      <c r="E36" s="234"/>
      <c r="F36" s="235"/>
    </row>
    <row r="37" spans="2:6" x14ac:dyDescent="0.25">
      <c r="B37" s="236">
        <v>41757</v>
      </c>
      <c r="C37" s="41" t="s">
        <v>387</v>
      </c>
      <c r="D37" s="238" t="s">
        <v>435</v>
      </c>
      <c r="E37" s="219"/>
      <c r="F37" s="220"/>
    </row>
    <row r="38" spans="2:6" x14ac:dyDescent="0.25">
      <c r="B38" s="213"/>
      <c r="C38" s="41" t="s">
        <v>384</v>
      </c>
      <c r="D38" s="221"/>
      <c r="E38" s="222"/>
      <c r="F38" s="223"/>
    </row>
    <row r="39" spans="2:6" x14ac:dyDescent="0.25">
      <c r="B39" s="214"/>
      <c r="C39" s="41" t="s">
        <v>388</v>
      </c>
      <c r="D39" s="224"/>
      <c r="E39" s="225"/>
      <c r="F39" s="226"/>
    </row>
    <row r="40" spans="2:6" x14ac:dyDescent="0.25">
      <c r="B40" s="236">
        <v>41775</v>
      </c>
      <c r="C40" s="41" t="s">
        <v>387</v>
      </c>
      <c r="D40" s="238" t="s">
        <v>436</v>
      </c>
      <c r="E40" s="219"/>
      <c r="F40" s="220"/>
    </row>
    <row r="41" spans="2:6" x14ac:dyDescent="0.25">
      <c r="B41" s="213"/>
      <c r="C41" s="41" t="s">
        <v>384</v>
      </c>
      <c r="D41" s="221"/>
      <c r="E41" s="222"/>
      <c r="F41" s="223"/>
    </row>
    <row r="42" spans="2:6" x14ac:dyDescent="0.25">
      <c r="B42" s="214"/>
      <c r="C42" s="41" t="s">
        <v>388</v>
      </c>
      <c r="D42" s="224"/>
      <c r="E42" s="225"/>
      <c r="F42" s="226"/>
    </row>
    <row r="43" spans="2:6" x14ac:dyDescent="0.25">
      <c r="B43" s="236">
        <v>41785</v>
      </c>
      <c r="C43" s="41" t="s">
        <v>387</v>
      </c>
      <c r="D43" s="238" t="s">
        <v>437</v>
      </c>
      <c r="E43" s="219"/>
      <c r="F43" s="220"/>
    </row>
    <row r="44" spans="2:6" x14ac:dyDescent="0.25">
      <c r="B44" s="213"/>
      <c r="C44" s="41" t="s">
        <v>384</v>
      </c>
      <c r="D44" s="221"/>
      <c r="E44" s="222"/>
      <c r="F44" s="223"/>
    </row>
    <row r="45" spans="2:6" x14ac:dyDescent="0.25">
      <c r="B45" s="214"/>
      <c r="C45" s="41" t="s">
        <v>388</v>
      </c>
      <c r="D45" s="224"/>
      <c r="E45" s="225"/>
      <c r="F45" s="226"/>
    </row>
    <row r="46" spans="2:6" x14ac:dyDescent="0.25">
      <c r="B46" s="236">
        <v>41792</v>
      </c>
      <c r="C46" s="41" t="s">
        <v>387</v>
      </c>
      <c r="D46" s="238" t="s">
        <v>438</v>
      </c>
      <c r="E46" s="219"/>
      <c r="F46" s="220"/>
    </row>
    <row r="47" spans="2:6" x14ac:dyDescent="0.25">
      <c r="B47" s="213"/>
      <c r="C47" s="41" t="s">
        <v>384</v>
      </c>
      <c r="D47" s="221"/>
      <c r="E47" s="222"/>
      <c r="F47" s="223"/>
    </row>
    <row r="48" spans="2:6" x14ac:dyDescent="0.25">
      <c r="B48" s="214"/>
      <c r="C48" s="41" t="s">
        <v>388</v>
      </c>
      <c r="D48" s="224"/>
      <c r="E48" s="225"/>
      <c r="F48" s="226"/>
    </row>
    <row r="49" spans="2:6" x14ac:dyDescent="0.25">
      <c r="B49" s="212"/>
      <c r="C49" s="41"/>
      <c r="D49" s="227"/>
      <c r="E49" s="228"/>
      <c r="F49" s="229"/>
    </row>
    <row r="50" spans="2:6" x14ac:dyDescent="0.25">
      <c r="B50" s="213"/>
      <c r="C50" s="41"/>
      <c r="D50" s="230"/>
      <c r="E50" s="231"/>
      <c r="F50" s="232"/>
    </row>
    <row r="51" spans="2:6" x14ac:dyDescent="0.25">
      <c r="B51" s="214"/>
      <c r="C51" s="41"/>
      <c r="D51" s="233"/>
      <c r="E51" s="234"/>
      <c r="F51" s="235"/>
    </row>
    <row r="52" spans="2:6" x14ac:dyDescent="0.25">
      <c r="B52" s="212"/>
      <c r="C52" s="41"/>
      <c r="D52" s="227"/>
      <c r="E52" s="228"/>
      <c r="F52" s="229"/>
    </row>
    <row r="53" spans="2:6" x14ac:dyDescent="0.25">
      <c r="B53" s="213"/>
      <c r="C53" s="41"/>
      <c r="D53" s="230"/>
      <c r="E53" s="231"/>
      <c r="F53" s="232"/>
    </row>
    <row r="54" spans="2:6" x14ac:dyDescent="0.25">
      <c r="B54" s="214"/>
      <c r="C54" s="41"/>
      <c r="D54" s="233"/>
      <c r="E54" s="234"/>
      <c r="F54" s="235"/>
    </row>
    <row r="55" spans="2:6" x14ac:dyDescent="0.25">
      <c r="B55" s="212"/>
      <c r="C55" s="41"/>
      <c r="D55" s="227"/>
      <c r="E55" s="228"/>
      <c r="F55" s="229"/>
    </row>
    <row r="56" spans="2:6" x14ac:dyDescent="0.25">
      <c r="B56" s="213"/>
      <c r="C56" s="41"/>
      <c r="D56" s="230"/>
      <c r="E56" s="231"/>
      <c r="F56" s="232"/>
    </row>
    <row r="57" spans="2:6" x14ac:dyDescent="0.25">
      <c r="B57" s="214"/>
      <c r="C57" s="41"/>
      <c r="D57" s="233"/>
      <c r="E57" s="234"/>
      <c r="F57" s="235"/>
    </row>
    <row r="58" spans="2:6" x14ac:dyDescent="0.25">
      <c r="B58" s="212"/>
      <c r="C58" s="41"/>
      <c r="D58" s="227"/>
      <c r="E58" s="228"/>
      <c r="F58" s="229"/>
    </row>
    <row r="59" spans="2:6" x14ac:dyDescent="0.25">
      <c r="B59" s="213"/>
      <c r="C59" s="41"/>
      <c r="D59" s="230"/>
      <c r="E59" s="231"/>
      <c r="F59" s="232"/>
    </row>
    <row r="60" spans="2:6" x14ac:dyDescent="0.25">
      <c r="B60" s="214"/>
      <c r="C60" s="41"/>
      <c r="D60" s="233"/>
      <c r="E60" s="234"/>
      <c r="F60" s="235"/>
    </row>
    <row r="61" spans="2:6" x14ac:dyDescent="0.25">
      <c r="B61" s="212"/>
      <c r="C61" s="41"/>
      <c r="D61" s="227"/>
      <c r="E61" s="228"/>
      <c r="F61" s="229"/>
    </row>
    <row r="62" spans="2:6" x14ac:dyDescent="0.25">
      <c r="B62" s="213"/>
      <c r="C62" s="41"/>
      <c r="D62" s="230"/>
      <c r="E62" s="231"/>
      <c r="F62" s="232"/>
    </row>
    <row r="63" spans="2:6" x14ac:dyDescent="0.25">
      <c r="B63" s="214"/>
      <c r="C63" s="41"/>
      <c r="D63" s="233"/>
      <c r="E63" s="234"/>
      <c r="F63" s="235"/>
    </row>
    <row r="64" spans="2:6" x14ac:dyDescent="0.25">
      <c r="B64" s="212"/>
      <c r="C64" s="41"/>
      <c r="D64" s="227"/>
      <c r="E64" s="228"/>
      <c r="F64" s="229"/>
    </row>
    <row r="65" spans="2:6" x14ac:dyDescent="0.25">
      <c r="B65" s="213"/>
      <c r="C65" s="41"/>
      <c r="D65" s="230"/>
      <c r="E65" s="231"/>
      <c r="F65" s="232"/>
    </row>
    <row r="66" spans="2:6" x14ac:dyDescent="0.25">
      <c r="B66" s="214"/>
      <c r="C66" s="41"/>
      <c r="D66" s="233"/>
      <c r="E66" s="234"/>
      <c r="F66" s="235"/>
    </row>
    <row r="67" spans="2:6" x14ac:dyDescent="0.25">
      <c r="B67" s="212"/>
      <c r="C67" s="41"/>
      <c r="D67" s="227"/>
      <c r="E67" s="228"/>
      <c r="F67" s="229"/>
    </row>
    <row r="68" spans="2:6" x14ac:dyDescent="0.25">
      <c r="B68" s="213"/>
      <c r="C68" s="41"/>
      <c r="D68" s="230"/>
      <c r="E68" s="231"/>
      <c r="F68" s="232"/>
    </row>
    <row r="69" spans="2:6" x14ac:dyDescent="0.25">
      <c r="B69" s="214"/>
      <c r="C69" s="41"/>
      <c r="D69" s="233"/>
      <c r="E69" s="234"/>
      <c r="F69" s="235"/>
    </row>
    <row r="70" spans="2:6" x14ac:dyDescent="0.25">
      <c r="B70" s="212"/>
      <c r="C70" s="41"/>
      <c r="D70" s="227"/>
      <c r="E70" s="228"/>
      <c r="F70" s="229"/>
    </row>
    <row r="71" spans="2:6" x14ac:dyDescent="0.25">
      <c r="B71" s="213"/>
      <c r="C71" s="41"/>
      <c r="D71" s="230"/>
      <c r="E71" s="231"/>
      <c r="F71" s="232"/>
    </row>
    <row r="72" spans="2:6" x14ac:dyDescent="0.25">
      <c r="B72" s="214"/>
      <c r="C72" s="41"/>
      <c r="D72" s="233"/>
      <c r="E72" s="234"/>
      <c r="F72" s="235"/>
    </row>
    <row r="73" spans="2:6" x14ac:dyDescent="0.25">
      <c r="B73" s="212"/>
      <c r="C73" s="41"/>
      <c r="D73" s="227"/>
      <c r="E73" s="228"/>
      <c r="F73" s="229"/>
    </row>
    <row r="74" spans="2:6" x14ac:dyDescent="0.25">
      <c r="B74" s="213"/>
      <c r="C74" s="41"/>
      <c r="D74" s="230"/>
      <c r="E74" s="231"/>
      <c r="F74" s="232"/>
    </row>
    <row r="75" spans="2:6" x14ac:dyDescent="0.25">
      <c r="B75" s="214"/>
      <c r="C75" s="41"/>
      <c r="D75" s="233"/>
      <c r="E75" s="234"/>
      <c r="F75" s="235"/>
    </row>
    <row r="76" spans="2:6" x14ac:dyDescent="0.25">
      <c r="B76" s="212"/>
      <c r="C76" s="41"/>
      <c r="D76" s="227"/>
      <c r="E76" s="228"/>
      <c r="F76" s="229"/>
    </row>
    <row r="77" spans="2:6" x14ac:dyDescent="0.25">
      <c r="B77" s="213"/>
      <c r="C77" s="41"/>
      <c r="D77" s="230"/>
      <c r="E77" s="231"/>
      <c r="F77" s="232"/>
    </row>
    <row r="78" spans="2:6" x14ac:dyDescent="0.25">
      <c r="B78" s="214"/>
      <c r="C78" s="41"/>
      <c r="D78" s="233"/>
      <c r="E78" s="234"/>
      <c r="F78" s="235"/>
    </row>
    <row r="79" spans="2:6" x14ac:dyDescent="0.25">
      <c r="B79" s="212"/>
      <c r="C79" s="41"/>
      <c r="D79" s="227"/>
      <c r="E79" s="228"/>
      <c r="F79" s="229"/>
    </row>
    <row r="80" spans="2:6" x14ac:dyDescent="0.25">
      <c r="B80" s="213"/>
      <c r="C80" s="41"/>
      <c r="D80" s="230"/>
      <c r="E80" s="231"/>
      <c r="F80" s="232"/>
    </row>
    <row r="81" spans="2:6" x14ac:dyDescent="0.25">
      <c r="B81" s="214"/>
      <c r="C81" s="41"/>
      <c r="D81" s="233"/>
      <c r="E81" s="234"/>
      <c r="F81" s="235"/>
    </row>
    <row r="82" spans="2:6" x14ac:dyDescent="0.25">
      <c r="B82" s="212"/>
      <c r="C82" s="41"/>
      <c r="D82" s="227"/>
      <c r="E82" s="228"/>
      <c r="F82" s="229"/>
    </row>
    <row r="83" spans="2:6" x14ac:dyDescent="0.25">
      <c r="B83" s="213"/>
      <c r="C83" s="41"/>
      <c r="D83" s="230"/>
      <c r="E83" s="231"/>
      <c r="F83" s="232"/>
    </row>
    <row r="84" spans="2:6" x14ac:dyDescent="0.25">
      <c r="B84" s="214"/>
      <c r="C84" s="41"/>
      <c r="D84" s="233"/>
      <c r="E84" s="234"/>
      <c r="F84" s="235"/>
    </row>
    <row r="85" spans="2:6" x14ac:dyDescent="0.25">
      <c r="B85" s="212"/>
      <c r="C85" s="41"/>
      <c r="D85" s="227"/>
      <c r="E85" s="228"/>
      <c r="F85" s="229"/>
    </row>
    <row r="86" spans="2:6" x14ac:dyDescent="0.25">
      <c r="B86" s="213"/>
      <c r="C86" s="41"/>
      <c r="D86" s="230"/>
      <c r="E86" s="231"/>
      <c r="F86" s="232"/>
    </row>
    <row r="87" spans="2:6" x14ac:dyDescent="0.25">
      <c r="B87" s="214"/>
      <c r="C87" s="41"/>
      <c r="D87" s="233"/>
      <c r="E87" s="234"/>
      <c r="F87" s="235"/>
    </row>
    <row r="88" spans="2:6" x14ac:dyDescent="0.25">
      <c r="B88" s="212"/>
      <c r="C88" s="41"/>
      <c r="D88" s="227"/>
      <c r="E88" s="228"/>
      <c r="F88" s="229"/>
    </row>
    <row r="89" spans="2:6" x14ac:dyDescent="0.25">
      <c r="B89" s="213"/>
      <c r="C89" s="41"/>
      <c r="D89" s="230"/>
      <c r="E89" s="231"/>
      <c r="F89" s="232"/>
    </row>
    <row r="90" spans="2:6" x14ac:dyDescent="0.25">
      <c r="B90" s="214"/>
      <c r="C90" s="41"/>
      <c r="D90" s="233"/>
      <c r="E90" s="234"/>
      <c r="F90" s="235"/>
    </row>
    <row r="91" spans="2:6" x14ac:dyDescent="0.25">
      <c r="B91" s="212"/>
      <c r="C91" s="41"/>
      <c r="D91" s="227"/>
      <c r="E91" s="228"/>
      <c r="F91" s="229"/>
    </row>
    <row r="92" spans="2:6" x14ac:dyDescent="0.25">
      <c r="B92" s="213"/>
      <c r="C92" s="41"/>
      <c r="D92" s="230"/>
      <c r="E92" s="231"/>
      <c r="F92" s="232"/>
    </row>
    <row r="93" spans="2:6" x14ac:dyDescent="0.25">
      <c r="B93" s="214"/>
      <c r="C93" s="41"/>
      <c r="D93" s="233"/>
      <c r="E93" s="234"/>
      <c r="F93" s="235"/>
    </row>
    <row r="94" spans="2:6" x14ac:dyDescent="0.25">
      <c r="B94" s="212"/>
      <c r="C94" s="41"/>
      <c r="D94" s="227"/>
      <c r="E94" s="228"/>
      <c r="F94" s="229"/>
    </row>
    <row r="95" spans="2:6" x14ac:dyDescent="0.25">
      <c r="B95" s="213"/>
      <c r="C95" s="41"/>
      <c r="D95" s="230"/>
      <c r="E95" s="231"/>
      <c r="F95" s="232"/>
    </row>
    <row r="96" spans="2:6" x14ac:dyDescent="0.25">
      <c r="B96" s="214"/>
      <c r="C96" s="41"/>
      <c r="D96" s="233"/>
      <c r="E96" s="234"/>
      <c r="F96" s="235"/>
    </row>
    <row r="97" spans="2:6" x14ac:dyDescent="0.25">
      <c r="B97" s="212"/>
      <c r="C97" s="41"/>
      <c r="D97" s="227"/>
      <c r="E97" s="228"/>
      <c r="F97" s="229"/>
    </row>
    <row r="98" spans="2:6" x14ac:dyDescent="0.25">
      <c r="B98" s="213"/>
      <c r="C98" s="41"/>
      <c r="D98" s="230"/>
      <c r="E98" s="231"/>
      <c r="F98" s="232"/>
    </row>
    <row r="99" spans="2:6" x14ac:dyDescent="0.25">
      <c r="B99" s="214"/>
      <c r="C99" s="41"/>
      <c r="D99" s="233"/>
      <c r="E99" s="234"/>
      <c r="F99" s="235"/>
    </row>
    <row r="100" spans="2:6" x14ac:dyDescent="0.25">
      <c r="B100" s="212"/>
      <c r="C100" s="41"/>
      <c r="D100" s="227"/>
      <c r="E100" s="228"/>
      <c r="F100" s="229"/>
    </row>
    <row r="101" spans="2:6" x14ac:dyDescent="0.25">
      <c r="B101" s="213"/>
      <c r="C101" s="41"/>
      <c r="D101" s="230"/>
      <c r="E101" s="231"/>
      <c r="F101" s="232"/>
    </row>
    <row r="102" spans="2:6" x14ac:dyDescent="0.25">
      <c r="B102" s="214"/>
      <c r="C102" s="41"/>
      <c r="D102" s="233"/>
      <c r="E102" s="234"/>
      <c r="F102" s="235"/>
    </row>
    <row r="103" spans="2:6" x14ac:dyDescent="0.25">
      <c r="B103" s="212"/>
      <c r="C103" s="41"/>
      <c r="D103" s="227"/>
      <c r="E103" s="228"/>
      <c r="F103" s="229"/>
    </row>
    <row r="104" spans="2:6" x14ac:dyDescent="0.25">
      <c r="B104" s="213"/>
      <c r="C104" s="41"/>
      <c r="D104" s="230"/>
      <c r="E104" s="231"/>
      <c r="F104" s="232"/>
    </row>
    <row r="105" spans="2:6" x14ac:dyDescent="0.25">
      <c r="B105" s="214"/>
      <c r="C105" s="41"/>
      <c r="D105" s="233"/>
      <c r="E105" s="234"/>
      <c r="F105" s="235"/>
    </row>
    <row r="106" spans="2:6" x14ac:dyDescent="0.25">
      <c r="B106" s="212"/>
      <c r="C106" s="41"/>
      <c r="D106" s="227"/>
      <c r="E106" s="228"/>
      <c r="F106" s="229"/>
    </row>
    <row r="107" spans="2:6" x14ac:dyDescent="0.25">
      <c r="B107" s="213"/>
      <c r="C107" s="41"/>
      <c r="D107" s="230"/>
      <c r="E107" s="231"/>
      <c r="F107" s="232"/>
    </row>
    <row r="108" spans="2:6" x14ac:dyDescent="0.25">
      <c r="B108" s="214"/>
      <c r="C108" s="41"/>
      <c r="D108" s="233"/>
      <c r="E108" s="234"/>
      <c r="F108" s="235"/>
    </row>
    <row r="109" spans="2:6" x14ac:dyDescent="0.25">
      <c r="B109" s="212"/>
      <c r="C109" s="41"/>
      <c r="D109" s="227"/>
      <c r="E109" s="228"/>
      <c r="F109" s="229"/>
    </row>
    <row r="110" spans="2:6" x14ac:dyDescent="0.25">
      <c r="B110" s="213"/>
      <c r="C110" s="41"/>
      <c r="D110" s="230"/>
      <c r="E110" s="231"/>
      <c r="F110" s="232"/>
    </row>
    <row r="111" spans="2:6" x14ac:dyDescent="0.25">
      <c r="B111" s="214"/>
      <c r="C111" s="41"/>
      <c r="D111" s="233"/>
      <c r="E111" s="234"/>
      <c r="F111" s="235"/>
    </row>
    <row r="112" spans="2:6" x14ac:dyDescent="0.25">
      <c r="B112" s="212"/>
      <c r="C112" s="41"/>
      <c r="D112" s="227"/>
      <c r="E112" s="228"/>
      <c r="F112" s="229"/>
    </row>
    <row r="113" spans="2:6" x14ac:dyDescent="0.25">
      <c r="B113" s="213"/>
      <c r="C113" s="41"/>
      <c r="D113" s="230"/>
      <c r="E113" s="231"/>
      <c r="F113" s="232"/>
    </row>
    <row r="114" spans="2:6" x14ac:dyDescent="0.25">
      <c r="B114" s="214"/>
      <c r="C114" s="41"/>
      <c r="D114" s="233"/>
      <c r="E114" s="234"/>
      <c r="F114" s="235"/>
    </row>
    <row r="115" spans="2:6" x14ac:dyDescent="0.25">
      <c r="B115" s="212"/>
      <c r="C115" s="41"/>
      <c r="D115" s="227"/>
      <c r="E115" s="228"/>
      <c r="F115" s="229"/>
    </row>
    <row r="116" spans="2:6" x14ac:dyDescent="0.25">
      <c r="B116" s="213"/>
      <c r="C116" s="41"/>
      <c r="D116" s="230"/>
      <c r="E116" s="231"/>
      <c r="F116" s="232"/>
    </row>
    <row r="117" spans="2:6" x14ac:dyDescent="0.25">
      <c r="B117" s="214"/>
      <c r="C117" s="41"/>
      <c r="D117" s="233"/>
      <c r="E117" s="234"/>
      <c r="F117" s="235"/>
    </row>
    <row r="118" spans="2:6" x14ac:dyDescent="0.25">
      <c r="B118" s="212"/>
      <c r="C118" s="41"/>
      <c r="D118" s="227"/>
      <c r="E118" s="228"/>
      <c r="F118" s="229"/>
    </row>
    <row r="119" spans="2:6" x14ac:dyDescent="0.25">
      <c r="B119" s="213"/>
      <c r="C119" s="41"/>
      <c r="D119" s="230"/>
      <c r="E119" s="231"/>
      <c r="F119" s="232"/>
    </row>
    <row r="120" spans="2:6" x14ac:dyDescent="0.25">
      <c r="B120" s="214"/>
      <c r="C120" s="41"/>
      <c r="D120" s="233"/>
      <c r="E120" s="234"/>
      <c r="F120" s="235"/>
    </row>
    <row r="121" spans="2:6" x14ac:dyDescent="0.25">
      <c r="B121" s="212"/>
      <c r="C121" s="41"/>
      <c r="D121" s="227"/>
      <c r="E121" s="228"/>
      <c r="F121" s="229"/>
    </row>
    <row r="122" spans="2:6" x14ac:dyDescent="0.25">
      <c r="B122" s="213"/>
      <c r="C122" s="41"/>
      <c r="D122" s="230"/>
      <c r="E122" s="231"/>
      <c r="F122" s="232"/>
    </row>
    <row r="123" spans="2:6" x14ac:dyDescent="0.25">
      <c r="B123" s="214"/>
      <c r="C123" s="41"/>
      <c r="D123" s="233"/>
      <c r="E123" s="234"/>
      <c r="F123" s="235"/>
    </row>
    <row r="124" spans="2:6" x14ac:dyDescent="0.25">
      <c r="B124" s="212"/>
      <c r="C124" s="41"/>
      <c r="D124" s="227"/>
      <c r="E124" s="228"/>
      <c r="F124" s="229"/>
    </row>
    <row r="125" spans="2:6" x14ac:dyDescent="0.25">
      <c r="B125" s="213"/>
      <c r="C125" s="41"/>
      <c r="D125" s="230"/>
      <c r="E125" s="231"/>
      <c r="F125" s="232"/>
    </row>
    <row r="126" spans="2:6" x14ac:dyDescent="0.25">
      <c r="B126" s="214"/>
      <c r="C126" s="41"/>
      <c r="D126" s="233"/>
      <c r="E126" s="234"/>
      <c r="F126" s="235"/>
    </row>
    <row r="127" spans="2:6" x14ac:dyDescent="0.25">
      <c r="B127" s="212"/>
      <c r="C127" s="41"/>
      <c r="D127" s="227"/>
      <c r="E127" s="228"/>
      <c r="F127" s="229"/>
    </row>
    <row r="128" spans="2:6" x14ac:dyDescent="0.25">
      <c r="B128" s="213"/>
      <c r="C128" s="41"/>
      <c r="D128" s="230"/>
      <c r="E128" s="231"/>
      <c r="F128" s="232"/>
    </row>
    <row r="129" spans="2:6" x14ac:dyDescent="0.25">
      <c r="B129" s="214"/>
      <c r="C129" s="41"/>
      <c r="D129" s="233"/>
      <c r="E129" s="234"/>
      <c r="F129" s="235"/>
    </row>
    <row r="130" spans="2:6" x14ac:dyDescent="0.25">
      <c r="B130" s="212"/>
      <c r="C130" s="41"/>
      <c r="D130" s="227"/>
      <c r="E130" s="228"/>
      <c r="F130" s="229"/>
    </row>
    <row r="131" spans="2:6" x14ac:dyDescent="0.25">
      <c r="B131" s="213"/>
      <c r="C131" s="41"/>
      <c r="D131" s="230"/>
      <c r="E131" s="231"/>
      <c r="F131" s="232"/>
    </row>
    <row r="132" spans="2:6" x14ac:dyDescent="0.25">
      <c r="B132" s="214"/>
      <c r="C132" s="41"/>
      <c r="D132" s="233"/>
      <c r="E132" s="234"/>
      <c r="F132" s="235"/>
    </row>
    <row r="133" spans="2:6" x14ac:dyDescent="0.25">
      <c r="B133" s="212"/>
      <c r="C133" s="41"/>
      <c r="D133" s="227"/>
      <c r="E133" s="228"/>
      <c r="F133" s="229"/>
    </row>
    <row r="134" spans="2:6" x14ac:dyDescent="0.25">
      <c r="B134" s="213"/>
      <c r="C134" s="41"/>
      <c r="D134" s="230"/>
      <c r="E134" s="231"/>
      <c r="F134" s="232"/>
    </row>
    <row r="135" spans="2:6" x14ac:dyDescent="0.25">
      <c r="B135" s="214"/>
      <c r="C135" s="41"/>
      <c r="D135" s="233"/>
      <c r="E135" s="234"/>
      <c r="F135" s="235"/>
    </row>
    <row r="136" spans="2:6" x14ac:dyDescent="0.25">
      <c r="B136" s="212"/>
      <c r="C136" s="41"/>
      <c r="D136" s="227"/>
      <c r="E136" s="228"/>
      <c r="F136" s="229"/>
    </row>
    <row r="137" spans="2:6" x14ac:dyDescent="0.25">
      <c r="B137" s="213"/>
      <c r="C137" s="41"/>
      <c r="D137" s="230"/>
      <c r="E137" s="231"/>
      <c r="F137" s="232"/>
    </row>
    <row r="138" spans="2:6" x14ac:dyDescent="0.25">
      <c r="B138" s="214"/>
      <c r="C138" s="41"/>
      <c r="D138" s="233"/>
      <c r="E138" s="234"/>
      <c r="F138" s="235"/>
    </row>
    <row r="139" spans="2:6" x14ac:dyDescent="0.25">
      <c r="B139" s="212"/>
      <c r="C139" s="41"/>
      <c r="D139" s="227"/>
      <c r="E139" s="228"/>
      <c r="F139" s="229"/>
    </row>
    <row r="140" spans="2:6" x14ac:dyDescent="0.25">
      <c r="B140" s="213"/>
      <c r="C140" s="41"/>
      <c r="D140" s="230"/>
      <c r="E140" s="231"/>
      <c r="F140" s="232"/>
    </row>
    <row r="141" spans="2:6" x14ac:dyDescent="0.25">
      <c r="B141" s="214"/>
      <c r="C141" s="41"/>
      <c r="D141" s="233"/>
      <c r="E141" s="234"/>
      <c r="F141" s="235"/>
    </row>
    <row r="142" spans="2:6" x14ac:dyDescent="0.25">
      <c r="B142" s="212"/>
      <c r="C142" s="41"/>
      <c r="D142" s="227"/>
      <c r="E142" s="228"/>
      <c r="F142" s="229"/>
    </row>
    <row r="143" spans="2:6" x14ac:dyDescent="0.25">
      <c r="B143" s="213"/>
      <c r="C143" s="41"/>
      <c r="D143" s="230"/>
      <c r="E143" s="231"/>
      <c r="F143" s="232"/>
    </row>
    <row r="144" spans="2:6" x14ac:dyDescent="0.25">
      <c r="B144" s="214"/>
      <c r="C144" s="41"/>
      <c r="D144" s="233"/>
      <c r="E144" s="234"/>
      <c r="F144" s="235"/>
    </row>
    <row r="145" spans="2:6" x14ac:dyDescent="0.25">
      <c r="B145" s="212"/>
      <c r="C145" s="41"/>
      <c r="D145" s="227"/>
      <c r="E145" s="228"/>
      <c r="F145" s="229"/>
    </row>
    <row r="146" spans="2:6" x14ac:dyDescent="0.25">
      <c r="B146" s="213"/>
      <c r="C146" s="41"/>
      <c r="D146" s="230"/>
      <c r="E146" s="231"/>
      <c r="F146" s="232"/>
    </row>
    <row r="147" spans="2:6" x14ac:dyDescent="0.25">
      <c r="B147" s="214"/>
      <c r="C147" s="41"/>
      <c r="D147" s="233"/>
      <c r="E147" s="234"/>
      <c r="F147" s="235"/>
    </row>
    <row r="148" spans="2:6" x14ac:dyDescent="0.25">
      <c r="B148" s="212"/>
      <c r="C148" s="41"/>
      <c r="D148" s="227"/>
      <c r="E148" s="228"/>
      <c r="F148" s="229"/>
    </row>
    <row r="149" spans="2:6" x14ac:dyDescent="0.25">
      <c r="B149" s="213"/>
      <c r="C149" s="41"/>
      <c r="D149" s="230"/>
      <c r="E149" s="231"/>
      <c r="F149" s="232"/>
    </row>
    <row r="150" spans="2:6" x14ac:dyDescent="0.25">
      <c r="B150" s="214"/>
      <c r="C150" s="41"/>
      <c r="D150" s="233"/>
      <c r="E150" s="234"/>
      <c r="F150" s="235"/>
    </row>
    <row r="151" spans="2:6" x14ac:dyDescent="0.25">
      <c r="B151" s="212"/>
      <c r="C151" s="41"/>
      <c r="D151" s="227"/>
      <c r="E151" s="228"/>
      <c r="F151" s="229"/>
    </row>
    <row r="152" spans="2:6" x14ac:dyDescent="0.25">
      <c r="B152" s="213"/>
      <c r="C152" s="41"/>
      <c r="D152" s="230"/>
      <c r="E152" s="231"/>
      <c r="F152" s="232"/>
    </row>
    <row r="153" spans="2:6" x14ac:dyDescent="0.25">
      <c r="B153" s="214"/>
      <c r="C153" s="41"/>
      <c r="D153" s="233"/>
      <c r="E153" s="234"/>
      <c r="F153" s="235"/>
    </row>
    <row r="154" spans="2:6" x14ac:dyDescent="0.25">
      <c r="B154" s="212"/>
      <c r="C154" s="41"/>
      <c r="D154" s="227"/>
      <c r="E154" s="228"/>
      <c r="F154" s="229"/>
    </row>
    <row r="155" spans="2:6" x14ac:dyDescent="0.25">
      <c r="B155" s="213"/>
      <c r="C155" s="41"/>
      <c r="D155" s="230"/>
      <c r="E155" s="231"/>
      <c r="F155" s="232"/>
    </row>
    <row r="156" spans="2:6" x14ac:dyDescent="0.25">
      <c r="B156" s="214"/>
      <c r="C156" s="41"/>
      <c r="D156" s="233"/>
      <c r="E156" s="234"/>
      <c r="F156" s="235"/>
    </row>
    <row r="157" spans="2:6" x14ac:dyDescent="0.25">
      <c r="B157" s="212"/>
      <c r="C157" s="41"/>
      <c r="D157" s="227"/>
      <c r="E157" s="228"/>
      <c r="F157" s="229"/>
    </row>
    <row r="158" spans="2:6" x14ac:dyDescent="0.25">
      <c r="B158" s="213"/>
      <c r="C158" s="41"/>
      <c r="D158" s="230"/>
      <c r="E158" s="231"/>
      <c r="F158" s="232"/>
    </row>
    <row r="159" spans="2:6" x14ac:dyDescent="0.25">
      <c r="B159" s="214"/>
      <c r="C159" s="41"/>
      <c r="D159" s="233"/>
      <c r="E159" s="234"/>
      <c r="F159" s="235"/>
    </row>
    <row r="160" spans="2:6" x14ac:dyDescent="0.25">
      <c r="B160" s="212"/>
      <c r="C160" s="41"/>
      <c r="D160" s="227"/>
      <c r="E160" s="228"/>
      <c r="F160" s="229"/>
    </row>
    <row r="161" spans="2:6" x14ac:dyDescent="0.25">
      <c r="B161" s="213"/>
      <c r="C161" s="41"/>
      <c r="D161" s="230"/>
      <c r="E161" s="231"/>
      <c r="F161" s="232"/>
    </row>
    <row r="162" spans="2:6" x14ac:dyDescent="0.25">
      <c r="B162" s="214"/>
      <c r="C162" s="41"/>
      <c r="D162" s="233"/>
      <c r="E162" s="234"/>
      <c r="F162" s="235"/>
    </row>
    <row r="163" spans="2:6" x14ac:dyDescent="0.25">
      <c r="B163" s="212"/>
      <c r="C163" s="41"/>
      <c r="D163" s="227"/>
      <c r="E163" s="228"/>
      <c r="F163" s="229"/>
    </row>
    <row r="164" spans="2:6" x14ac:dyDescent="0.25">
      <c r="B164" s="213"/>
      <c r="C164" s="41"/>
      <c r="D164" s="230"/>
      <c r="E164" s="231"/>
      <c r="F164" s="232"/>
    </row>
    <row r="165" spans="2:6" x14ac:dyDescent="0.25">
      <c r="B165" s="214"/>
      <c r="C165" s="41"/>
      <c r="D165" s="233"/>
      <c r="E165" s="234"/>
      <c r="F165" s="235"/>
    </row>
    <row r="166" spans="2:6" x14ac:dyDescent="0.25">
      <c r="B166" s="212"/>
      <c r="C166" s="41"/>
      <c r="D166" s="227"/>
      <c r="E166" s="228"/>
      <c r="F166" s="229"/>
    </row>
    <row r="167" spans="2:6" x14ac:dyDescent="0.25">
      <c r="B167" s="213"/>
      <c r="C167" s="41"/>
      <c r="D167" s="230"/>
      <c r="E167" s="231"/>
      <c r="F167" s="232"/>
    </row>
    <row r="168" spans="2:6" x14ac:dyDescent="0.25">
      <c r="B168" s="214"/>
      <c r="C168" s="41"/>
      <c r="D168" s="233"/>
      <c r="E168" s="234"/>
      <c r="F168" s="235"/>
    </row>
    <row r="169" spans="2:6" x14ac:dyDescent="0.25">
      <c r="B169" s="212"/>
      <c r="C169" s="41"/>
      <c r="D169" s="227"/>
      <c r="E169" s="228"/>
      <c r="F169" s="229"/>
    </row>
    <row r="170" spans="2:6" x14ac:dyDescent="0.25">
      <c r="B170" s="213"/>
      <c r="C170" s="41"/>
      <c r="D170" s="230"/>
      <c r="E170" s="231"/>
      <c r="F170" s="232"/>
    </row>
    <row r="171" spans="2:6" x14ac:dyDescent="0.25">
      <c r="B171" s="214"/>
      <c r="C171" s="41"/>
      <c r="D171" s="233"/>
      <c r="E171" s="234"/>
      <c r="F171" s="235"/>
    </row>
    <row r="172" spans="2:6" x14ac:dyDescent="0.25">
      <c r="B172" s="212"/>
      <c r="C172" s="41"/>
      <c r="D172" s="227"/>
      <c r="E172" s="228"/>
      <c r="F172" s="229"/>
    </row>
    <row r="173" spans="2:6" x14ac:dyDescent="0.25">
      <c r="B173" s="213"/>
      <c r="C173" s="41"/>
      <c r="D173" s="230"/>
      <c r="E173" s="231"/>
      <c r="F173" s="232"/>
    </row>
    <row r="174" spans="2:6" x14ac:dyDescent="0.25">
      <c r="B174" s="214"/>
      <c r="C174" s="41"/>
      <c r="D174" s="233"/>
      <c r="E174" s="234"/>
      <c r="F174" s="235"/>
    </row>
    <row r="175" spans="2:6" x14ac:dyDescent="0.25">
      <c r="B175" s="212"/>
      <c r="C175" s="41"/>
      <c r="D175" s="227"/>
      <c r="E175" s="228"/>
      <c r="F175" s="229"/>
    </row>
    <row r="176" spans="2:6" x14ac:dyDescent="0.25">
      <c r="B176" s="213"/>
      <c r="C176" s="41"/>
      <c r="D176" s="230"/>
      <c r="E176" s="231"/>
      <c r="F176" s="232"/>
    </row>
    <row r="177" spans="2:6" x14ac:dyDescent="0.25">
      <c r="B177" s="214"/>
      <c r="C177" s="41"/>
      <c r="D177" s="233"/>
      <c r="E177" s="234"/>
      <c r="F177" s="235"/>
    </row>
    <row r="178" spans="2:6" x14ac:dyDescent="0.25">
      <c r="B178" s="212"/>
      <c r="C178" s="41"/>
      <c r="D178" s="227"/>
      <c r="E178" s="228"/>
      <c r="F178" s="229"/>
    </row>
    <row r="179" spans="2:6" x14ac:dyDescent="0.25">
      <c r="B179" s="213"/>
      <c r="C179" s="41"/>
      <c r="D179" s="230"/>
      <c r="E179" s="231"/>
      <c r="F179" s="232"/>
    </row>
    <row r="180" spans="2:6" x14ac:dyDescent="0.25">
      <c r="B180" s="214"/>
      <c r="C180" s="41"/>
      <c r="D180" s="233"/>
      <c r="E180" s="234"/>
      <c r="F180" s="235"/>
    </row>
    <row r="181" spans="2:6" x14ac:dyDescent="0.25">
      <c r="B181" s="212"/>
      <c r="C181" s="41"/>
      <c r="D181" s="227"/>
      <c r="E181" s="228"/>
      <c r="F181" s="229"/>
    </row>
    <row r="182" spans="2:6" x14ac:dyDescent="0.25">
      <c r="B182" s="213"/>
      <c r="C182" s="41"/>
      <c r="D182" s="230"/>
      <c r="E182" s="231"/>
      <c r="F182" s="232"/>
    </row>
    <row r="183" spans="2:6" x14ac:dyDescent="0.25">
      <c r="B183" s="214"/>
      <c r="C183" s="41"/>
      <c r="D183" s="233"/>
      <c r="E183" s="234"/>
      <c r="F183" s="235"/>
    </row>
    <row r="184" spans="2:6" x14ac:dyDescent="0.25">
      <c r="B184" s="212"/>
      <c r="C184" s="41"/>
      <c r="D184" s="227"/>
      <c r="E184" s="228"/>
      <c r="F184" s="229"/>
    </row>
    <row r="185" spans="2:6" x14ac:dyDescent="0.25">
      <c r="B185" s="213"/>
      <c r="C185" s="41"/>
      <c r="D185" s="230"/>
      <c r="E185" s="231"/>
      <c r="F185" s="232"/>
    </row>
    <row r="186" spans="2:6" x14ac:dyDescent="0.25">
      <c r="B186" s="214"/>
      <c r="C186" s="41"/>
      <c r="D186" s="233"/>
      <c r="E186" s="234"/>
      <c r="F186" s="235"/>
    </row>
    <row r="187" spans="2:6" x14ac:dyDescent="0.25">
      <c r="B187" s="212"/>
      <c r="C187" s="41"/>
      <c r="D187" s="227"/>
      <c r="E187" s="228"/>
      <c r="F187" s="229"/>
    </row>
    <row r="188" spans="2:6" x14ac:dyDescent="0.25">
      <c r="B188" s="213"/>
      <c r="C188" s="41"/>
      <c r="D188" s="230"/>
      <c r="E188" s="231"/>
      <c r="F188" s="232"/>
    </row>
    <row r="189" spans="2:6" x14ac:dyDescent="0.25">
      <c r="B189" s="214"/>
      <c r="C189" s="41"/>
      <c r="D189" s="233"/>
      <c r="E189" s="234"/>
      <c r="F189" s="235"/>
    </row>
    <row r="190" spans="2:6" x14ac:dyDescent="0.25">
      <c r="B190" s="212"/>
      <c r="C190" s="41"/>
      <c r="D190" s="227"/>
      <c r="E190" s="228"/>
      <c r="F190" s="229"/>
    </row>
    <row r="191" spans="2:6" x14ac:dyDescent="0.25">
      <c r="B191" s="213"/>
      <c r="C191" s="41"/>
      <c r="D191" s="230"/>
      <c r="E191" s="231"/>
      <c r="F191" s="232"/>
    </row>
    <row r="192" spans="2:6" x14ac:dyDescent="0.25">
      <c r="B192" s="214"/>
      <c r="C192" s="41"/>
      <c r="D192" s="233"/>
      <c r="E192" s="234"/>
      <c r="F192" s="235"/>
    </row>
    <row r="193" spans="2:6" x14ac:dyDescent="0.25">
      <c r="B193" s="212"/>
      <c r="C193" s="41"/>
      <c r="D193" s="227"/>
      <c r="E193" s="228"/>
      <c r="F193" s="229"/>
    </row>
    <row r="194" spans="2:6" x14ac:dyDescent="0.25">
      <c r="B194" s="213"/>
      <c r="C194" s="41"/>
      <c r="D194" s="230"/>
      <c r="E194" s="231"/>
      <c r="F194" s="232"/>
    </row>
    <row r="195" spans="2:6" x14ac:dyDescent="0.25">
      <c r="B195" s="214"/>
      <c r="C195" s="41"/>
      <c r="D195" s="233"/>
      <c r="E195" s="234"/>
      <c r="F195" s="235"/>
    </row>
    <row r="196" spans="2:6" x14ac:dyDescent="0.25">
      <c r="B196" s="212"/>
      <c r="C196" s="41"/>
      <c r="D196" s="227"/>
      <c r="E196" s="228"/>
      <c r="F196" s="229"/>
    </row>
    <row r="197" spans="2:6" x14ac:dyDescent="0.25">
      <c r="B197" s="213"/>
      <c r="C197" s="41"/>
      <c r="D197" s="230"/>
      <c r="E197" s="231"/>
      <c r="F197" s="232"/>
    </row>
    <row r="198" spans="2:6" x14ac:dyDescent="0.25">
      <c r="B198" s="214"/>
      <c r="C198" s="41"/>
      <c r="D198" s="233"/>
      <c r="E198" s="234"/>
      <c r="F198" s="235"/>
    </row>
    <row r="199" spans="2:6" x14ac:dyDescent="0.25">
      <c r="B199" s="212"/>
      <c r="C199" s="41"/>
      <c r="D199" s="227"/>
      <c r="E199" s="228"/>
      <c r="F199" s="229"/>
    </row>
    <row r="200" spans="2:6" x14ac:dyDescent="0.25">
      <c r="B200" s="213"/>
      <c r="C200" s="41"/>
      <c r="D200" s="230"/>
      <c r="E200" s="231"/>
      <c r="F200" s="232"/>
    </row>
    <row r="201" spans="2:6" x14ac:dyDescent="0.25">
      <c r="B201" s="214"/>
      <c r="C201" s="41"/>
      <c r="D201" s="233"/>
      <c r="E201" s="234"/>
      <c r="F201" s="235"/>
    </row>
  </sheetData>
  <sheetProtection password="8352" sheet="1" objects="1" scenarios="1"/>
  <protectedRanges>
    <protectedRange sqref="B10:F201" name="Acompanhamento"/>
  </protectedRanges>
  <mergeCells count="124">
    <mergeCell ref="B193:B195"/>
    <mergeCell ref="D193:F195"/>
    <mergeCell ref="B196:B198"/>
    <mergeCell ref="D196:F198"/>
    <mergeCell ref="B199:B201"/>
    <mergeCell ref="D199:F201"/>
    <mergeCell ref="B187:B189"/>
    <mergeCell ref="D187:F189"/>
    <mergeCell ref="B190:B192"/>
    <mergeCell ref="D190:F192"/>
    <mergeCell ref="B178:B180"/>
    <mergeCell ref="D178:F180"/>
    <mergeCell ref="B181:B183"/>
    <mergeCell ref="D181:F183"/>
    <mergeCell ref="B184:B186"/>
    <mergeCell ref="D184:F186"/>
    <mergeCell ref="B169:B171"/>
    <mergeCell ref="D169:F171"/>
    <mergeCell ref="B172:B174"/>
    <mergeCell ref="D172:F174"/>
    <mergeCell ref="B175:B177"/>
    <mergeCell ref="D175:F177"/>
    <mergeCell ref="B160:B162"/>
    <mergeCell ref="D160:F162"/>
    <mergeCell ref="B163:B165"/>
    <mergeCell ref="D163:F165"/>
    <mergeCell ref="B166:B168"/>
    <mergeCell ref="D166:F168"/>
    <mergeCell ref="B151:B153"/>
    <mergeCell ref="D151:F153"/>
    <mergeCell ref="B154:B156"/>
    <mergeCell ref="D154:F156"/>
    <mergeCell ref="B157:B159"/>
    <mergeCell ref="D157:F159"/>
    <mergeCell ref="B142:B144"/>
    <mergeCell ref="D142:F144"/>
    <mergeCell ref="B145:B147"/>
    <mergeCell ref="D145:F147"/>
    <mergeCell ref="B148:B150"/>
    <mergeCell ref="D148:F150"/>
    <mergeCell ref="B133:B135"/>
    <mergeCell ref="D133:F135"/>
    <mergeCell ref="B136:B138"/>
    <mergeCell ref="D136:F138"/>
    <mergeCell ref="B139:B141"/>
    <mergeCell ref="D139:F141"/>
    <mergeCell ref="B124:B126"/>
    <mergeCell ref="D124:F126"/>
    <mergeCell ref="B127:B129"/>
    <mergeCell ref="D127:F129"/>
    <mergeCell ref="B130:B132"/>
    <mergeCell ref="D130:F132"/>
    <mergeCell ref="B115:B117"/>
    <mergeCell ref="D115:F117"/>
    <mergeCell ref="B118:B120"/>
    <mergeCell ref="D118:F120"/>
    <mergeCell ref="B121:B123"/>
    <mergeCell ref="D121:F123"/>
    <mergeCell ref="B106:B108"/>
    <mergeCell ref="D106:F108"/>
    <mergeCell ref="B109:B111"/>
    <mergeCell ref="D109:F111"/>
    <mergeCell ref="B112:B114"/>
    <mergeCell ref="D112:F114"/>
    <mergeCell ref="B97:B99"/>
    <mergeCell ref="D97:F99"/>
    <mergeCell ref="B100:B102"/>
    <mergeCell ref="D100:F102"/>
    <mergeCell ref="B103:B105"/>
    <mergeCell ref="D103:F105"/>
    <mergeCell ref="B88:B90"/>
    <mergeCell ref="D88:F90"/>
    <mergeCell ref="B91:B93"/>
    <mergeCell ref="D91:F93"/>
    <mergeCell ref="B94:B96"/>
    <mergeCell ref="D94:F96"/>
    <mergeCell ref="B79:B81"/>
    <mergeCell ref="D79:F81"/>
    <mergeCell ref="B82:B84"/>
    <mergeCell ref="D82:F84"/>
    <mergeCell ref="B85:B87"/>
    <mergeCell ref="D85:F87"/>
    <mergeCell ref="B73:B75"/>
    <mergeCell ref="D73:F75"/>
    <mergeCell ref="B76:B78"/>
    <mergeCell ref="D76:F78"/>
    <mergeCell ref="B61:B63"/>
    <mergeCell ref="D61:F63"/>
    <mergeCell ref="B64:B66"/>
    <mergeCell ref="D64:F66"/>
    <mergeCell ref="B67:B69"/>
    <mergeCell ref="D67:F69"/>
    <mergeCell ref="B58:B60"/>
    <mergeCell ref="D58:F60"/>
    <mergeCell ref="B43:B45"/>
    <mergeCell ref="D43:F45"/>
    <mergeCell ref="B46:B48"/>
    <mergeCell ref="D46:F48"/>
    <mergeCell ref="B49:B51"/>
    <mergeCell ref="D49:F51"/>
    <mergeCell ref="B70:B72"/>
    <mergeCell ref="D70:F72"/>
    <mergeCell ref="B34:B36"/>
    <mergeCell ref="D34:F36"/>
    <mergeCell ref="B37:B39"/>
    <mergeCell ref="D37:F39"/>
    <mergeCell ref="B40:B42"/>
    <mergeCell ref="D40:F42"/>
    <mergeCell ref="B52:B54"/>
    <mergeCell ref="D52:F54"/>
    <mergeCell ref="B55:B57"/>
    <mergeCell ref="D55:F57"/>
    <mergeCell ref="B16:B18"/>
    <mergeCell ref="D16:F18"/>
    <mergeCell ref="B19:B21"/>
    <mergeCell ref="D19:F21"/>
    <mergeCell ref="B22:B24"/>
    <mergeCell ref="D22:F24"/>
    <mergeCell ref="D1:E1"/>
    <mergeCell ref="D9:F9"/>
    <mergeCell ref="D10:F12"/>
    <mergeCell ref="B10:B12"/>
    <mergeCell ref="B13:B15"/>
    <mergeCell ref="D13:F15"/>
  </mergeCells>
  <pageMargins left="0.511811024" right="0.511811024" top="0.78740157499999996" bottom="0.78740157499999996" header="0.31496062000000002" footer="0.31496062000000002"/>
  <pageSetup paperSize="9" orientation="portrait" copies="0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'Dados do Projeto'!$C$17:$C$19</xm:f>
          </x14:formula1>
          <xm:sqref>C10:C201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G180"/>
  <sheetViews>
    <sheetView topLeftCell="A85" zoomScale="80" zoomScaleNormal="80" workbookViewId="0">
      <selection activeCell="D102" sqref="D102"/>
    </sheetView>
  </sheetViews>
  <sheetFormatPr defaultRowHeight="15" x14ac:dyDescent="0.25"/>
  <cols>
    <col min="1" max="1" width="9.140625" style="1"/>
    <col min="2" max="2" width="9" style="1" customWidth="1"/>
    <col min="3" max="3" width="84.28515625" style="1" customWidth="1"/>
    <col min="4" max="6" width="9.140625" style="1"/>
    <col min="7" max="7" width="11" style="1" customWidth="1"/>
    <col min="8" max="16384" width="9.140625" style="1"/>
  </cols>
  <sheetData>
    <row r="6" spans="1:7" x14ac:dyDescent="0.25">
      <c r="A6" s="11" t="s">
        <v>185</v>
      </c>
    </row>
    <row r="7" spans="1:7" x14ac:dyDescent="0.25">
      <c r="A7" s="11"/>
    </row>
    <row r="8" spans="1:7" ht="21" x14ac:dyDescent="0.35">
      <c r="B8" s="86" t="s">
        <v>92</v>
      </c>
      <c r="C8" s="87"/>
      <c r="D8" s="75" t="s">
        <v>15</v>
      </c>
      <c r="E8" s="14"/>
      <c r="F8" s="14"/>
      <c r="G8" s="14"/>
    </row>
    <row r="9" spans="1:7" x14ac:dyDescent="0.25">
      <c r="B9" s="82"/>
      <c r="C9" s="14" t="s">
        <v>125</v>
      </c>
      <c r="D9" s="78" t="s">
        <v>182</v>
      </c>
      <c r="E9" s="14"/>
      <c r="F9" s="14"/>
      <c r="G9" s="14"/>
    </row>
    <row r="10" spans="1:7" x14ac:dyDescent="0.25">
      <c r="B10" s="82"/>
      <c r="C10" s="14" t="s">
        <v>126</v>
      </c>
      <c r="D10" s="78" t="s">
        <v>182</v>
      </c>
      <c r="E10" s="14"/>
      <c r="F10" s="14"/>
      <c r="G10" s="14"/>
    </row>
    <row r="11" spans="1:7" x14ac:dyDescent="0.25">
      <c r="B11" s="82"/>
      <c r="C11" s="14" t="s">
        <v>127</v>
      </c>
      <c r="D11" s="78" t="s">
        <v>182</v>
      </c>
      <c r="E11" s="14"/>
      <c r="F11" s="14"/>
      <c r="G11" s="14"/>
    </row>
    <row r="12" spans="1:7" x14ac:dyDescent="0.25">
      <c r="B12" s="82"/>
      <c r="C12" s="14" t="s">
        <v>128</v>
      </c>
      <c r="D12" s="78" t="s">
        <v>182</v>
      </c>
      <c r="E12" s="14"/>
      <c r="F12" s="14"/>
      <c r="G12" s="14"/>
    </row>
    <row r="13" spans="1:7" x14ac:dyDescent="0.25">
      <c r="B13" s="82"/>
      <c r="C13" s="14" t="s">
        <v>129</v>
      </c>
      <c r="D13" s="78" t="s">
        <v>182</v>
      </c>
      <c r="E13" s="14"/>
      <c r="F13" s="14"/>
      <c r="G13" s="14"/>
    </row>
    <row r="14" spans="1:7" x14ac:dyDescent="0.25">
      <c r="B14" s="82"/>
      <c r="C14" s="14" t="s">
        <v>138</v>
      </c>
      <c r="D14" s="78" t="s">
        <v>182</v>
      </c>
      <c r="E14" s="14"/>
      <c r="F14" s="14"/>
      <c r="G14" s="14"/>
    </row>
    <row r="15" spans="1:7" x14ac:dyDescent="0.25">
      <c r="B15" s="82"/>
      <c r="C15" s="14" t="s">
        <v>139</v>
      </c>
      <c r="D15" s="79">
        <v>0.05</v>
      </c>
      <c r="E15" s="14"/>
      <c r="F15" s="14"/>
      <c r="G15" s="14"/>
    </row>
    <row r="16" spans="1:7" x14ac:dyDescent="0.25">
      <c r="B16" s="82"/>
      <c r="C16" s="14" t="s">
        <v>140</v>
      </c>
      <c r="D16" s="78" t="s">
        <v>182</v>
      </c>
      <c r="E16" s="14"/>
      <c r="F16" s="14"/>
      <c r="G16" s="14"/>
    </row>
    <row r="17" spans="2:7" x14ac:dyDescent="0.25">
      <c r="B17" s="82"/>
      <c r="C17" s="14" t="s">
        <v>141</v>
      </c>
      <c r="D17" s="78" t="s">
        <v>182</v>
      </c>
      <c r="E17" s="14"/>
      <c r="F17" s="14"/>
      <c r="G17" s="14"/>
    </row>
    <row r="18" spans="2:7" x14ac:dyDescent="0.25">
      <c r="B18" s="82"/>
      <c r="C18" s="14" t="s">
        <v>130</v>
      </c>
      <c r="D18" s="79">
        <v>0.2</v>
      </c>
      <c r="E18" s="14"/>
      <c r="F18" s="14"/>
      <c r="G18" s="14"/>
    </row>
    <row r="19" spans="2:7" x14ac:dyDescent="0.25">
      <c r="B19" s="82"/>
      <c r="C19" s="14" t="s">
        <v>136</v>
      </c>
      <c r="D19" s="79">
        <v>0.2</v>
      </c>
      <c r="E19" s="14"/>
      <c r="F19" s="14"/>
      <c r="G19" s="14"/>
    </row>
    <row r="20" spans="2:7" x14ac:dyDescent="0.25">
      <c r="B20" s="82"/>
      <c r="C20" s="14" t="s">
        <v>137</v>
      </c>
      <c r="D20" s="79">
        <v>0.3</v>
      </c>
      <c r="E20" s="14"/>
      <c r="F20" s="14"/>
      <c r="G20" s="14"/>
    </row>
    <row r="21" spans="2:7" x14ac:dyDescent="0.25">
      <c r="B21" s="82"/>
      <c r="C21" s="14" t="s">
        <v>142</v>
      </c>
      <c r="D21" s="79">
        <v>0.1</v>
      </c>
      <c r="E21" s="14"/>
      <c r="F21" s="14"/>
      <c r="G21" s="14"/>
    </row>
    <row r="22" spans="2:7" x14ac:dyDescent="0.25">
      <c r="B22" s="82"/>
      <c r="C22" s="14" t="s">
        <v>143</v>
      </c>
      <c r="D22" s="79">
        <v>0.05</v>
      </c>
      <c r="E22" s="14"/>
      <c r="F22" s="14"/>
      <c r="G22" s="14"/>
    </row>
    <row r="23" spans="2:7" x14ac:dyDescent="0.25">
      <c r="B23" s="82"/>
      <c r="C23" s="14" t="s">
        <v>144</v>
      </c>
      <c r="D23" s="79">
        <v>0.05</v>
      </c>
      <c r="E23" s="14"/>
      <c r="F23" s="14"/>
      <c r="G23" s="14"/>
    </row>
    <row r="24" spans="2:7" x14ac:dyDescent="0.25">
      <c r="B24" s="82"/>
      <c r="C24" s="14" t="s">
        <v>145</v>
      </c>
      <c r="D24" s="78" t="s">
        <v>182</v>
      </c>
      <c r="E24" s="14"/>
      <c r="F24" s="14"/>
      <c r="G24" s="14"/>
    </row>
    <row r="25" spans="2:7" x14ac:dyDescent="0.25">
      <c r="B25" s="82"/>
      <c r="C25" s="14" t="s">
        <v>146</v>
      </c>
      <c r="D25" s="78" t="s">
        <v>182</v>
      </c>
      <c r="E25" s="14"/>
      <c r="F25" s="14"/>
      <c r="G25" s="14"/>
    </row>
    <row r="26" spans="2:7" x14ac:dyDescent="0.25">
      <c r="B26" s="82"/>
      <c r="C26" s="14" t="s">
        <v>131</v>
      </c>
      <c r="D26" s="79">
        <v>0.05</v>
      </c>
      <c r="E26" s="14"/>
      <c r="F26" s="14"/>
      <c r="G26" s="14"/>
    </row>
    <row r="27" spans="2:7" x14ac:dyDescent="0.25">
      <c r="B27" s="82"/>
      <c r="C27" s="14" t="s">
        <v>132</v>
      </c>
      <c r="D27" s="78" t="s">
        <v>182</v>
      </c>
      <c r="E27" s="14"/>
      <c r="F27" s="14"/>
      <c r="G27" s="14"/>
    </row>
    <row r="28" spans="2:7" x14ac:dyDescent="0.25">
      <c r="B28" s="82"/>
      <c r="C28" s="14" t="s">
        <v>133</v>
      </c>
      <c r="D28" s="78" t="s">
        <v>182</v>
      </c>
      <c r="E28" s="14"/>
      <c r="F28" s="14"/>
      <c r="G28" s="14"/>
    </row>
    <row r="29" spans="2:7" x14ac:dyDescent="0.25">
      <c r="B29" s="82"/>
      <c r="C29" s="14" t="s">
        <v>134</v>
      </c>
      <c r="D29" s="78" t="s">
        <v>182</v>
      </c>
      <c r="E29" s="14"/>
      <c r="F29" s="14"/>
      <c r="G29" s="14"/>
    </row>
    <row r="30" spans="2:7" x14ac:dyDescent="0.25">
      <c r="B30" s="84"/>
      <c r="C30" s="56" t="s">
        <v>135</v>
      </c>
      <c r="D30" s="80" t="s">
        <v>182</v>
      </c>
      <c r="E30" s="14"/>
      <c r="F30" s="14"/>
      <c r="G30" s="14"/>
    </row>
    <row r="31" spans="2:7" x14ac:dyDescent="0.25">
      <c r="B31" s="14"/>
      <c r="C31" s="14"/>
      <c r="D31" s="77">
        <f>SUM(D9:D30)</f>
        <v>1</v>
      </c>
      <c r="E31" s="14"/>
      <c r="F31" s="14"/>
      <c r="G31" s="14"/>
    </row>
    <row r="32" spans="2:7" x14ac:dyDescent="0.25">
      <c r="B32" s="14"/>
      <c r="C32" s="14"/>
      <c r="D32" s="14"/>
      <c r="E32" s="14"/>
      <c r="F32" s="14"/>
      <c r="G32" s="14"/>
    </row>
    <row r="33" spans="2:4" ht="21" x14ac:dyDescent="0.35">
      <c r="B33" s="86" t="s">
        <v>96</v>
      </c>
      <c r="C33" s="87"/>
      <c r="D33" s="75" t="s">
        <v>15</v>
      </c>
    </row>
    <row r="34" spans="2:4" x14ac:dyDescent="0.25">
      <c r="B34" s="90"/>
      <c r="C34" s="81" t="s">
        <v>371</v>
      </c>
      <c r="D34" s="88" t="s">
        <v>182</v>
      </c>
    </row>
    <row r="35" spans="2:4" x14ac:dyDescent="0.25">
      <c r="B35" s="82"/>
      <c r="C35" s="83" t="s">
        <v>372</v>
      </c>
      <c r="D35" s="79" t="s">
        <v>182</v>
      </c>
    </row>
    <row r="36" spans="2:4" x14ac:dyDescent="0.25">
      <c r="B36" s="82"/>
      <c r="C36" s="83" t="s">
        <v>373</v>
      </c>
      <c r="D36" s="79">
        <v>0.1</v>
      </c>
    </row>
    <row r="37" spans="2:4" x14ac:dyDescent="0.25">
      <c r="B37" s="82"/>
      <c r="C37" s="83" t="s">
        <v>374</v>
      </c>
      <c r="D37" s="79" t="s">
        <v>182</v>
      </c>
    </row>
    <row r="38" spans="2:4" x14ac:dyDescent="0.25">
      <c r="B38" s="82"/>
      <c r="C38" s="83" t="s">
        <v>375</v>
      </c>
      <c r="D38" s="79">
        <v>0.1</v>
      </c>
    </row>
    <row r="39" spans="2:4" x14ac:dyDescent="0.25">
      <c r="B39" s="82"/>
      <c r="C39" s="83" t="s">
        <v>376</v>
      </c>
      <c r="D39" s="79">
        <v>0.2</v>
      </c>
    </row>
    <row r="40" spans="2:4" x14ac:dyDescent="0.25">
      <c r="B40" s="82"/>
      <c r="C40" s="83" t="s">
        <v>377</v>
      </c>
      <c r="D40" s="79">
        <v>0.2</v>
      </c>
    </row>
    <row r="41" spans="2:4" x14ac:dyDescent="0.25">
      <c r="B41" s="82"/>
      <c r="C41" s="83" t="s">
        <v>378</v>
      </c>
      <c r="D41" s="79">
        <v>0.2</v>
      </c>
    </row>
    <row r="42" spans="2:4" x14ac:dyDescent="0.25">
      <c r="B42" s="82"/>
      <c r="C42" s="83" t="s">
        <v>379</v>
      </c>
      <c r="D42" s="79">
        <v>0.1</v>
      </c>
    </row>
    <row r="43" spans="2:4" x14ac:dyDescent="0.25">
      <c r="B43" s="82"/>
      <c r="C43" s="83" t="s">
        <v>380</v>
      </c>
      <c r="D43" s="79">
        <v>0.1</v>
      </c>
    </row>
    <row r="44" spans="2:4" x14ac:dyDescent="0.25">
      <c r="B44" s="82"/>
      <c r="C44" s="83"/>
      <c r="D44" s="78"/>
    </row>
    <row r="45" spans="2:4" x14ac:dyDescent="0.25">
      <c r="B45" s="82"/>
      <c r="D45" s="129"/>
    </row>
    <row r="46" spans="2:4" x14ac:dyDescent="0.25">
      <c r="B46" s="82"/>
      <c r="C46" s="83"/>
      <c r="D46" s="79"/>
    </row>
    <row r="47" spans="2:4" x14ac:dyDescent="0.25">
      <c r="B47" s="82"/>
      <c r="C47" s="83"/>
      <c r="D47" s="79"/>
    </row>
    <row r="48" spans="2:4" x14ac:dyDescent="0.25">
      <c r="B48" s="82"/>
      <c r="C48" s="83"/>
      <c r="D48" s="79"/>
    </row>
    <row r="49" spans="2:4" x14ac:dyDescent="0.25">
      <c r="B49" s="84"/>
      <c r="C49" s="85"/>
      <c r="D49" s="89"/>
    </row>
    <row r="50" spans="2:4" x14ac:dyDescent="0.25">
      <c r="D50" s="91">
        <f>SUM(D34:D49)</f>
        <v>1</v>
      </c>
    </row>
    <row r="52" spans="2:4" ht="21" x14ac:dyDescent="0.35">
      <c r="B52" s="86" t="s">
        <v>97</v>
      </c>
      <c r="C52" s="87"/>
      <c r="D52" s="75" t="s">
        <v>15</v>
      </c>
    </row>
    <row r="53" spans="2:4" x14ac:dyDescent="0.25">
      <c r="B53" s="90"/>
      <c r="C53" s="81" t="s">
        <v>363</v>
      </c>
      <c r="D53" s="88" t="s">
        <v>182</v>
      </c>
    </row>
    <row r="54" spans="2:4" x14ac:dyDescent="0.25">
      <c r="B54" s="82"/>
      <c r="C54" s="83" t="s">
        <v>364</v>
      </c>
      <c r="D54" s="79">
        <v>0.2</v>
      </c>
    </row>
    <row r="55" spans="2:4" x14ac:dyDescent="0.25">
      <c r="B55" s="82"/>
      <c r="C55" s="83" t="s">
        <v>365</v>
      </c>
      <c r="D55" s="79">
        <v>0.15</v>
      </c>
    </row>
    <row r="56" spans="2:4" x14ac:dyDescent="0.25">
      <c r="B56" s="82"/>
      <c r="C56" s="83" t="s">
        <v>366</v>
      </c>
      <c r="D56" s="79">
        <v>0.05</v>
      </c>
    </row>
    <row r="57" spans="2:4" x14ac:dyDescent="0.25">
      <c r="B57" s="82"/>
      <c r="C57" s="83" t="s">
        <v>362</v>
      </c>
      <c r="D57" s="79">
        <v>0.15</v>
      </c>
    </row>
    <row r="58" spans="2:4" x14ac:dyDescent="0.25">
      <c r="B58" s="82"/>
      <c r="C58" s="83" t="s">
        <v>367</v>
      </c>
      <c r="D58" s="79">
        <v>0.25</v>
      </c>
    </row>
    <row r="59" spans="2:4" x14ac:dyDescent="0.25">
      <c r="B59" s="82"/>
      <c r="C59" s="83" t="s">
        <v>368</v>
      </c>
      <c r="D59" s="78" t="s">
        <v>182</v>
      </c>
    </row>
    <row r="60" spans="2:4" x14ac:dyDescent="0.25">
      <c r="B60" s="82"/>
      <c r="C60" s="83" t="s">
        <v>369</v>
      </c>
      <c r="D60" s="79">
        <v>0.1</v>
      </c>
    </row>
    <row r="61" spans="2:4" x14ac:dyDescent="0.25">
      <c r="B61" s="84"/>
      <c r="C61" s="93" t="s">
        <v>370</v>
      </c>
      <c r="D61" s="89">
        <v>0.1</v>
      </c>
    </row>
    <row r="62" spans="2:4" x14ac:dyDescent="0.25">
      <c r="C62" s="92"/>
      <c r="D62" s="91">
        <f>SUM(D53:D61)</f>
        <v>0.99999999999999989</v>
      </c>
    </row>
    <row r="63" spans="2:4" x14ac:dyDescent="0.25">
      <c r="C63" s="43"/>
      <c r="D63" s="74"/>
    </row>
    <row r="64" spans="2:4" ht="21" x14ac:dyDescent="0.35">
      <c r="B64" s="86" t="s">
        <v>98</v>
      </c>
      <c r="C64" s="94"/>
      <c r="D64" s="75" t="s">
        <v>15</v>
      </c>
    </row>
    <row r="65" spans="2:4" x14ac:dyDescent="0.25">
      <c r="B65" s="90"/>
      <c r="C65" s="81" t="s">
        <v>104</v>
      </c>
      <c r="D65" s="88" t="s">
        <v>182</v>
      </c>
    </row>
    <row r="66" spans="2:4" x14ac:dyDescent="0.25">
      <c r="B66" s="82"/>
      <c r="C66" s="83" t="s">
        <v>105</v>
      </c>
      <c r="D66" s="79">
        <v>0.3</v>
      </c>
    </row>
    <row r="67" spans="2:4" x14ac:dyDescent="0.25">
      <c r="B67" s="82"/>
      <c r="C67" s="83" t="s">
        <v>106</v>
      </c>
      <c r="D67" s="79">
        <v>0.3</v>
      </c>
    </row>
    <row r="68" spans="2:4" x14ac:dyDescent="0.25">
      <c r="B68" s="84"/>
      <c r="C68" s="85" t="s">
        <v>107</v>
      </c>
      <c r="D68" s="89">
        <v>0.4</v>
      </c>
    </row>
    <row r="69" spans="2:4" x14ac:dyDescent="0.25">
      <c r="D69" s="91">
        <f>SUM(D65:D68)</f>
        <v>1</v>
      </c>
    </row>
    <row r="70" spans="2:4" x14ac:dyDescent="0.25">
      <c r="D70" s="74"/>
    </row>
    <row r="71" spans="2:4" ht="21" x14ac:dyDescent="0.35">
      <c r="B71" s="86" t="s">
        <v>99</v>
      </c>
      <c r="C71" s="94"/>
      <c r="D71" s="75" t="s">
        <v>15</v>
      </c>
    </row>
    <row r="72" spans="2:4" x14ac:dyDescent="0.25">
      <c r="B72" s="90"/>
      <c r="C72" s="81" t="s">
        <v>210</v>
      </c>
      <c r="D72" s="88" t="s">
        <v>182</v>
      </c>
    </row>
    <row r="73" spans="2:4" x14ac:dyDescent="0.25">
      <c r="B73" s="82"/>
      <c r="C73" s="83" t="s">
        <v>108</v>
      </c>
      <c r="D73" s="79" t="s">
        <v>182</v>
      </c>
    </row>
    <row r="74" spans="2:4" x14ac:dyDescent="0.25">
      <c r="B74" s="82"/>
      <c r="C74" s="83" t="s">
        <v>109</v>
      </c>
      <c r="D74" s="79">
        <v>0.2</v>
      </c>
    </row>
    <row r="75" spans="2:4" x14ac:dyDescent="0.25">
      <c r="B75" s="82"/>
      <c r="C75" s="83" t="s">
        <v>110</v>
      </c>
      <c r="D75" s="79">
        <v>0.2</v>
      </c>
    </row>
    <row r="76" spans="2:4" x14ac:dyDescent="0.25">
      <c r="B76" s="84"/>
      <c r="C76" s="85" t="s">
        <v>111</v>
      </c>
      <c r="D76" s="89">
        <v>0.6</v>
      </c>
    </row>
    <row r="77" spans="2:4" x14ac:dyDescent="0.25">
      <c r="D77" s="91">
        <f>SUM(D72:D76)</f>
        <v>1</v>
      </c>
    </row>
    <row r="78" spans="2:4" x14ac:dyDescent="0.25">
      <c r="D78" s="74"/>
    </row>
    <row r="79" spans="2:4" ht="21" x14ac:dyDescent="0.35">
      <c r="B79" s="86" t="s">
        <v>100</v>
      </c>
      <c r="C79" s="94"/>
      <c r="D79" s="75" t="s">
        <v>15</v>
      </c>
    </row>
    <row r="80" spans="2:4" x14ac:dyDescent="0.25">
      <c r="B80" s="90"/>
      <c r="C80" s="81" t="s">
        <v>112</v>
      </c>
      <c r="D80" s="88" t="s">
        <v>182</v>
      </c>
    </row>
    <row r="81" spans="2:4" x14ac:dyDescent="0.25">
      <c r="B81" s="82"/>
      <c r="C81" s="83" t="s">
        <v>113</v>
      </c>
      <c r="D81" s="78" t="s">
        <v>182</v>
      </c>
    </row>
    <row r="82" spans="2:4" x14ac:dyDescent="0.25">
      <c r="B82" s="84"/>
      <c r="C82" s="85" t="s">
        <v>114</v>
      </c>
      <c r="D82" s="89">
        <v>1</v>
      </c>
    </row>
    <row r="83" spans="2:4" x14ac:dyDescent="0.25">
      <c r="D83" s="91">
        <f>SUM(D80:D82)</f>
        <v>1</v>
      </c>
    </row>
    <row r="84" spans="2:4" x14ac:dyDescent="0.25">
      <c r="D84" s="74"/>
    </row>
    <row r="85" spans="2:4" ht="21" x14ac:dyDescent="0.35">
      <c r="B85" s="86" t="s">
        <v>101</v>
      </c>
      <c r="C85" s="94"/>
      <c r="D85" s="75" t="s">
        <v>15</v>
      </c>
    </row>
    <row r="86" spans="2:4" x14ac:dyDescent="0.25">
      <c r="B86" s="90"/>
      <c r="C86" s="81" t="s">
        <v>158</v>
      </c>
      <c r="D86" s="88" t="s">
        <v>182</v>
      </c>
    </row>
    <row r="87" spans="2:4" x14ac:dyDescent="0.25">
      <c r="B87" s="82"/>
      <c r="C87" s="83" t="s">
        <v>123</v>
      </c>
      <c r="D87" s="78" t="s">
        <v>182</v>
      </c>
    </row>
    <row r="88" spans="2:4" x14ac:dyDescent="0.25">
      <c r="B88" s="82"/>
      <c r="C88" s="83" t="s">
        <v>124</v>
      </c>
      <c r="D88" s="78" t="s">
        <v>182</v>
      </c>
    </row>
    <row r="89" spans="2:4" x14ac:dyDescent="0.25">
      <c r="B89" s="82"/>
      <c r="C89" s="83" t="s">
        <v>115</v>
      </c>
      <c r="D89" s="78" t="s">
        <v>182</v>
      </c>
    </row>
    <row r="90" spans="2:4" x14ac:dyDescent="0.25">
      <c r="B90" s="82"/>
      <c r="C90" s="83" t="s">
        <v>116</v>
      </c>
      <c r="D90" s="79" t="s">
        <v>182</v>
      </c>
    </row>
    <row r="91" spans="2:4" x14ac:dyDescent="0.25">
      <c r="B91" s="82"/>
      <c r="C91" s="83" t="s">
        <v>117</v>
      </c>
      <c r="D91" s="79">
        <v>0.2</v>
      </c>
    </row>
    <row r="92" spans="2:4" x14ac:dyDescent="0.25">
      <c r="B92" s="82"/>
      <c r="C92" s="83" t="s">
        <v>118</v>
      </c>
      <c r="D92" s="79">
        <v>0.5</v>
      </c>
    </row>
    <row r="93" spans="2:4" x14ac:dyDescent="0.25">
      <c r="B93" s="82"/>
      <c r="C93" s="83" t="s">
        <v>119</v>
      </c>
      <c r="D93" s="78" t="s">
        <v>182</v>
      </c>
    </row>
    <row r="94" spans="2:4" x14ac:dyDescent="0.25">
      <c r="B94" s="82"/>
      <c r="C94" s="83" t="s">
        <v>120</v>
      </c>
      <c r="D94" s="78" t="s">
        <v>182</v>
      </c>
    </row>
    <row r="95" spans="2:4" x14ac:dyDescent="0.25">
      <c r="B95" s="82"/>
      <c r="C95" s="83" t="s">
        <v>121</v>
      </c>
      <c r="D95" s="78" t="s">
        <v>182</v>
      </c>
    </row>
    <row r="96" spans="2:4" x14ac:dyDescent="0.25">
      <c r="B96" s="84"/>
      <c r="C96" s="85" t="s">
        <v>122</v>
      </c>
      <c r="D96" s="89">
        <v>0.3</v>
      </c>
    </row>
    <row r="97" spans="2:4" x14ac:dyDescent="0.25">
      <c r="D97" s="91">
        <f>SUM(D86:D96)</f>
        <v>1</v>
      </c>
    </row>
    <row r="98" spans="2:4" x14ac:dyDescent="0.25">
      <c r="D98" s="74"/>
    </row>
    <row r="99" spans="2:4" ht="21" x14ac:dyDescent="0.35">
      <c r="B99" s="86" t="s">
        <v>211</v>
      </c>
      <c r="C99" s="94"/>
      <c r="D99" s="75" t="s">
        <v>15</v>
      </c>
    </row>
    <row r="100" spans="2:4" x14ac:dyDescent="0.25">
      <c r="B100" s="90"/>
      <c r="C100" s="81" t="s">
        <v>102</v>
      </c>
      <c r="D100" s="95">
        <v>0.7</v>
      </c>
    </row>
    <row r="101" spans="2:4" x14ac:dyDescent="0.25">
      <c r="B101" s="84"/>
      <c r="C101" s="85" t="s">
        <v>103</v>
      </c>
      <c r="D101" s="89">
        <v>0.3</v>
      </c>
    </row>
    <row r="102" spans="2:4" x14ac:dyDescent="0.25">
      <c r="D102" s="91">
        <f>SUM(D100:D101)</f>
        <v>1</v>
      </c>
    </row>
    <row r="105" spans="2:4" ht="21" x14ac:dyDescent="0.35">
      <c r="B105" s="86" t="s">
        <v>247</v>
      </c>
      <c r="C105" s="94"/>
      <c r="D105" s="75" t="s">
        <v>15</v>
      </c>
    </row>
    <row r="106" spans="2:4" x14ac:dyDescent="0.25">
      <c r="B106" s="90"/>
      <c r="C106" s="81" t="s">
        <v>248</v>
      </c>
      <c r="D106" s="95">
        <v>0.7</v>
      </c>
    </row>
    <row r="107" spans="2:4" x14ac:dyDescent="0.25">
      <c r="B107" s="84"/>
      <c r="C107" s="85" t="s">
        <v>240</v>
      </c>
      <c r="D107" s="89">
        <v>0.3</v>
      </c>
    </row>
    <row r="108" spans="2:4" x14ac:dyDescent="0.25">
      <c r="D108" s="91">
        <f>SUM(D106:D107)</f>
        <v>1</v>
      </c>
    </row>
    <row r="111" spans="2:4" ht="21" x14ac:dyDescent="0.35">
      <c r="B111" s="86" t="s">
        <v>241</v>
      </c>
      <c r="C111" s="94"/>
      <c r="D111" s="75" t="s">
        <v>15</v>
      </c>
    </row>
    <row r="112" spans="2:4" x14ac:dyDescent="0.25">
      <c r="B112" s="90"/>
      <c r="C112" s="81" t="s">
        <v>243</v>
      </c>
      <c r="D112" s="95">
        <v>0.2</v>
      </c>
    </row>
    <row r="113" spans="2:4" x14ac:dyDescent="0.25">
      <c r="B113" s="82"/>
      <c r="C113" s="83" t="s">
        <v>242</v>
      </c>
      <c r="D113" s="79">
        <v>0.1</v>
      </c>
    </row>
    <row r="114" spans="2:4" x14ac:dyDescent="0.25">
      <c r="B114" s="82"/>
      <c r="C114" s="83" t="s">
        <v>244</v>
      </c>
      <c r="D114" s="79">
        <v>0.1</v>
      </c>
    </row>
    <row r="115" spans="2:4" x14ac:dyDescent="0.25">
      <c r="B115" s="82"/>
      <c r="C115" s="83" t="s">
        <v>245</v>
      </c>
      <c r="D115" s="79">
        <v>0.5</v>
      </c>
    </row>
    <row r="116" spans="2:4" x14ac:dyDescent="0.25">
      <c r="B116" s="84"/>
      <c r="C116" s="85" t="s">
        <v>246</v>
      </c>
      <c r="D116" s="79">
        <v>0.1</v>
      </c>
    </row>
    <row r="117" spans="2:4" x14ac:dyDescent="0.25">
      <c r="D117" s="91">
        <f>SUM(D112:D116)</f>
        <v>1</v>
      </c>
    </row>
    <row r="120" spans="2:4" ht="21" x14ac:dyDescent="0.35">
      <c r="B120" s="86" t="s">
        <v>249</v>
      </c>
      <c r="C120" s="94"/>
      <c r="D120" s="75" t="s">
        <v>15</v>
      </c>
    </row>
    <row r="121" spans="2:4" x14ac:dyDescent="0.25">
      <c r="B121" s="90"/>
      <c r="C121" s="81" t="s">
        <v>252</v>
      </c>
      <c r="D121" s="95">
        <v>0.1</v>
      </c>
    </row>
    <row r="122" spans="2:4" x14ac:dyDescent="0.25">
      <c r="B122" s="82"/>
      <c r="C122" s="83" t="s">
        <v>313</v>
      </c>
      <c r="D122" s="79">
        <v>0.1</v>
      </c>
    </row>
    <row r="123" spans="2:4" x14ac:dyDescent="0.25">
      <c r="B123" s="82"/>
      <c r="C123" s="83" t="s">
        <v>343</v>
      </c>
      <c r="D123" s="79">
        <v>0.3</v>
      </c>
    </row>
    <row r="124" spans="2:4" x14ac:dyDescent="0.25">
      <c r="B124" s="82"/>
      <c r="C124" s="83" t="s">
        <v>250</v>
      </c>
      <c r="D124" s="79">
        <v>0.4</v>
      </c>
    </row>
    <row r="125" spans="2:4" x14ac:dyDescent="0.25">
      <c r="B125" s="84"/>
      <c r="C125" s="85" t="s">
        <v>251</v>
      </c>
      <c r="D125" s="79">
        <v>0.1</v>
      </c>
    </row>
    <row r="126" spans="2:4" x14ac:dyDescent="0.25">
      <c r="D126" s="91">
        <f>SUM(D121:D125)</f>
        <v>1</v>
      </c>
    </row>
    <row r="129" spans="2:4" ht="21" x14ac:dyDescent="0.35">
      <c r="B129" s="86" t="s">
        <v>286</v>
      </c>
      <c r="C129" s="94"/>
      <c r="D129" s="75" t="s">
        <v>15</v>
      </c>
    </row>
    <row r="130" spans="2:4" x14ac:dyDescent="0.25">
      <c r="B130" s="84"/>
      <c r="C130" s="85" t="s">
        <v>293</v>
      </c>
      <c r="D130" s="89">
        <v>1</v>
      </c>
    </row>
    <row r="131" spans="2:4" x14ac:dyDescent="0.25">
      <c r="D131" s="91">
        <f>SUM(D130:D130)</f>
        <v>1</v>
      </c>
    </row>
    <row r="134" spans="2:4" ht="21" x14ac:dyDescent="0.35">
      <c r="B134" s="86" t="s">
        <v>287</v>
      </c>
      <c r="C134" s="94"/>
      <c r="D134" s="75" t="s">
        <v>15</v>
      </c>
    </row>
    <row r="135" spans="2:4" x14ac:dyDescent="0.25">
      <c r="B135" s="90"/>
      <c r="C135" s="81" t="s">
        <v>243</v>
      </c>
      <c r="D135" s="95">
        <v>0.2</v>
      </c>
    </row>
    <row r="136" spans="2:4" x14ac:dyDescent="0.25">
      <c r="B136" s="82"/>
      <c r="C136" s="83" t="s">
        <v>242</v>
      </c>
      <c r="D136" s="79">
        <v>0.1</v>
      </c>
    </row>
    <row r="137" spans="2:4" x14ac:dyDescent="0.25">
      <c r="B137" s="82"/>
      <c r="C137" s="83" t="s">
        <v>244</v>
      </c>
      <c r="D137" s="79">
        <v>0.1</v>
      </c>
    </row>
    <row r="138" spans="2:4" x14ac:dyDescent="0.25">
      <c r="B138" s="82"/>
      <c r="C138" s="83" t="s">
        <v>245</v>
      </c>
      <c r="D138" s="79">
        <v>0.5</v>
      </c>
    </row>
    <row r="139" spans="2:4" x14ac:dyDescent="0.25">
      <c r="B139" s="84"/>
      <c r="C139" s="85" t="s">
        <v>246</v>
      </c>
      <c r="D139" s="79">
        <v>0.1</v>
      </c>
    </row>
    <row r="140" spans="2:4" x14ac:dyDescent="0.25">
      <c r="D140" s="91">
        <f>SUM(D135:D139)</f>
        <v>1</v>
      </c>
    </row>
    <row r="143" spans="2:4" ht="21" x14ac:dyDescent="0.35">
      <c r="B143" s="160" t="s">
        <v>288</v>
      </c>
      <c r="C143" s="81"/>
      <c r="D143" s="75" t="s">
        <v>15</v>
      </c>
    </row>
    <row r="144" spans="2:4" x14ac:dyDescent="0.25">
      <c r="B144" s="90"/>
      <c r="C144" s="81" t="s">
        <v>289</v>
      </c>
      <c r="D144" s="158">
        <v>0.2</v>
      </c>
    </row>
    <row r="145" spans="2:4" x14ac:dyDescent="0.25">
      <c r="B145" s="82"/>
      <c r="C145" s="83" t="s">
        <v>290</v>
      </c>
      <c r="D145" s="159">
        <v>0.1</v>
      </c>
    </row>
    <row r="146" spans="2:4" x14ac:dyDescent="0.25">
      <c r="B146" s="82"/>
      <c r="C146" s="83" t="s">
        <v>291</v>
      </c>
      <c r="D146" s="159">
        <v>0.05</v>
      </c>
    </row>
    <row r="147" spans="2:4" x14ac:dyDescent="0.25">
      <c r="B147" s="82"/>
      <c r="C147" s="83" t="s">
        <v>292</v>
      </c>
      <c r="D147" s="159">
        <v>0.15</v>
      </c>
    </row>
    <row r="148" spans="2:4" x14ac:dyDescent="0.25">
      <c r="B148" s="84"/>
      <c r="C148" s="85" t="s">
        <v>294</v>
      </c>
      <c r="D148" s="159">
        <v>0.5</v>
      </c>
    </row>
    <row r="149" spans="2:4" x14ac:dyDescent="0.25">
      <c r="D149" s="91">
        <f>SUM(D144:D148)</f>
        <v>1</v>
      </c>
    </row>
    <row r="152" spans="2:4" ht="21" x14ac:dyDescent="0.35">
      <c r="B152" s="160" t="s">
        <v>301</v>
      </c>
      <c r="C152" s="81"/>
      <c r="D152" s="162" t="s">
        <v>15</v>
      </c>
    </row>
    <row r="153" spans="2:4" x14ac:dyDescent="0.25">
      <c r="B153" s="90"/>
      <c r="C153" s="81" t="s">
        <v>318</v>
      </c>
      <c r="D153" s="95">
        <v>0.4</v>
      </c>
    </row>
    <row r="154" spans="2:4" x14ac:dyDescent="0.25">
      <c r="B154" s="82"/>
      <c r="C154" s="83" t="s">
        <v>319</v>
      </c>
      <c r="D154" s="79">
        <v>0.3</v>
      </c>
    </row>
    <row r="155" spans="2:4" x14ac:dyDescent="0.25">
      <c r="B155" s="82"/>
      <c r="C155" s="83" t="s">
        <v>320</v>
      </c>
      <c r="D155" s="79">
        <v>0.2</v>
      </c>
    </row>
    <row r="156" spans="2:4" x14ac:dyDescent="0.25">
      <c r="B156" s="84"/>
      <c r="C156" s="85" t="s">
        <v>336</v>
      </c>
      <c r="D156" s="89">
        <v>0.1</v>
      </c>
    </row>
    <row r="157" spans="2:4" x14ac:dyDescent="0.25">
      <c r="D157" s="91">
        <f>SUM(D153:D156)</f>
        <v>0.99999999999999989</v>
      </c>
    </row>
    <row r="160" spans="2:4" ht="21" x14ac:dyDescent="0.35">
      <c r="B160" s="160" t="s">
        <v>295</v>
      </c>
      <c r="C160" s="81"/>
      <c r="D160" s="162" t="s">
        <v>15</v>
      </c>
    </row>
    <row r="161" spans="2:4" x14ac:dyDescent="0.25">
      <c r="B161" s="90"/>
      <c r="C161" s="163" t="s">
        <v>293</v>
      </c>
      <c r="D161" s="95">
        <v>0.2</v>
      </c>
    </row>
    <row r="162" spans="2:4" x14ac:dyDescent="0.25">
      <c r="B162" s="82"/>
      <c r="C162" s="14" t="s">
        <v>299</v>
      </c>
      <c r="D162" s="79">
        <v>0.4</v>
      </c>
    </row>
    <row r="163" spans="2:4" x14ac:dyDescent="0.25">
      <c r="B163" s="84"/>
      <c r="C163" s="56" t="s">
        <v>300</v>
      </c>
      <c r="D163" s="89">
        <v>0.4</v>
      </c>
    </row>
    <row r="164" spans="2:4" x14ac:dyDescent="0.25">
      <c r="D164" s="161">
        <f>SUM(D161:D163)</f>
        <v>1</v>
      </c>
    </row>
    <row r="167" spans="2:4" ht="21" x14ac:dyDescent="0.35">
      <c r="B167" s="86" t="s">
        <v>296</v>
      </c>
      <c r="C167" s="94"/>
      <c r="D167" s="75" t="s">
        <v>15</v>
      </c>
    </row>
    <row r="168" spans="2:4" x14ac:dyDescent="0.25">
      <c r="B168" s="90"/>
      <c r="C168" s="81" t="s">
        <v>243</v>
      </c>
      <c r="D168" s="95">
        <v>0.2</v>
      </c>
    </row>
    <row r="169" spans="2:4" x14ac:dyDescent="0.25">
      <c r="B169" s="82"/>
      <c r="C169" s="83" t="s">
        <v>242</v>
      </c>
      <c r="D169" s="79">
        <v>0.1</v>
      </c>
    </row>
    <row r="170" spans="2:4" x14ac:dyDescent="0.25">
      <c r="B170" s="82"/>
      <c r="C170" s="83" t="s">
        <v>244</v>
      </c>
      <c r="D170" s="79">
        <v>0.1</v>
      </c>
    </row>
    <row r="171" spans="2:4" x14ac:dyDescent="0.25">
      <c r="B171" s="82"/>
      <c r="C171" s="83" t="s">
        <v>245</v>
      </c>
      <c r="D171" s="79">
        <v>0.5</v>
      </c>
    </row>
    <row r="172" spans="2:4" x14ac:dyDescent="0.25">
      <c r="B172" s="84"/>
      <c r="C172" s="85" t="s">
        <v>246</v>
      </c>
      <c r="D172" s="79">
        <v>0.1</v>
      </c>
    </row>
    <row r="173" spans="2:4" x14ac:dyDescent="0.25">
      <c r="D173" s="91">
        <f>SUM(D168:D172)</f>
        <v>1</v>
      </c>
    </row>
    <row r="176" spans="2:4" ht="21" x14ac:dyDescent="0.35">
      <c r="B176" s="160" t="s">
        <v>297</v>
      </c>
      <c r="C176" s="81"/>
      <c r="D176" s="75" t="s">
        <v>15</v>
      </c>
    </row>
    <row r="177" spans="2:4" x14ac:dyDescent="0.25">
      <c r="B177" s="90"/>
      <c r="C177" s="81" t="s">
        <v>298</v>
      </c>
      <c r="D177" s="158">
        <v>0.4</v>
      </c>
    </row>
    <row r="178" spans="2:4" x14ac:dyDescent="0.25">
      <c r="B178" s="82"/>
      <c r="C178" s="83" t="s">
        <v>340</v>
      </c>
      <c r="D178" s="159">
        <v>0.3</v>
      </c>
    </row>
    <row r="179" spans="2:4" x14ac:dyDescent="0.25">
      <c r="B179" s="84"/>
      <c r="C179" s="85" t="s">
        <v>341</v>
      </c>
      <c r="D179" s="159">
        <v>0.3</v>
      </c>
    </row>
    <row r="180" spans="2:4" x14ac:dyDescent="0.25">
      <c r="D180" s="91">
        <f>SUM(D177:D179)</f>
        <v>1</v>
      </c>
    </row>
  </sheetData>
  <sheetProtection password="824A" sheet="1" objects="1" scenarios="1"/>
  <pageMargins left="0.511811024" right="0.511811024" top="0.78740157499999996" bottom="0.78740157499999996" header="0.31496062000000002" footer="0.31496062000000002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G57"/>
  <sheetViews>
    <sheetView zoomScale="80" zoomScaleNormal="80" workbookViewId="0">
      <selection activeCell="E32" sqref="E32:E33"/>
    </sheetView>
  </sheetViews>
  <sheetFormatPr defaultRowHeight="15" x14ac:dyDescent="0.25"/>
  <cols>
    <col min="1" max="2" width="9.140625" style="1"/>
    <col min="3" max="3" width="48.140625" style="1" customWidth="1"/>
    <col min="4" max="4" width="9.140625" style="1"/>
    <col min="5" max="5" width="22.28515625" style="1" customWidth="1"/>
    <col min="6" max="6" width="13.85546875" style="1" customWidth="1"/>
    <col min="7" max="7" width="67.85546875" style="1" customWidth="1"/>
    <col min="8" max="16384" width="9.140625" style="1"/>
  </cols>
  <sheetData>
    <row r="6" spans="1:7" x14ac:dyDescent="0.25">
      <c r="A6" s="11" t="s">
        <v>306</v>
      </c>
    </row>
    <row r="8" spans="1:7" ht="20.25" x14ac:dyDescent="0.25">
      <c r="B8" s="239" t="str">
        <f>Entregáveis!B8</f>
        <v>Proposta</v>
      </c>
      <c r="C8" s="240"/>
      <c r="D8" s="70" t="s">
        <v>15</v>
      </c>
      <c r="E8" s="73" t="s">
        <v>213</v>
      </c>
      <c r="F8" s="73"/>
      <c r="G8" s="73" t="s">
        <v>214</v>
      </c>
    </row>
    <row r="9" spans="1:7" x14ac:dyDescent="0.25">
      <c r="B9" s="90"/>
      <c r="C9" s="81" t="str">
        <f>Entregáveis!C9</f>
        <v>CAPA</v>
      </c>
      <c r="D9" s="97" t="str">
        <f>Entregáveis!D9</f>
        <v>-</v>
      </c>
      <c r="E9" s="241"/>
      <c r="F9" s="242"/>
      <c r="G9" s="243"/>
    </row>
    <row r="10" spans="1:7" x14ac:dyDescent="0.25">
      <c r="B10" s="82"/>
      <c r="C10" s="83" t="str">
        <f>Entregáveis!C10</f>
        <v>FOLHA DE ROSTO</v>
      </c>
      <c r="D10" s="96" t="str">
        <f>Entregáveis!D10</f>
        <v>-</v>
      </c>
      <c r="E10" s="244"/>
      <c r="F10" s="245"/>
      <c r="G10" s="246"/>
    </row>
    <row r="11" spans="1:7" x14ac:dyDescent="0.25">
      <c r="B11" s="82"/>
      <c r="C11" s="83" t="str">
        <f>Entregáveis!C11</f>
        <v>LISTAS</v>
      </c>
      <c r="D11" s="96" t="str">
        <f>Entregáveis!D11</f>
        <v>-</v>
      </c>
      <c r="E11" s="244"/>
      <c r="F11" s="245"/>
      <c r="G11" s="246"/>
    </row>
    <row r="12" spans="1:7" x14ac:dyDescent="0.25">
      <c r="B12" s="82"/>
      <c r="C12" s="83" t="str">
        <f>Entregáveis!C12</f>
        <v>SUMÁRIO</v>
      </c>
      <c r="D12" s="96" t="str">
        <f>Entregáveis!D12</f>
        <v>-</v>
      </c>
      <c r="E12" s="244"/>
      <c r="F12" s="245"/>
      <c r="G12" s="246"/>
    </row>
    <row r="13" spans="1:7" x14ac:dyDescent="0.25">
      <c r="B13" s="82"/>
      <c r="C13" s="83" t="str">
        <f>Entregáveis!C13</f>
        <v>1 INTRODUÇÃO</v>
      </c>
      <c r="D13" s="96" t="str">
        <f>Entregáveis!D13</f>
        <v>-</v>
      </c>
      <c r="E13" s="244"/>
      <c r="F13" s="245"/>
      <c r="G13" s="246"/>
    </row>
    <row r="14" spans="1:7" x14ac:dyDescent="0.25">
      <c r="B14" s="82"/>
      <c r="C14" s="83" t="str">
        <f>Entregáveis!C14</f>
        <v>2 IDENTIFICAÇÃO</v>
      </c>
      <c r="D14" s="96" t="str">
        <f>Entregáveis!D14</f>
        <v>-</v>
      </c>
      <c r="E14" s="247"/>
      <c r="F14" s="248"/>
      <c r="G14" s="249"/>
    </row>
    <row r="15" spans="1:7" x14ac:dyDescent="0.25">
      <c r="B15" s="82"/>
      <c r="C15" s="83" t="str">
        <f>Entregáveis!C15</f>
        <v>3 OBJETIVO</v>
      </c>
      <c r="D15" s="96">
        <f>Entregáveis!D15</f>
        <v>0.05</v>
      </c>
      <c r="E15" s="105"/>
      <c r="F15" s="101">
        <f>IF(ISBLANK(E15),0,VLOOKUP($E15,Parâmetros!$C$2:$D$6,2,FALSE)*D15)</f>
        <v>0</v>
      </c>
      <c r="G15" s="144"/>
    </row>
    <row r="16" spans="1:7" x14ac:dyDescent="0.25">
      <c r="B16" s="82"/>
      <c r="C16" s="83" t="str">
        <f>Entregáveis!C16</f>
        <v>4 PÚBLICO ALVO</v>
      </c>
      <c r="D16" s="96" t="str">
        <f>Entregáveis!D16</f>
        <v>-</v>
      </c>
      <c r="E16" s="241"/>
      <c r="F16" s="242"/>
      <c r="G16" s="243"/>
    </row>
    <row r="17" spans="2:7" x14ac:dyDescent="0.25">
      <c r="B17" s="82"/>
      <c r="C17" s="83" t="str">
        <f>Entregáveis!C17</f>
        <v>5 CLIENTE EM PERSPECTIVA OU TÉCNICO DA ÁREA</v>
      </c>
      <c r="D17" s="96" t="str">
        <f>Entregáveis!D17</f>
        <v>-</v>
      </c>
      <c r="E17" s="247"/>
      <c r="F17" s="248"/>
      <c r="G17" s="249"/>
    </row>
    <row r="18" spans="2:7" x14ac:dyDescent="0.25">
      <c r="B18" s="82"/>
      <c r="C18" s="83" t="str">
        <f>Entregáveis!C18</f>
        <v>6 SITUAÇÃO ATUAL</v>
      </c>
      <c r="D18" s="96">
        <f>Entregáveis!D18</f>
        <v>0.2</v>
      </c>
      <c r="E18" s="105"/>
      <c r="F18" s="101">
        <f>IF(ISBLANK(E18),0,VLOOKUP($E18,Parâmetros!$C$2:$D$6,2,FALSE)*D18)</f>
        <v>0</v>
      </c>
      <c r="G18" s="144"/>
    </row>
    <row r="19" spans="2:7" x14ac:dyDescent="0.25">
      <c r="B19" s="82"/>
      <c r="C19" s="83" t="str">
        <f>Entregáveis!C19</f>
        <v>7 DESCRIÇÃO DO SISTEMA</v>
      </c>
      <c r="D19" s="96">
        <f>Entregáveis!D19</f>
        <v>0.2</v>
      </c>
      <c r="E19" s="105"/>
      <c r="F19" s="101">
        <f>IF(ISBLANK(E19),0,VLOOKUP($E19,Parâmetros!$C$2:$D$6,2,FALSE)*D19)</f>
        <v>0</v>
      </c>
      <c r="G19" s="144"/>
    </row>
    <row r="20" spans="2:7" x14ac:dyDescent="0.25">
      <c r="B20" s="82"/>
      <c r="C20" s="83" t="str">
        <f>Entregáveis!C20</f>
        <v>8 REQUISITOS FUNCIONAIS E NÃO FUNCIONAIS</v>
      </c>
      <c r="D20" s="96">
        <f>Entregáveis!D20</f>
        <v>0.3</v>
      </c>
      <c r="E20" s="105"/>
      <c r="F20" s="101">
        <f>IF(ISBLANK(E20),0,VLOOKUP($E20,Parâmetros!$C$2:$D$6,2,FALSE)*D20)</f>
        <v>0</v>
      </c>
      <c r="G20" s="144"/>
    </row>
    <row r="21" spans="2:7" x14ac:dyDescent="0.25">
      <c r="B21" s="82"/>
      <c r="C21" s="83" t="str">
        <f>Entregáveis!C21</f>
        <v>9  PREMISSAS</v>
      </c>
      <c r="D21" s="96">
        <f>Entregáveis!D21</f>
        <v>0.1</v>
      </c>
      <c r="E21" s="105"/>
      <c r="F21" s="101">
        <f>IF(ISBLANK(E21),0,VLOOKUP($E21,Parâmetros!$C$2:$D$6,2,FALSE)*D21)</f>
        <v>0</v>
      </c>
      <c r="G21" s="144"/>
    </row>
    <row r="22" spans="2:7" x14ac:dyDescent="0.25">
      <c r="B22" s="82"/>
      <c r="C22" s="83" t="str">
        <f>Entregáveis!C22</f>
        <v>10 PRODUTOS FINAIS</v>
      </c>
      <c r="D22" s="96">
        <f>Entregáveis!D22</f>
        <v>0.05</v>
      </c>
      <c r="E22" s="105"/>
      <c r="F22" s="101">
        <f>IF(ISBLANK(E22),0,VLOOKUP($E22,Parâmetros!$C$2:$D$6,2,FALSE)*D22)</f>
        <v>0</v>
      </c>
      <c r="G22" s="144"/>
    </row>
    <row r="23" spans="2:7" x14ac:dyDescent="0.25">
      <c r="B23" s="82"/>
      <c r="C23" s="83" t="str">
        <f>Entregáveis!C23</f>
        <v>11 RESPONSABILIDADES</v>
      </c>
      <c r="D23" s="96">
        <f>Entregáveis!D23</f>
        <v>0.05</v>
      </c>
      <c r="E23" s="105"/>
      <c r="F23" s="101">
        <f>IF(ISBLANK(E23),0,VLOOKUP($E23,Parâmetros!$C$2:$D$6,2,FALSE)*D23)</f>
        <v>0</v>
      </c>
      <c r="G23" s="144"/>
    </row>
    <row r="24" spans="2:7" x14ac:dyDescent="0.25">
      <c r="B24" s="82"/>
      <c r="C24" s="83" t="str">
        <f>Entregáveis!C24</f>
        <v>12 METODOLOGIA DE DESENVOLVIMENTO</v>
      </c>
      <c r="D24" s="96" t="str">
        <f>Entregáveis!D24</f>
        <v>-</v>
      </c>
      <c r="E24" s="241"/>
      <c r="F24" s="242"/>
      <c r="G24" s="243"/>
    </row>
    <row r="25" spans="2:7" x14ac:dyDescent="0.25">
      <c r="B25" s="82"/>
      <c r="C25" s="83" t="str">
        <f>Entregáveis!C25</f>
        <v>13 ORIENTADOR</v>
      </c>
      <c r="D25" s="96" t="str">
        <f>Entregáveis!D25</f>
        <v>-</v>
      </c>
      <c r="E25" s="247"/>
      <c r="F25" s="248"/>
      <c r="G25" s="249"/>
    </row>
    <row r="26" spans="2:7" x14ac:dyDescent="0.25">
      <c r="B26" s="82"/>
      <c r="C26" s="83" t="str">
        <f>Entregáveis!C26</f>
        <v>14 CONCLUSÃO</v>
      </c>
      <c r="D26" s="96">
        <f>Entregáveis!D26</f>
        <v>0.05</v>
      </c>
      <c r="E26" s="105"/>
      <c r="F26" s="101">
        <f>IF(ISBLANK(E26),0,VLOOKUP($E26,Parâmetros!$C$2:$D$6,2,FALSE)*D26)</f>
        <v>0</v>
      </c>
      <c r="G26" s="144"/>
    </row>
    <row r="27" spans="2:7" x14ac:dyDescent="0.25">
      <c r="B27" s="82"/>
      <c r="C27" s="83" t="str">
        <f>Entregáveis!C27</f>
        <v>GLOSSÁRIO</v>
      </c>
      <c r="D27" s="96" t="str">
        <f>Entregáveis!D27</f>
        <v>-</v>
      </c>
      <c r="E27" s="241"/>
      <c r="F27" s="242"/>
      <c r="G27" s="243"/>
    </row>
    <row r="28" spans="2:7" x14ac:dyDescent="0.25">
      <c r="B28" s="82"/>
      <c r="C28" s="83" t="str">
        <f>Entregáveis!C28</f>
        <v>REFERÊNCIAS E/OU DOCUMENTOS CONSULTADOS</v>
      </c>
      <c r="D28" s="96" t="str">
        <f>Entregáveis!D28</f>
        <v>-</v>
      </c>
      <c r="E28" s="244"/>
      <c r="F28" s="245"/>
      <c r="G28" s="246"/>
    </row>
    <row r="29" spans="2:7" x14ac:dyDescent="0.25">
      <c r="B29" s="82"/>
      <c r="C29" s="83" t="str">
        <f>Entregáveis!C29</f>
        <v>APÊNDICES</v>
      </c>
      <c r="D29" s="96" t="str">
        <f>Entregáveis!D29</f>
        <v>-</v>
      </c>
      <c r="E29" s="244"/>
      <c r="F29" s="245"/>
      <c r="G29" s="246"/>
    </row>
    <row r="30" spans="2:7" x14ac:dyDescent="0.25">
      <c r="B30" s="84"/>
      <c r="C30" s="85" t="str">
        <f>Entregáveis!C30</f>
        <v>ANEXOS</v>
      </c>
      <c r="D30" s="98" t="str">
        <f>Entregáveis!D30</f>
        <v>-</v>
      </c>
      <c r="E30" s="247"/>
      <c r="F30" s="248"/>
      <c r="G30" s="249"/>
    </row>
    <row r="32" spans="2:7" x14ac:dyDescent="0.25">
      <c r="D32" s="102" t="s">
        <v>222</v>
      </c>
      <c r="E32" s="103">
        <f>UCP!G95</f>
        <v>289</v>
      </c>
    </row>
    <row r="33" spans="4:5" x14ac:dyDescent="0.25">
      <c r="D33" s="102" t="s">
        <v>223</v>
      </c>
      <c r="E33" s="103">
        <f>SUM(F15,F18:F23,F26)*10</f>
        <v>0</v>
      </c>
    </row>
    <row r="34" spans="4:5" x14ac:dyDescent="0.25">
      <c r="D34" s="102" t="s">
        <v>224</v>
      </c>
      <c r="E34" s="13" t="str">
        <f>IF(E32&gt;=90,IF(E33&lt;=5,Parâmetros!$B$3,IF(E33&lt;7,Parâmetros!$B$4,Parâmetros!$B$5)),Parâmetros!$B$3)</f>
        <v>Rejeitada</v>
      </c>
    </row>
    <row r="54" spans="1:1" x14ac:dyDescent="0.25">
      <c r="A54" s="104" t="str">
        <f>Parâmetros!B2</f>
        <v>Não Enviada</v>
      </c>
    </row>
    <row r="55" spans="1:1" x14ac:dyDescent="0.25">
      <c r="A55" s="104" t="str">
        <f>Parâmetros!B3</f>
        <v>Rejeitada</v>
      </c>
    </row>
    <row r="56" spans="1:1" x14ac:dyDescent="0.25">
      <c r="A56" s="104" t="str">
        <f>Parâmetros!B4</f>
        <v>Aprovada com resalva</v>
      </c>
    </row>
    <row r="57" spans="1:1" x14ac:dyDescent="0.25">
      <c r="A57" s="104" t="str">
        <f>Parâmetros!B5</f>
        <v>Aprovada sem resalva</v>
      </c>
    </row>
  </sheetData>
  <sheetProtection password="8352" sheet="1" objects="1" scenarios="1"/>
  <protectedRanges>
    <protectedRange sqref="E15 G15 E18:E23 G18:G23 E26 G26" name="Avaliação"/>
  </protectedRanges>
  <mergeCells count="5">
    <mergeCell ref="B8:C8"/>
    <mergeCell ref="E9:G14"/>
    <mergeCell ref="E16:G17"/>
    <mergeCell ref="E24:G25"/>
    <mergeCell ref="E27:G30"/>
  </mergeCells>
  <conditionalFormatting sqref="E34">
    <cfRule type="cellIs" dxfId="6" priority="1" operator="equal">
      <formula>$A$57</formula>
    </cfRule>
    <cfRule type="cellIs" dxfId="5" priority="2" operator="equal">
      <formula>$A$56</formula>
    </cfRule>
    <cfRule type="cellIs" dxfId="4" priority="3" operator="equal">
      <formula>$A$55</formula>
    </cfRule>
  </conditionalFormatting>
  <pageMargins left="0.511811024" right="0.511811024" top="0.78740157499999996" bottom="0.78740157499999996" header="0.31496062000000002" footer="0.31496062000000002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Parâmetros!$C$2:$C$6</xm:f>
          </x14:formula1>
          <xm:sqref>E15 E18:E23 E26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J56"/>
  <sheetViews>
    <sheetView zoomScale="80" zoomScaleNormal="80" workbookViewId="0">
      <selection activeCell="E15" sqref="E15"/>
    </sheetView>
  </sheetViews>
  <sheetFormatPr defaultRowHeight="15" x14ac:dyDescent="0.25"/>
  <cols>
    <col min="1" max="2" width="9.140625" style="1"/>
    <col min="3" max="3" width="48.140625" style="1" customWidth="1"/>
    <col min="4" max="4" width="9.140625" style="1"/>
    <col min="5" max="6" width="13.85546875" style="1" customWidth="1"/>
    <col min="7" max="8" width="12.5703125" style="1" customWidth="1"/>
    <col min="9" max="9" width="30.28515625" style="1" customWidth="1"/>
    <col min="10" max="10" width="34.85546875" style="1" customWidth="1"/>
    <col min="11" max="16384" width="9.140625" style="1"/>
  </cols>
  <sheetData>
    <row r="6" spans="1:6" x14ac:dyDescent="0.25">
      <c r="A6" s="11" t="s">
        <v>307</v>
      </c>
    </row>
    <row r="8" spans="1:6" ht="25.5" x14ac:dyDescent="0.25">
      <c r="C8" s="73" t="s">
        <v>229</v>
      </c>
      <c r="D8" s="73" t="s">
        <v>15</v>
      </c>
      <c r="E8" s="73" t="s">
        <v>230</v>
      </c>
      <c r="F8" s="73" t="s">
        <v>231</v>
      </c>
    </row>
    <row r="9" spans="1:6" x14ac:dyDescent="0.25">
      <c r="C9" s="90" t="str">
        <f>B19</f>
        <v>Plano de Projeto</v>
      </c>
      <c r="D9" s="110">
        <v>0.3</v>
      </c>
      <c r="E9" s="111">
        <f>E31</f>
        <v>0</v>
      </c>
      <c r="F9" s="112">
        <f>D9*E9</f>
        <v>0</v>
      </c>
    </row>
    <row r="10" spans="1:6" x14ac:dyDescent="0.25">
      <c r="C10" s="82" t="str">
        <f>B35</f>
        <v>Descrição do Projeto</v>
      </c>
      <c r="D10" s="113">
        <v>0.5</v>
      </c>
      <c r="E10" s="114">
        <f>E46</f>
        <v>0</v>
      </c>
      <c r="F10" s="115">
        <f>D10*E10</f>
        <v>0</v>
      </c>
    </row>
    <row r="11" spans="1:6" x14ac:dyDescent="0.25">
      <c r="C11" s="84" t="str">
        <f>B50</f>
        <v>Arquitetura</v>
      </c>
      <c r="D11" s="116">
        <v>0.2</v>
      </c>
      <c r="E11" s="117">
        <f>E56</f>
        <v>0</v>
      </c>
      <c r="F11" s="118">
        <f>D11*E11</f>
        <v>0</v>
      </c>
    </row>
    <row r="12" spans="1:6" x14ac:dyDescent="0.25">
      <c r="F12" s="165">
        <f>SUM(F9:F11)</f>
        <v>0</v>
      </c>
    </row>
    <row r="13" spans="1:6" x14ac:dyDescent="0.25">
      <c r="D13" s="100" t="s">
        <v>232</v>
      </c>
      <c r="E13" s="119">
        <f>IF(F12 - (F12*10%*F14)&lt;0,0,(F12- (F12*10%*F14)))</f>
        <v>0</v>
      </c>
    </row>
    <row r="14" spans="1:6" x14ac:dyDescent="0.25">
      <c r="D14" s="164" t="s">
        <v>310</v>
      </c>
      <c r="E14" s="167"/>
      <c r="F14" s="104">
        <f>IF(EXACT(E15,Parâmetros!$H$2),E14,E14+1)</f>
        <v>0</v>
      </c>
    </row>
    <row r="15" spans="1:6" x14ac:dyDescent="0.25">
      <c r="D15" s="164" t="s">
        <v>333</v>
      </c>
      <c r="E15" s="173" t="s">
        <v>331</v>
      </c>
    </row>
    <row r="16" spans="1:6" x14ac:dyDescent="0.25">
      <c r="D16" s="164"/>
    </row>
    <row r="17" spans="1:10" x14ac:dyDescent="0.25">
      <c r="A17" s="11" t="s">
        <v>226</v>
      </c>
    </row>
    <row r="19" spans="1:10" ht="25.5" x14ac:dyDescent="0.25">
      <c r="B19" s="239" t="str">
        <f>Entregáveis!B33</f>
        <v>Plano de Projeto</v>
      </c>
      <c r="C19" s="240"/>
      <c r="D19" s="73" t="s">
        <v>15</v>
      </c>
      <c r="E19" s="73" t="s">
        <v>212</v>
      </c>
      <c r="F19" s="73" t="s">
        <v>212</v>
      </c>
      <c r="G19" s="73" t="s">
        <v>213</v>
      </c>
      <c r="H19" s="73" t="s">
        <v>213</v>
      </c>
      <c r="I19" s="73" t="s">
        <v>215</v>
      </c>
      <c r="J19" s="73" t="s">
        <v>214</v>
      </c>
    </row>
    <row r="20" spans="1:10" x14ac:dyDescent="0.25">
      <c r="B20" s="82"/>
      <c r="C20" s="14" t="str">
        <f>Entregáveis!C34</f>
        <v>2.1 OBJETIVOS DO PLANO DE PROJETO</v>
      </c>
      <c r="D20" s="106" t="str">
        <f>Entregáveis!D34</f>
        <v>-</v>
      </c>
      <c r="E20" s="241"/>
      <c r="F20" s="242"/>
      <c r="G20" s="242"/>
      <c r="H20" s="242"/>
      <c r="I20" s="242"/>
      <c r="J20" s="243"/>
    </row>
    <row r="21" spans="1:10" x14ac:dyDescent="0.25">
      <c r="B21" s="82"/>
      <c r="C21" s="14" t="str">
        <f>Entregáveis!C35</f>
        <v>2.2 ORGANIZAÇÃO DO PROJETO</v>
      </c>
      <c r="D21" s="107" t="str">
        <f>Entregáveis!D35</f>
        <v>-</v>
      </c>
      <c r="E21" s="247"/>
      <c r="F21" s="248"/>
      <c r="G21" s="248"/>
      <c r="H21" s="248"/>
      <c r="I21" s="248"/>
      <c r="J21" s="249"/>
    </row>
    <row r="22" spans="1:10" x14ac:dyDescent="0.25">
      <c r="B22" s="82"/>
      <c r="C22" s="14" t="str">
        <f>Entregáveis!C36</f>
        <v>2.2.1 Estrutura Organizacional do Projeto</v>
      </c>
      <c r="D22" s="107">
        <f>Entregáveis!D36</f>
        <v>0.1</v>
      </c>
      <c r="E22" s="105"/>
      <c r="F22" s="101">
        <f>IF(ISBLANK(E22),0,VLOOKUP($E22,Parâmetros!$C$2:$D$6,2,FALSE)*D22)</f>
        <v>0</v>
      </c>
      <c r="G22" s="168"/>
      <c r="H22" s="101">
        <f>IF(ISBLANK(G22),0,VLOOKUP($G22,Parâmetros!$C$2:$D$6,2,FALSE)*D22)</f>
        <v>0</v>
      </c>
      <c r="I22" s="144"/>
      <c r="J22" s="144"/>
    </row>
    <row r="23" spans="1:10" x14ac:dyDescent="0.25">
      <c r="B23" s="82"/>
      <c r="C23" s="14" t="str">
        <f>Entregáveis!C37</f>
        <v>2.3 PROCESSOS DE GERENCIAMENTO DE PROJETO</v>
      </c>
      <c r="D23" s="107" t="str">
        <f>Entregáveis!D37</f>
        <v>-</v>
      </c>
      <c r="E23" s="250"/>
      <c r="F23" s="251"/>
      <c r="G23" s="251"/>
      <c r="H23" s="251"/>
      <c r="I23" s="251"/>
      <c r="J23" s="252"/>
    </row>
    <row r="24" spans="1:10" x14ac:dyDescent="0.25">
      <c r="B24" s="82"/>
      <c r="C24" s="14" t="str">
        <f>Entregáveis!C38</f>
        <v>2.3.1 Gerenciamento de Integração</v>
      </c>
      <c r="D24" s="107">
        <f>Entregáveis!D38</f>
        <v>0.1</v>
      </c>
      <c r="E24" s="168"/>
      <c r="F24" s="101">
        <f>IF(ISBLANK(E24),0,VLOOKUP($E24,Parâmetros!$C$2:$D$6,2,FALSE)*D24)</f>
        <v>0</v>
      </c>
      <c r="G24" s="168"/>
      <c r="H24" s="101">
        <f>IF(ISBLANK(G24),0,VLOOKUP($G24,Parâmetros!$C$2:$D$6,2,FALSE)*D24)</f>
        <v>0</v>
      </c>
      <c r="I24" s="144"/>
      <c r="J24" s="144"/>
    </row>
    <row r="25" spans="1:10" x14ac:dyDescent="0.25">
      <c r="B25" s="82"/>
      <c r="C25" s="14" t="str">
        <f>Entregáveis!C39</f>
        <v>2.3.2 Gerenciamento do Escopo</v>
      </c>
      <c r="D25" s="107">
        <f>Entregáveis!D39</f>
        <v>0.2</v>
      </c>
      <c r="E25" s="168"/>
      <c r="F25" s="101">
        <f>IF(ISBLANK(E25),0,VLOOKUP($E25,Parâmetros!$C$2:$D$6,2,FALSE)*D25)</f>
        <v>0</v>
      </c>
      <c r="G25" s="168"/>
      <c r="H25" s="101">
        <f>IF(ISBLANK(G25),0,VLOOKUP($G25,Parâmetros!$C$2:$D$6,2,FALSE)*D25)</f>
        <v>0</v>
      </c>
      <c r="I25" s="144"/>
      <c r="J25" s="144"/>
    </row>
    <row r="26" spans="1:10" x14ac:dyDescent="0.25">
      <c r="B26" s="82"/>
      <c r="C26" s="14" t="str">
        <f>Entregáveis!C40</f>
        <v>2.3.3 Gerenciamento do Tempo</v>
      </c>
      <c r="D26" s="107">
        <f>Entregáveis!D40</f>
        <v>0.2</v>
      </c>
      <c r="E26" s="168"/>
      <c r="F26" s="101">
        <f>IF(ISBLANK(E26),0,VLOOKUP($E26,Parâmetros!$C$2:$D$6,2,FALSE)*D26)</f>
        <v>0</v>
      </c>
      <c r="G26" s="168"/>
      <c r="H26" s="101">
        <f>IF(ISBLANK(G26),0,VLOOKUP($G26,Parâmetros!$C$2:$D$6,2,FALSE)*D26)</f>
        <v>0</v>
      </c>
      <c r="I26" s="144"/>
      <c r="J26" s="144"/>
    </row>
    <row r="27" spans="1:10" x14ac:dyDescent="0.25">
      <c r="B27" s="82"/>
      <c r="C27" s="14" t="str">
        <f>Entregáveis!C41</f>
        <v>2.3.4  Gerenciamento de Custos</v>
      </c>
      <c r="D27" s="107">
        <f>Entregáveis!D41</f>
        <v>0.2</v>
      </c>
      <c r="E27" s="168"/>
      <c r="F27" s="101">
        <f>IF(ISBLANK(E27),0,VLOOKUP($E27,Parâmetros!$C$2:$D$6,2,FALSE)*D27)</f>
        <v>0</v>
      </c>
      <c r="G27" s="168"/>
      <c r="H27" s="101">
        <f>IF(ISBLANK(G27),0,VLOOKUP($G27,Parâmetros!$C$2:$D$6,2,FALSE)*D27)</f>
        <v>0</v>
      </c>
      <c r="I27" s="144"/>
      <c r="J27" s="144"/>
    </row>
    <row r="28" spans="1:10" x14ac:dyDescent="0.25">
      <c r="B28" s="82"/>
      <c r="C28" s="14" t="str">
        <f>Entregáveis!C42</f>
        <v>2.3.5 Gerenciamento de Riscos</v>
      </c>
      <c r="D28" s="107">
        <f>Entregáveis!D42</f>
        <v>0.1</v>
      </c>
      <c r="E28" s="168"/>
      <c r="F28" s="101">
        <f>IF(ISBLANK(E28),0,VLOOKUP($E28,Parâmetros!$C$2:$D$6,2,FALSE)*D28)</f>
        <v>0</v>
      </c>
      <c r="G28" s="168"/>
      <c r="H28" s="101">
        <f>IF(ISBLANK(G28),0,VLOOKUP($G28,Parâmetros!$C$2:$D$6,2,FALSE)*D28)</f>
        <v>0</v>
      </c>
      <c r="I28" s="144"/>
      <c r="J28" s="144"/>
    </row>
    <row r="29" spans="1:10" x14ac:dyDescent="0.25">
      <c r="B29" s="84"/>
      <c r="C29" s="56" t="str">
        <f>Entregáveis!C43</f>
        <v>2.3.6 Gerenciamento de Comunicações</v>
      </c>
      <c r="D29" s="108">
        <f>Entregáveis!D43</f>
        <v>0.1</v>
      </c>
      <c r="E29" s="168"/>
      <c r="F29" s="101">
        <f>IF(ISBLANK(E29),0,VLOOKUP($E29,Parâmetros!$C$2:$D$6,2,FALSE)*D29)</f>
        <v>0</v>
      </c>
      <c r="G29" s="105"/>
      <c r="H29" s="101">
        <f>IF(ISBLANK(G29),0,VLOOKUP($G29,Parâmetros!$C$2:$D$6,2,FALSE)*D29)</f>
        <v>0</v>
      </c>
      <c r="I29" s="144"/>
      <c r="J29" s="144"/>
    </row>
    <row r="31" spans="1:10" x14ac:dyDescent="0.25">
      <c r="D31" s="100" t="s">
        <v>225</v>
      </c>
      <c r="E31" s="109">
        <f>((SUM(F22:F27,F28,F29:F29)/2) + (SUM(H22:H27,H28,H29:H29)/2))*10</f>
        <v>0</v>
      </c>
    </row>
    <row r="33" spans="1:10" x14ac:dyDescent="0.25">
      <c r="A33" s="11" t="s">
        <v>227</v>
      </c>
    </row>
    <row r="35" spans="1:10" ht="25.5" x14ac:dyDescent="0.25">
      <c r="B35" s="239" t="str">
        <f>Entregáveis!B52</f>
        <v>Descrição do Projeto</v>
      </c>
      <c r="C35" s="240"/>
      <c r="D35" s="73" t="s">
        <v>15</v>
      </c>
      <c r="E35" s="73" t="s">
        <v>212</v>
      </c>
      <c r="F35" s="73" t="s">
        <v>212</v>
      </c>
      <c r="G35" s="73" t="s">
        <v>213</v>
      </c>
      <c r="H35" s="73" t="s">
        <v>213</v>
      </c>
      <c r="I35" s="73" t="s">
        <v>215</v>
      </c>
      <c r="J35" s="73" t="s">
        <v>214</v>
      </c>
    </row>
    <row r="36" spans="1:10" x14ac:dyDescent="0.25">
      <c r="B36" s="82"/>
      <c r="C36" s="14" t="str">
        <f>Entregáveis!C53</f>
        <v>12.1 OBJETIVOS DA DESCRIÇÃO DO PROJETO</v>
      </c>
      <c r="D36" s="97" t="str">
        <f>Entregáveis!D53</f>
        <v>-</v>
      </c>
      <c r="E36" s="250"/>
      <c r="F36" s="251"/>
      <c r="G36" s="251"/>
      <c r="H36" s="251"/>
      <c r="I36" s="251"/>
      <c r="J36" s="252"/>
    </row>
    <row r="37" spans="1:10" x14ac:dyDescent="0.25">
      <c r="B37" s="82"/>
      <c r="C37" s="14" t="str">
        <f>Entregáveis!C54</f>
        <v>12.2 DESCRIÇÃO DA SITUAÇÃO ATUAL</v>
      </c>
      <c r="D37" s="96">
        <f>Entregáveis!D54</f>
        <v>0.2</v>
      </c>
      <c r="E37" s="105"/>
      <c r="F37" s="101">
        <f>IF(ISBLANK(E37),0,VLOOKUP($E37,Parâmetros!$C$2:$D$6,2,FALSE)*D37)</f>
        <v>0</v>
      </c>
      <c r="G37" s="105"/>
      <c r="H37" s="101">
        <f>IF(ISBLANK(G37),0,VLOOKUP($G37,Parâmetros!$C$2:$D$6,2,FALSE)*D37)</f>
        <v>0</v>
      </c>
      <c r="I37" s="144"/>
      <c r="J37" s="144"/>
    </row>
    <row r="38" spans="1:10" x14ac:dyDescent="0.25">
      <c r="B38" s="82"/>
      <c r="C38" s="14" t="str">
        <f>Entregáveis!C55</f>
        <v>1.2.1 Descrição dos Problemas</v>
      </c>
      <c r="D38" s="96">
        <f>Entregáveis!D55</f>
        <v>0.15</v>
      </c>
      <c r="E38" s="105"/>
      <c r="F38" s="101">
        <f>IF(ISBLANK(E38),0,VLOOKUP($E38,Parâmetros!$C$2:$D$6,2,FALSE)*D38)</f>
        <v>0</v>
      </c>
      <c r="G38" s="105"/>
      <c r="H38" s="101">
        <f>IF(ISBLANK(G38),0,VLOOKUP($G38,Parâmetros!$C$2:$D$6,2,FALSE)*D38)</f>
        <v>0</v>
      </c>
      <c r="I38" s="144"/>
      <c r="J38" s="144"/>
    </row>
    <row r="39" spans="1:10" x14ac:dyDescent="0.25">
      <c r="B39" s="82"/>
      <c r="C39" s="14" t="str">
        <f>Entregáveis!C56</f>
        <v>1.2.2 Ambiente do Usuário</v>
      </c>
      <c r="D39" s="96">
        <f>Entregáveis!D56</f>
        <v>0.05</v>
      </c>
      <c r="E39" s="105"/>
      <c r="F39" s="101">
        <f>IF(ISBLANK(E39),0,VLOOKUP($E39,Parâmetros!$C$2:$D$6,2,FALSE)*D39)</f>
        <v>0</v>
      </c>
      <c r="G39" s="105"/>
      <c r="H39" s="101">
        <f>IF(ISBLANK(G39),0,VLOOKUP($G39,Parâmetros!$C$2:$D$6,2,FALSE)*D39)</f>
        <v>0</v>
      </c>
      <c r="I39" s="144"/>
      <c r="J39" s="144"/>
    </row>
    <row r="40" spans="1:10" x14ac:dyDescent="0.25">
      <c r="B40" s="82"/>
      <c r="C40" s="14" t="str">
        <f>Entregáveis!C57</f>
        <v>1.2.3 Stakeholders</v>
      </c>
      <c r="D40" s="96">
        <f>Entregáveis!D57</f>
        <v>0.15</v>
      </c>
      <c r="E40" s="105"/>
      <c r="F40" s="101">
        <f>IF(ISBLANK(E40),0,VLOOKUP($E40,Parâmetros!$C$2:$D$6,2,FALSE)*D40)</f>
        <v>0</v>
      </c>
      <c r="G40" s="105"/>
      <c r="H40" s="101">
        <f>IF(ISBLANK(G40),0,VLOOKUP($G40,Parâmetros!$C$2:$D$6,2,FALSE)*D40)</f>
        <v>0</v>
      </c>
      <c r="I40" s="144"/>
      <c r="J40" s="144"/>
    </row>
    <row r="41" spans="1:10" x14ac:dyDescent="0.25">
      <c r="B41" s="82"/>
      <c r="C41" s="14" t="str">
        <f>Entregáveis!C58</f>
        <v>1.3 DESCRIÇÃO DO SISTEMA PROPOSTO</v>
      </c>
      <c r="D41" s="96">
        <f>Entregáveis!D58</f>
        <v>0.25</v>
      </c>
      <c r="E41" s="105"/>
      <c r="F41" s="101">
        <f>IF(ISBLANK(E41),0,VLOOKUP($E41,Parâmetros!$C$2:$D$6,2,FALSE)*D41)</f>
        <v>0</v>
      </c>
      <c r="G41" s="105"/>
      <c r="H41" s="101">
        <f>IF(ISBLANK(G41),0,VLOOKUP($G41,Parâmetros!$C$2:$D$6,2,FALSE)*D41)</f>
        <v>0</v>
      </c>
      <c r="I41" s="144"/>
      <c r="J41" s="144"/>
    </row>
    <row r="42" spans="1:10" x14ac:dyDescent="0.25">
      <c r="B42" s="82"/>
      <c r="C42" s="14" t="str">
        <f>Entregáveis!C59</f>
        <v>1.4  REQUISITOS DO PRODUTO</v>
      </c>
      <c r="D42" s="96" t="str">
        <f>Entregáveis!D59</f>
        <v>-</v>
      </c>
      <c r="E42" s="250"/>
      <c r="F42" s="251"/>
      <c r="G42" s="251"/>
      <c r="H42" s="251"/>
      <c r="I42" s="251"/>
      <c r="J42" s="252"/>
    </row>
    <row r="43" spans="1:10" x14ac:dyDescent="0.25">
      <c r="B43" s="82"/>
      <c r="C43" s="14" t="str">
        <f>Entregáveis!C60</f>
        <v>1.4.1 Requisitos Funcionais</v>
      </c>
      <c r="D43" s="96">
        <f>Entregáveis!D60</f>
        <v>0.1</v>
      </c>
      <c r="E43" s="105"/>
      <c r="F43" s="101">
        <f>IF(ISBLANK(E43),0,VLOOKUP($E43,Parâmetros!$C$2:$D$6,2,FALSE)*D43)</f>
        <v>0</v>
      </c>
      <c r="G43" s="105"/>
      <c r="H43" s="101">
        <f>IF(ISBLANK(G43),0,VLOOKUP($G43,Parâmetros!$C$2:$D$6,2,FALSE)*D43)</f>
        <v>0</v>
      </c>
      <c r="I43" s="144"/>
      <c r="J43" s="144"/>
    </row>
    <row r="44" spans="1:10" x14ac:dyDescent="0.25">
      <c r="B44" s="84"/>
      <c r="C44" s="56" t="str">
        <f>Entregáveis!C61</f>
        <v>1.4.2 Requisitos Não Funcionais</v>
      </c>
      <c r="D44" s="98">
        <f>Entregáveis!D61</f>
        <v>0.1</v>
      </c>
      <c r="E44" s="105"/>
      <c r="F44" s="101">
        <f>IF(ISBLANK(E44),0,VLOOKUP($E44,Parâmetros!$C$2:$D$6,2,FALSE)*D44)</f>
        <v>0</v>
      </c>
      <c r="G44" s="105"/>
      <c r="H44" s="101">
        <f>IF(ISBLANK(G44),0,VLOOKUP($G44,Parâmetros!$C$2:$D$6,2,FALSE)*D44)</f>
        <v>0</v>
      </c>
      <c r="I44" s="144"/>
      <c r="J44" s="144"/>
    </row>
    <row r="46" spans="1:10" x14ac:dyDescent="0.25">
      <c r="D46" s="100" t="s">
        <v>225</v>
      </c>
      <c r="E46" s="109">
        <f>((SUM(F37:F41,F43:F44)/2) + (SUM(H37:H41,H43:H44)/2))*10</f>
        <v>0</v>
      </c>
    </row>
    <row r="48" spans="1:10" x14ac:dyDescent="0.25">
      <c r="A48" s="11" t="s">
        <v>228</v>
      </c>
    </row>
    <row r="50" spans="2:10" ht="25.5" x14ac:dyDescent="0.25">
      <c r="B50" s="239" t="str">
        <f>Entregáveis!B64</f>
        <v>Arquitetura</v>
      </c>
      <c r="C50" s="240"/>
      <c r="D50" s="73" t="s">
        <v>15</v>
      </c>
      <c r="E50" s="73" t="s">
        <v>212</v>
      </c>
      <c r="F50" s="73" t="s">
        <v>212</v>
      </c>
      <c r="G50" s="73" t="s">
        <v>213</v>
      </c>
      <c r="H50" s="73" t="s">
        <v>213</v>
      </c>
      <c r="I50" s="73" t="s">
        <v>215</v>
      </c>
      <c r="J50" s="73" t="s">
        <v>214</v>
      </c>
    </row>
    <row r="51" spans="2:10" x14ac:dyDescent="0.25">
      <c r="B51" s="82"/>
      <c r="C51" s="14" t="str">
        <f>Entregáveis!C65</f>
        <v>3.1 OBJETIVOS DA ARQUITETURA</v>
      </c>
      <c r="D51" s="97" t="str">
        <f>Entregáveis!D65</f>
        <v>-</v>
      </c>
      <c r="E51" s="250"/>
      <c r="F51" s="251"/>
      <c r="G51" s="251"/>
      <c r="H51" s="251"/>
      <c r="I51" s="251"/>
      <c r="J51" s="252"/>
    </row>
    <row r="52" spans="2:10" x14ac:dyDescent="0.25">
      <c r="B52" s="82"/>
      <c r="C52" s="14" t="str">
        <f>Entregáveis!C66</f>
        <v>3.2 VISÃO FÍSICA</v>
      </c>
      <c r="D52" s="96">
        <f>Entregáveis!D66</f>
        <v>0.3</v>
      </c>
      <c r="E52" s="105"/>
      <c r="F52" s="101">
        <f>IF(ISBLANK(E52),0,VLOOKUP($E52,Parâmetros!$C$2:$D$6,2,FALSE)*D52)</f>
        <v>0</v>
      </c>
      <c r="G52" s="105"/>
      <c r="H52" s="101">
        <f>IF(ISBLANK(G52),0,VLOOKUP($G52,Parâmetros!$C$2:$D$6,2,FALSE)*D52)</f>
        <v>0</v>
      </c>
      <c r="I52" s="144"/>
      <c r="J52" s="144"/>
    </row>
    <row r="53" spans="2:10" x14ac:dyDescent="0.25">
      <c r="B53" s="82"/>
      <c r="C53" s="14" t="str">
        <f>Entregáveis!C67</f>
        <v>3.3 SOFTWARE DE APLICAÇÃO</v>
      </c>
      <c r="D53" s="96">
        <f>Entregáveis!D67</f>
        <v>0.3</v>
      </c>
      <c r="E53" s="105"/>
      <c r="F53" s="101">
        <f>IF(ISBLANK(E53),0,VLOOKUP($E53,Parâmetros!$C$2:$D$6,2,FALSE)*D53)</f>
        <v>0</v>
      </c>
      <c r="G53" s="105"/>
      <c r="H53" s="101">
        <f>IF(ISBLANK(G53),0,VLOOKUP($G53,Parâmetros!$C$2:$D$6,2,FALSE)*D53)</f>
        <v>0</v>
      </c>
      <c r="I53" s="144"/>
      <c r="J53" s="144"/>
    </row>
    <row r="54" spans="2:10" x14ac:dyDescent="0.25">
      <c r="B54" s="84"/>
      <c r="C54" s="56" t="str">
        <f>Entregáveis!C68</f>
        <v>3.4 VISÃO LÓGICA</v>
      </c>
      <c r="D54" s="98">
        <f>Entregáveis!D68</f>
        <v>0.4</v>
      </c>
      <c r="E54" s="105"/>
      <c r="F54" s="101">
        <f>IF(ISBLANK(E54),0,VLOOKUP($E54,Parâmetros!$C$2:$D$6,2,FALSE)*D54)</f>
        <v>0</v>
      </c>
      <c r="G54" s="105"/>
      <c r="H54" s="101">
        <f>IF(ISBLANK(G54),0,VLOOKUP($G54,Parâmetros!$C$2:$D$6,2,FALSE)*D54)</f>
        <v>0</v>
      </c>
      <c r="I54" s="144"/>
      <c r="J54" s="144"/>
    </row>
    <row r="56" spans="2:10" x14ac:dyDescent="0.25">
      <c r="D56" s="100" t="s">
        <v>225</v>
      </c>
      <c r="E56" s="109">
        <f>((SUM(F52:F54)/2) + (SUM(H52:H54)/2))*10</f>
        <v>0</v>
      </c>
    </row>
  </sheetData>
  <sheetProtection password="824A" sheet="1" objects="1" scenarios="1"/>
  <protectedRanges>
    <protectedRange sqref="E14 G22 G28 I29:J29 I22:J22 I28:J28 E29 E43:E44 G43:G44 I43:J44 E52:E54 G52:G54 I52:J54 E22 E28 E24:E27 I37:J41 G37:G41 E37:E41 G24:G27 I24:J27 G29" name="Avaliação"/>
    <protectedRange sqref="E15:E16" name="Avaliação_1"/>
  </protectedRanges>
  <mergeCells count="8">
    <mergeCell ref="B19:C19"/>
    <mergeCell ref="B50:C50"/>
    <mergeCell ref="E51:J51"/>
    <mergeCell ref="E20:J21"/>
    <mergeCell ref="B35:C35"/>
    <mergeCell ref="E42:J42"/>
    <mergeCell ref="E36:J36"/>
    <mergeCell ref="E23:J23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Parâmetros!$C$2:$C$6</xm:f>
          </x14:formula1>
          <xm:sqref>E24:E27 E52:E54 G52:G54 E43:E44 G43:G44 G28 G29 E37:E41 E28 E29 G37:G41 E22 G22 G24:G27</xm:sqref>
        </x14:dataValidation>
        <x14:dataValidation type="list" allowBlank="1" showInputMessage="1" showErrorMessage="1">
          <x14:formula1>
            <xm:f>Parâmetros!$H$2:$H$3</xm:f>
          </x14:formula1>
          <xm:sqref>E15:E16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20</vt:i4>
      </vt:variant>
      <vt:variant>
        <vt:lpstr>Intervalos nomeados</vt:lpstr>
      </vt:variant>
      <vt:variant>
        <vt:i4>7</vt:i4>
      </vt:variant>
    </vt:vector>
  </HeadingPairs>
  <TitlesOfParts>
    <vt:vector size="27" baseType="lpstr">
      <vt:lpstr>Parâmetros</vt:lpstr>
      <vt:lpstr>Cronograma do TCC</vt:lpstr>
      <vt:lpstr>Dados do Projeto</vt:lpstr>
      <vt:lpstr>UCP</vt:lpstr>
      <vt:lpstr>Notas e Faltas</vt:lpstr>
      <vt:lpstr>Acompanhamento</vt:lpstr>
      <vt:lpstr>Entregáveis</vt:lpstr>
      <vt:lpstr>Correção Proposta-PSI1</vt:lpstr>
      <vt:lpstr>Correção AE1-PSI1</vt:lpstr>
      <vt:lpstr>Correção Iteração 1-PSI1</vt:lpstr>
      <vt:lpstr>Correção Iteração 2-PSI1</vt:lpstr>
      <vt:lpstr>Correção Banca Lógica-PSI1</vt:lpstr>
      <vt:lpstr>Avaliação Complementar-PSI1</vt:lpstr>
      <vt:lpstr>Correção Banca Protótipo-PSI2</vt:lpstr>
      <vt:lpstr>Correção Iteração 1-PSI2</vt:lpstr>
      <vt:lpstr>Correção Iteração 2-PSI2</vt:lpstr>
      <vt:lpstr>Correção Banca Física-PSI2</vt:lpstr>
      <vt:lpstr>Avaliação Complementar-PSI2</vt:lpstr>
      <vt:lpstr>Mudança de Escopo</vt:lpstr>
      <vt:lpstr>Histórico de Revisões</vt:lpstr>
      <vt:lpstr>'Cronograma do TCC'!_ftnref1</vt:lpstr>
      <vt:lpstr>'Cronograma do TCC'!_ftnref2</vt:lpstr>
      <vt:lpstr>'Cronograma do TCC'!_ftnref3</vt:lpstr>
      <vt:lpstr>'Cronograma do TCC'!_ftnref4</vt:lpstr>
      <vt:lpstr>'Cronograma do TCC'!_ftnref5</vt:lpstr>
      <vt:lpstr>'Cronograma do TCC'!_ftnref6</vt:lpstr>
      <vt:lpstr>'Cronograma do TCC'!_ftnref7</vt:lpstr>
    </vt:vector>
  </TitlesOfParts>
  <Company>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igor</dc:creator>
  <cp:lastModifiedBy>Luiz Fernando Cruz</cp:lastModifiedBy>
  <dcterms:created xsi:type="dcterms:W3CDTF">2010-01-20T23:51:25Z</dcterms:created>
  <dcterms:modified xsi:type="dcterms:W3CDTF">2014-06-14T01:08:50Z</dcterms:modified>
</cp:coreProperties>
</file>