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2AC42E7E-CD1D-4233-BADD-FF5197C7C10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New_confirmed - ExpPwLaw" sheetId="19" r:id="rId2"/>
    <sheet name="Cumul_confirmed - ExpPwLaw" sheetId="12" r:id="rId3"/>
  </sheets>
  <definedNames>
    <definedName name="_xlcn.WorksheetConnection_COVID19ItalycasestrendBfit.xlsxdpc_covid19_ita_andamento_nazionale1" hidden="1">dpc_covid19_ita_andamento_nazionale</definedName>
    <definedName name="CI">'Cumul_confirmed - ExpPwLaw'!$AG$16</definedName>
    <definedName name="CId">'New_confirmed - ExpPwLaw'!$AG$28</definedName>
    <definedName name="CIh">'Cumul_confirmed - ExpPwLaw'!$AG$40</definedName>
    <definedName name="CIn">'New_confirmed - ExpPwLaw'!$AG$16</definedName>
    <definedName name="CIr">'Cumul_confirmed - ExpPwLaw'!$AG$28</definedName>
    <definedName name="CIt">'New_confirmed - ExpPwLaw'!$AG$40</definedName>
    <definedName name="Critical_t">'Cumul_confirmed - ExpPwLaw'!$AG$15</definedName>
    <definedName name="Critical_td">'New_confirmed - ExpPwLaw'!$AG$27</definedName>
    <definedName name="Critical_th">'Cumul_confirmed - ExpPwLaw'!$AG$39</definedName>
    <definedName name="Critical_tn">'New_confirmed - ExpPwLaw'!$AG$15</definedName>
    <definedName name="Critical_tr">'Cumul_confirmed - ExpPwLaw'!$AG$27</definedName>
    <definedName name="Critical_tt">'New_confirmed - ExpPwLaw'!$AG$39</definedName>
    <definedName name="DatiEsterni_1" localSheetId="0" hidden="1">'dpc-covid19-ita-andamento-naz'!$A$1:$O$47</definedName>
    <definedName name="DatiEsterni_2" localSheetId="0" hidden="1">'dpc-covid19-ita-andamento-naz'!#REF!</definedName>
    <definedName name="df">'Cumul_confirmed - ExpPwLaw'!$AG$12</definedName>
    <definedName name="dfd">'New_confirmed - ExpPwLaw'!$AG$24</definedName>
    <definedName name="dfh">'Cumul_confirmed - ExpPwLaw'!$AG$36</definedName>
    <definedName name="dfn">'New_confirmed - ExpPwLaw'!$AG$12</definedName>
    <definedName name="dfr">'Cumul_confirmed - ExpPwLaw'!$AG$24</definedName>
    <definedName name="dft">'New_confirmed - ExpPwLaw'!$AG$36</definedName>
    <definedName name="dpc_covid19_ita_andamento_nazionale_1" localSheetId="2" hidden="1">'Cumul_confirmed - ExpPwLaw'!#REF!</definedName>
    <definedName name="k">'Cumul_confirmed - ExpPwLaw'!$AG$8</definedName>
    <definedName name="Kd">'New_confirmed - ExpPwLaw'!$AG$20</definedName>
    <definedName name="kh">'Cumul_confirmed - ExpPwLaw'!$AG$32</definedName>
    <definedName name="Kn">'New_confirmed - ExpPwLaw'!$AG$8</definedName>
    <definedName name="kr">'Cumul_confirmed - ExpPwLaw'!$AG$20</definedName>
    <definedName name="kt">'New_confirmed - ExpPwLaw'!$AG$32</definedName>
    <definedName name="Mean_of_y">'Cumul_confirmed - ExpPwLaw'!$AG$11</definedName>
    <definedName name="Mean_of_yd">'New_confirmed - ExpPwLaw'!$AG$23</definedName>
    <definedName name="Mean_of_yh">'Cumul_confirmed - ExpPwLaw'!$AG$35</definedName>
    <definedName name="Mean_of_yn">'New_confirmed - ExpPwLaw'!$AG$11</definedName>
    <definedName name="Mean_of_yr">'Cumul_confirmed - ExpPwLaw'!$AG$23</definedName>
    <definedName name="Mean_of_yt">'New_confirmed - ExpPwLaw'!$AG$35</definedName>
    <definedName name="Peak">'Cumul_confirmed - ExpPwLaw'!$AG$17</definedName>
    <definedName name="Peak_d">'New_confirmed - ExpPwLaw'!$AG$29</definedName>
    <definedName name="Peak_h">'Cumul_confirmed - ExpPwLaw'!$AG$41</definedName>
    <definedName name="Peak_n">'New_confirmed - ExpPwLaw'!$AG$17</definedName>
    <definedName name="Peak_r">'Cumul_confirmed - ExpPwLaw'!$AG$29</definedName>
    <definedName name="Peak_t">'New_confirmed - ExpPwLaw'!$AG$41</definedName>
    <definedName name="RSQ">'Cumul_confirmed - ExpPwLaw'!$AG$14</definedName>
    <definedName name="RSQd">'New_confirmed - ExpPwLaw'!$AG$26</definedName>
    <definedName name="RSQh">'Cumul_confirmed - ExpPwLaw'!$AG$38</definedName>
    <definedName name="RSQn">'New_confirmed - ExpPwLaw'!$AG$14</definedName>
    <definedName name="RSQr">'Cumul_confirmed - ExpPwLaw'!$AG$26</definedName>
    <definedName name="RSQt">'New_confirmed - ExpPwLaw'!$AG$38</definedName>
    <definedName name="SE_of_y">'Cumul_confirmed - ExpPwLaw'!$AG$13</definedName>
    <definedName name="SE_of_yd">'New_confirmed - ExpPwLaw'!$AG$25</definedName>
    <definedName name="SE_of_yh">'Cumul_confirmed - ExpPwLaw'!$AG$37</definedName>
    <definedName name="SE_of_yn">'New_confirmed - ExpPwLaw'!$AG$13</definedName>
    <definedName name="SE_of_yr">'Cumul_confirmed - ExpPwLaw'!$AG$25</definedName>
    <definedName name="SE_of_yt">'New_confirmed - ExpPwLaw'!$AG$37</definedName>
    <definedName name="solver_adj" localSheetId="2" hidden="1">'Cumul_confirmed - ExpPwLaw'!$N$19,'Cumul_confirmed - ExpPwLaw'!$N$20</definedName>
    <definedName name="solver_adj" localSheetId="1" hidden="1">'New_confirmed - ExpPwLaw'!$AG$8,'New_confirmed - ExpPwLaw'!$AG$9,'New_confirmed - ExpPwLaw'!$AG$10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'Cumul_confirmed - ExpPwLaw'!$N$8</definedName>
    <definedName name="solver_lhs1" localSheetId="1" hidden="1">'New_confirmed - ExpPwLaw'!$AG$9</definedName>
    <definedName name="solver_lhs2" localSheetId="2" hidden="1">'Cumul_confirmed - ExpPwLaw'!$N$8</definedName>
    <definedName name="solver_lhs2" localSheetId="1" hidden="1">'New_confirmed - ExpPwLaw'!$AG$9</definedName>
    <definedName name="solver_lhs3" localSheetId="2" hidden="1">'Cumul_confirmed - ExpPwLaw'!$N$9</definedName>
    <definedName name="solver_lin" localSheetId="1" hidden="1">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'Cumul_confirmed - ExpPwLaw'!$N$24</definedName>
    <definedName name="solver_opt" localSheetId="1" hidden="1">'New_confirmed - ExpPwLaw'!$AG$14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1</definedName>
    <definedName name="solver_rel1" localSheetId="2" hidden="1">4</definedName>
    <definedName name="solver_rel1" localSheetId="1" hidden="1">4</definedName>
    <definedName name="solver_rel2" localSheetId="2" hidden="1">4</definedName>
    <definedName name="solver_rel2" localSheetId="1" hidden="1">4</definedName>
    <definedName name="solver_rel3" localSheetId="2" hidden="1">4</definedName>
    <definedName name="solver_rhs1" localSheetId="2" hidden="1">intero</definedName>
    <definedName name="solver_rhs1" localSheetId="1" hidden="1">intero</definedName>
    <definedName name="solver_rhs2" localSheetId="2" hidden="1">intero</definedName>
    <definedName name="solver_rhs2" localSheetId="1" hidden="1">intero</definedName>
    <definedName name="solver_rhs3" localSheetId="2" hidden="1">intero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</definedName>
    <definedName name="solver_tol" localSheetId="1" hidden="1">0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t">'Cumul_confirmed - ExpPwLaw'!$AG$18</definedName>
    <definedName name="t_d">'New_confirmed - ExpPwLaw'!$AG$30</definedName>
    <definedName name="t_h">'Cumul_confirmed - ExpPwLaw'!$AG$42</definedName>
    <definedName name="t_n">'New_confirmed - ExpPwLaw'!$AG$18</definedName>
    <definedName name="t_r">'Cumul_confirmed - ExpPwLaw'!$AG$30</definedName>
    <definedName name="t_t">'New_confirmed - ExpPwLaw'!$AG$42</definedName>
    <definedName name="t0">'Cumul_confirmed - ExpPwLaw'!$AG$9</definedName>
    <definedName name="t0d">'New_confirmed - ExpPwLaw'!$AG$21</definedName>
    <definedName name="t0f">'New_confirmed - ExpPwLaw'!$AF$45</definedName>
    <definedName name="t0h">'Cumul_confirmed - ExpPwLaw'!$AG$33</definedName>
    <definedName name="t0n">'New_confirmed - ExpPwLaw'!$AG$9</definedName>
    <definedName name="t0r">'Cumul_confirmed - ExpPwLaw'!$AG$21</definedName>
    <definedName name="t0t">'New_confirmed - ExpPwLaw'!$AG$33</definedName>
    <definedName name="w">'Cumul_confirmed - ExpPwLaw'!$AG$10</definedName>
    <definedName name="wd">'New_confirmed - ExpPwLaw'!$AG$22</definedName>
    <definedName name="wf">'New_confirmed - ExpPwLaw'!$AF$46</definedName>
    <definedName name="wh">'Cumul_confirmed - ExpPwLaw'!$AG$34</definedName>
    <definedName name="wn">'New_confirmed - ExpPwLaw'!$AG$10</definedName>
    <definedName name="wr">'Cumul_confirmed - ExpPwLaw'!$AG$22</definedName>
    <definedName name="wt">'New_confirmed - ExpPwLaw'!$AG$34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11" i="19" l="1"/>
  <c r="AT10" i="19"/>
  <c r="AT9" i="19"/>
  <c r="AG29" i="12"/>
  <c r="AG41" i="12"/>
  <c r="AT21" i="19"/>
  <c r="AT20" i="19"/>
  <c r="AT19" i="19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8" i="12"/>
  <c r="AG8" i="12"/>
  <c r="AG20" i="12"/>
  <c r="AG32" i="12"/>
  <c r="AT31" i="19"/>
  <c r="AT30" i="19"/>
  <c r="AT29" i="19"/>
  <c r="AG41" i="19"/>
  <c r="AG29" i="19"/>
  <c r="AG17" i="19"/>
  <c r="AA9" i="19"/>
  <c r="AA10" i="19"/>
  <c r="AA11" i="19"/>
  <c r="AA12" i="19"/>
  <c r="AA13" i="19"/>
  <c r="AA14" i="19"/>
  <c r="AA15" i="19"/>
  <c r="AA16" i="19"/>
  <c r="AA17" i="19"/>
  <c r="AA18" i="19"/>
  <c r="AA19" i="19"/>
  <c r="AA20" i="19"/>
  <c r="AA21" i="19"/>
  <c r="AA22" i="19"/>
  <c r="AA23" i="19"/>
  <c r="AA24" i="19"/>
  <c r="AA25" i="19"/>
  <c r="AA26" i="19"/>
  <c r="AA27" i="19"/>
  <c r="AA28" i="19"/>
  <c r="AA29" i="19"/>
  <c r="AA30" i="19"/>
  <c r="AA31" i="19"/>
  <c r="AA32" i="19"/>
  <c r="AA33" i="19"/>
  <c r="AA34" i="19"/>
  <c r="AA35" i="19"/>
  <c r="AA36" i="19"/>
  <c r="AA37" i="19"/>
  <c r="AA38" i="19"/>
  <c r="AA39" i="19"/>
  <c r="AA40" i="19"/>
  <c r="AA41" i="19"/>
  <c r="AA42" i="19"/>
  <c r="AA43" i="19"/>
  <c r="AA44" i="19"/>
  <c r="AA45" i="19"/>
  <c r="AA46" i="19"/>
  <c r="AA47" i="19"/>
  <c r="AA48" i="19"/>
  <c r="AA49" i="19"/>
  <c r="AA50" i="19"/>
  <c r="AA51" i="19"/>
  <c r="AA52" i="19"/>
  <c r="AA53" i="19"/>
  <c r="AA54" i="19"/>
  <c r="AA55" i="19"/>
  <c r="AA56" i="19"/>
  <c r="AA57" i="19"/>
  <c r="AA58" i="19"/>
  <c r="AA59" i="19"/>
  <c r="AA60" i="19"/>
  <c r="AA61" i="19"/>
  <c r="AA62" i="19"/>
  <c r="AA63" i="19"/>
  <c r="AA64" i="19"/>
  <c r="AA65" i="19"/>
  <c r="AA66" i="19"/>
  <c r="AA67" i="19"/>
  <c r="AA68" i="19"/>
  <c r="AA69" i="19"/>
  <c r="AA70" i="19"/>
  <c r="AA71" i="19"/>
  <c r="AA72" i="19"/>
  <c r="AA73" i="19"/>
  <c r="AA74" i="19"/>
  <c r="AA75" i="19"/>
  <c r="AA76" i="19"/>
  <c r="AA77" i="19"/>
  <c r="AA78" i="19"/>
  <c r="AA8" i="19"/>
  <c r="Z9" i="19"/>
  <c r="Z10" i="19"/>
  <c r="Z11" i="19"/>
  <c r="Z12" i="19"/>
  <c r="Z13" i="19"/>
  <c r="Z14" i="19"/>
  <c r="Z15" i="19"/>
  <c r="Z16" i="19"/>
  <c r="Z17" i="19"/>
  <c r="Z18" i="19"/>
  <c r="Z19" i="19"/>
  <c r="Z20" i="19"/>
  <c r="Z21" i="19"/>
  <c r="Z22" i="19"/>
  <c r="Z23" i="19"/>
  <c r="Z24" i="19"/>
  <c r="Z25" i="19"/>
  <c r="Z26" i="19"/>
  <c r="Z27" i="19"/>
  <c r="Z28" i="19"/>
  <c r="Z29" i="19"/>
  <c r="Z30" i="19"/>
  <c r="Z31" i="19"/>
  <c r="Z32" i="19"/>
  <c r="Z33" i="19"/>
  <c r="Z34" i="19"/>
  <c r="Z35" i="19"/>
  <c r="Z36" i="19"/>
  <c r="Z37" i="19"/>
  <c r="Z38" i="19"/>
  <c r="Z39" i="19"/>
  <c r="Z40" i="19"/>
  <c r="Z41" i="19"/>
  <c r="Z42" i="19"/>
  <c r="Z43" i="19"/>
  <c r="Z44" i="19"/>
  <c r="Z45" i="19"/>
  <c r="Z46" i="19"/>
  <c r="Z47" i="19"/>
  <c r="Z48" i="19"/>
  <c r="Z49" i="19"/>
  <c r="Z50" i="19"/>
  <c r="Z51" i="19"/>
  <c r="Z52" i="19"/>
  <c r="Z53" i="19"/>
  <c r="Z54" i="19"/>
  <c r="Z55" i="19"/>
  <c r="Z56" i="19"/>
  <c r="Z57" i="19"/>
  <c r="Z58" i="19"/>
  <c r="Z59" i="19"/>
  <c r="Z60" i="19"/>
  <c r="Z61" i="19"/>
  <c r="Z62" i="19"/>
  <c r="Z63" i="19"/>
  <c r="Z64" i="19"/>
  <c r="Z65" i="19"/>
  <c r="Z66" i="19"/>
  <c r="Z67" i="19"/>
  <c r="Z68" i="19"/>
  <c r="Z69" i="19"/>
  <c r="Z70" i="19"/>
  <c r="Z71" i="19"/>
  <c r="Z72" i="19"/>
  <c r="Z73" i="19"/>
  <c r="Z74" i="19"/>
  <c r="Z75" i="19"/>
  <c r="Z76" i="19"/>
  <c r="Z77" i="19"/>
  <c r="Z78" i="19"/>
  <c r="Z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8" i="19"/>
  <c r="X50" i="12"/>
  <c r="X51" i="12"/>
  <c r="X52" i="12"/>
  <c r="X53" i="12"/>
  <c r="W51" i="12"/>
  <c r="W52" i="12"/>
  <c r="W53" i="12"/>
  <c r="O51" i="12"/>
  <c r="P51" i="12"/>
  <c r="O52" i="12"/>
  <c r="P53" i="12" s="1"/>
  <c r="P52" i="12"/>
  <c r="O53" i="12"/>
  <c r="M51" i="12"/>
  <c r="M52" i="12"/>
  <c r="M53" i="12"/>
  <c r="L51" i="12"/>
  <c r="L52" i="12"/>
  <c r="L53" i="12"/>
  <c r="E51" i="12"/>
  <c r="E52" i="12"/>
  <c r="E53" i="12"/>
  <c r="D51" i="12"/>
  <c r="D52" i="12"/>
  <c r="D53" i="12"/>
  <c r="X51" i="19"/>
  <c r="X52" i="19"/>
  <c r="X53" i="19"/>
  <c r="W50" i="19"/>
  <c r="W51" i="19"/>
  <c r="W52" i="19"/>
  <c r="W53" i="19"/>
  <c r="P51" i="19"/>
  <c r="P52" i="19"/>
  <c r="P53" i="19"/>
  <c r="O51" i="19"/>
  <c r="O52" i="19"/>
  <c r="O53" i="19"/>
  <c r="M51" i="19"/>
  <c r="M52" i="19"/>
  <c r="M53" i="19"/>
  <c r="L51" i="19"/>
  <c r="L52" i="19"/>
  <c r="L53" i="19"/>
  <c r="E51" i="19"/>
  <c r="E52" i="19"/>
  <c r="E53" i="19"/>
  <c r="D51" i="19"/>
  <c r="D52" i="19"/>
  <c r="D53" i="19"/>
  <c r="Y16" i="12" l="1"/>
  <c r="Y17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Q26" i="12"/>
  <c r="Q27" i="12"/>
  <c r="Q29" i="12"/>
  <c r="Q40" i="12"/>
  <c r="Q41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AG34" i="12"/>
  <c r="AG33" i="12"/>
  <c r="AG22" i="12"/>
  <c r="AG21" i="12"/>
  <c r="AG10" i="12"/>
  <c r="AG9" i="12"/>
  <c r="F32" i="12"/>
  <c r="F36" i="12"/>
  <c r="F48" i="12"/>
  <c r="F50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Y52" i="12"/>
  <c r="F52" i="12"/>
  <c r="Y51" i="12"/>
  <c r="W50" i="12"/>
  <c r="O50" i="12"/>
  <c r="M50" i="12"/>
  <c r="L50" i="12"/>
  <c r="E50" i="12"/>
  <c r="D50" i="12"/>
  <c r="W49" i="12"/>
  <c r="Y49" i="12" s="1"/>
  <c r="O49" i="12"/>
  <c r="P50" i="12" s="1"/>
  <c r="M49" i="12"/>
  <c r="L49" i="12"/>
  <c r="E49" i="12"/>
  <c r="D49" i="12"/>
  <c r="F49" i="12" s="1"/>
  <c r="W48" i="12"/>
  <c r="Y48" i="12" s="1"/>
  <c r="O48" i="12"/>
  <c r="Q48" i="12" s="1"/>
  <c r="M48" i="12"/>
  <c r="L48" i="12"/>
  <c r="E48" i="12"/>
  <c r="D48" i="12"/>
  <c r="W47" i="12"/>
  <c r="X48" i="12" s="1"/>
  <c r="P47" i="12"/>
  <c r="O47" i="12"/>
  <c r="Q47" i="12" s="1"/>
  <c r="M47" i="12"/>
  <c r="L47" i="12"/>
  <c r="E47" i="12"/>
  <c r="D47" i="12"/>
  <c r="F47" i="12" s="1"/>
  <c r="W46" i="12"/>
  <c r="O46" i="12"/>
  <c r="Q46" i="12" s="1"/>
  <c r="M46" i="12"/>
  <c r="L46" i="12"/>
  <c r="E46" i="12"/>
  <c r="D46" i="12"/>
  <c r="F46" i="12" s="1"/>
  <c r="X45" i="12"/>
  <c r="W45" i="12"/>
  <c r="Y45" i="12" s="1"/>
  <c r="O45" i="12"/>
  <c r="M45" i="12"/>
  <c r="L45" i="12"/>
  <c r="E45" i="12"/>
  <c r="D45" i="12"/>
  <c r="F45" i="12" s="1"/>
  <c r="W44" i="12"/>
  <c r="Y44" i="12" s="1"/>
  <c r="O44" i="12"/>
  <c r="M44" i="12"/>
  <c r="L44" i="12"/>
  <c r="E44" i="12"/>
  <c r="D44" i="12"/>
  <c r="F44" i="12" s="1"/>
  <c r="W43" i="12"/>
  <c r="X44" i="12" s="1"/>
  <c r="O43" i="12"/>
  <c r="Q43" i="12" s="1"/>
  <c r="M43" i="12"/>
  <c r="L43" i="12"/>
  <c r="E43" i="12"/>
  <c r="D43" i="12"/>
  <c r="W42" i="12"/>
  <c r="O42" i="12"/>
  <c r="Q42" i="12" s="1"/>
  <c r="M42" i="12"/>
  <c r="L42" i="12"/>
  <c r="E42" i="12"/>
  <c r="D42" i="12"/>
  <c r="W41" i="12"/>
  <c r="X42" i="12" s="1"/>
  <c r="P41" i="12"/>
  <c r="O41" i="12"/>
  <c r="M41" i="12"/>
  <c r="L41" i="12"/>
  <c r="E41" i="12"/>
  <c r="D41" i="12"/>
  <c r="W40" i="12"/>
  <c r="Y40" i="12" s="1"/>
  <c r="O40" i="12"/>
  <c r="M40" i="12"/>
  <c r="L40" i="12"/>
  <c r="E40" i="12"/>
  <c r="D40" i="12"/>
  <c r="W39" i="12"/>
  <c r="Y39" i="12" s="1"/>
  <c r="O39" i="12"/>
  <c r="P40" i="12" s="1"/>
  <c r="M39" i="12"/>
  <c r="L39" i="12"/>
  <c r="E39" i="12"/>
  <c r="D39" i="12"/>
  <c r="F39" i="12" s="1"/>
  <c r="W38" i="12"/>
  <c r="O38" i="12"/>
  <c r="Q38" i="12" s="1"/>
  <c r="M38" i="12"/>
  <c r="L38" i="12"/>
  <c r="E38" i="12"/>
  <c r="D38" i="12"/>
  <c r="F38" i="12" s="1"/>
  <c r="W37" i="12"/>
  <c r="Y37" i="12" s="1"/>
  <c r="O37" i="12"/>
  <c r="Q37" i="12" s="1"/>
  <c r="M37" i="12"/>
  <c r="L37" i="12"/>
  <c r="E37" i="12"/>
  <c r="D37" i="12"/>
  <c r="F37" i="12" s="1"/>
  <c r="W36" i="12"/>
  <c r="Y36" i="12" s="1"/>
  <c r="O36" i="12"/>
  <c r="Q36" i="12" s="1"/>
  <c r="M36" i="12"/>
  <c r="L36" i="12"/>
  <c r="E36" i="12"/>
  <c r="D36" i="12"/>
  <c r="W35" i="12"/>
  <c r="X36" i="12" s="1"/>
  <c r="O35" i="12"/>
  <c r="Q35" i="12" s="1"/>
  <c r="M35" i="12"/>
  <c r="L35" i="12"/>
  <c r="E35" i="12"/>
  <c r="D35" i="12"/>
  <c r="W34" i="12"/>
  <c r="Y34" i="12" s="1"/>
  <c r="O34" i="12"/>
  <c r="M34" i="12"/>
  <c r="L34" i="12"/>
  <c r="E34" i="12"/>
  <c r="D34" i="12"/>
  <c r="W33" i="12"/>
  <c r="Y33" i="12" s="1"/>
  <c r="O33" i="12"/>
  <c r="Q33" i="12" s="1"/>
  <c r="M33" i="12"/>
  <c r="L33" i="12"/>
  <c r="E33" i="12"/>
  <c r="D33" i="12"/>
  <c r="F33" i="12" s="1"/>
  <c r="W32" i="12"/>
  <c r="Y32" i="12" s="1"/>
  <c r="O32" i="12"/>
  <c r="P33" i="12" s="1"/>
  <c r="M32" i="12"/>
  <c r="L32" i="12"/>
  <c r="E32" i="12"/>
  <c r="D32" i="12"/>
  <c r="AT31" i="12"/>
  <c r="W31" i="12"/>
  <c r="Y31" i="12" s="1"/>
  <c r="O31" i="12"/>
  <c r="P32" i="12" s="1"/>
  <c r="M31" i="12"/>
  <c r="L31" i="12"/>
  <c r="E31" i="12"/>
  <c r="D31" i="12"/>
  <c r="F31" i="12" s="1"/>
  <c r="AT30" i="12"/>
  <c r="W30" i="12"/>
  <c r="Y30" i="12" s="1"/>
  <c r="P30" i="12"/>
  <c r="O30" i="12"/>
  <c r="Q30" i="12" s="1"/>
  <c r="M30" i="12"/>
  <c r="L30" i="12"/>
  <c r="E30" i="12"/>
  <c r="D30" i="12"/>
  <c r="F30" i="12" s="1"/>
  <c r="W29" i="12"/>
  <c r="Y29" i="12" s="1"/>
  <c r="O29" i="12"/>
  <c r="M29" i="12"/>
  <c r="L29" i="12"/>
  <c r="E29" i="12"/>
  <c r="D29" i="12"/>
  <c r="F29" i="12" s="1"/>
  <c r="W28" i="12"/>
  <c r="Y28" i="12" s="1"/>
  <c r="O28" i="12"/>
  <c r="Q28" i="12" s="1"/>
  <c r="M28" i="12"/>
  <c r="L28" i="12"/>
  <c r="E28" i="12"/>
  <c r="D28" i="12"/>
  <c r="F28" i="12" s="1"/>
  <c r="W27" i="12"/>
  <c r="Y27" i="12" s="1"/>
  <c r="O27" i="12"/>
  <c r="M27" i="12"/>
  <c r="L27" i="12"/>
  <c r="E27" i="12"/>
  <c r="D27" i="12"/>
  <c r="F27" i="12" s="1"/>
  <c r="W26" i="12"/>
  <c r="X27" i="12" s="1"/>
  <c r="O26" i="12"/>
  <c r="P27" i="12" s="1"/>
  <c r="M26" i="12"/>
  <c r="L26" i="12"/>
  <c r="E26" i="12"/>
  <c r="D26" i="12"/>
  <c r="W25" i="12"/>
  <c r="O25" i="12"/>
  <c r="M25" i="12"/>
  <c r="L25" i="12"/>
  <c r="E25" i="12"/>
  <c r="D25" i="12"/>
  <c r="F25" i="12" s="1"/>
  <c r="W24" i="12"/>
  <c r="Y24" i="12" s="1"/>
  <c r="O24" i="12"/>
  <c r="Q24" i="12" s="1"/>
  <c r="M24" i="12"/>
  <c r="L24" i="12"/>
  <c r="E24" i="12"/>
  <c r="D24" i="12"/>
  <c r="AT23" i="12"/>
  <c r="W23" i="12"/>
  <c r="O23" i="12"/>
  <c r="P24" i="12" s="1"/>
  <c r="M23" i="12"/>
  <c r="L23" i="12"/>
  <c r="E23" i="12"/>
  <c r="D23" i="12"/>
  <c r="F23" i="12" s="1"/>
  <c r="AT22" i="12"/>
  <c r="W22" i="12"/>
  <c r="O22" i="12"/>
  <c r="P22" i="12" s="1"/>
  <c r="M22" i="12"/>
  <c r="L22" i="12"/>
  <c r="E22" i="12"/>
  <c r="D22" i="12"/>
  <c r="F22" i="12" s="1"/>
  <c r="AT21" i="12"/>
  <c r="W21" i="12"/>
  <c r="Y21" i="12" s="1"/>
  <c r="P21" i="12"/>
  <c r="O21" i="12"/>
  <c r="Q21" i="12" s="1"/>
  <c r="M21" i="12"/>
  <c r="L21" i="12"/>
  <c r="E21" i="12"/>
  <c r="D21" i="12"/>
  <c r="F21" i="12" s="1"/>
  <c r="AT20" i="12"/>
  <c r="W20" i="12"/>
  <c r="X20" i="12" s="1"/>
  <c r="O20" i="12"/>
  <c r="Q20" i="12" s="1"/>
  <c r="M20" i="12"/>
  <c r="L20" i="12"/>
  <c r="E20" i="12"/>
  <c r="D20" i="12"/>
  <c r="F20" i="12" s="1"/>
  <c r="W19" i="12"/>
  <c r="Y19" i="12" s="1"/>
  <c r="O19" i="12"/>
  <c r="M19" i="12"/>
  <c r="L19" i="12"/>
  <c r="E19" i="12"/>
  <c r="D19" i="12"/>
  <c r="F19" i="12" s="1"/>
  <c r="W18" i="12"/>
  <c r="O18" i="12"/>
  <c r="P19" i="12" s="1"/>
  <c r="M18" i="12"/>
  <c r="L18" i="12"/>
  <c r="E18" i="12"/>
  <c r="D18" i="12"/>
  <c r="F18" i="12" s="1"/>
  <c r="W17" i="12"/>
  <c r="O17" i="12"/>
  <c r="M17" i="12"/>
  <c r="L17" i="12"/>
  <c r="E17" i="12"/>
  <c r="D17" i="12"/>
  <c r="W16" i="12"/>
  <c r="O16" i="12"/>
  <c r="P17" i="12" s="1"/>
  <c r="M16" i="12"/>
  <c r="L16" i="12"/>
  <c r="E16" i="12"/>
  <c r="D16" i="12"/>
  <c r="W15" i="12"/>
  <c r="Y15" i="12" s="1"/>
  <c r="O15" i="12"/>
  <c r="M15" i="12"/>
  <c r="L15" i="12"/>
  <c r="E15" i="12"/>
  <c r="D15" i="12"/>
  <c r="W14" i="12"/>
  <c r="Y14" i="12" s="1"/>
  <c r="O14" i="12"/>
  <c r="M14" i="12"/>
  <c r="L14" i="12"/>
  <c r="E14" i="12"/>
  <c r="D14" i="12"/>
  <c r="AT13" i="12"/>
  <c r="W13" i="12"/>
  <c r="O13" i="12"/>
  <c r="P14" i="12" s="1"/>
  <c r="M13" i="12"/>
  <c r="L13" i="12"/>
  <c r="E13" i="12"/>
  <c r="D13" i="12"/>
  <c r="AT12" i="12"/>
  <c r="W12" i="12"/>
  <c r="Y12" i="12" s="1"/>
  <c r="O12" i="12"/>
  <c r="Q12" i="12" s="1"/>
  <c r="M12" i="12"/>
  <c r="L12" i="12"/>
  <c r="E12" i="12"/>
  <c r="D12" i="12"/>
  <c r="AT11" i="12"/>
  <c r="W11" i="12"/>
  <c r="X12" i="12" s="1"/>
  <c r="O11" i="12"/>
  <c r="Q11" i="12" s="1"/>
  <c r="M11" i="12"/>
  <c r="L11" i="12"/>
  <c r="E11" i="12"/>
  <c r="D11" i="12"/>
  <c r="AT10" i="12"/>
  <c r="W10" i="12"/>
  <c r="Y10" i="12" s="1"/>
  <c r="O10" i="12"/>
  <c r="M10" i="12"/>
  <c r="L10" i="12"/>
  <c r="E10" i="12"/>
  <c r="D10" i="12"/>
  <c r="F10" i="12" s="1"/>
  <c r="W9" i="12"/>
  <c r="Y9" i="12" s="1"/>
  <c r="O9" i="12"/>
  <c r="Q9" i="12" s="1"/>
  <c r="M9" i="12"/>
  <c r="L9" i="12"/>
  <c r="E9" i="12"/>
  <c r="D9" i="12"/>
  <c r="F9" i="12" s="1"/>
  <c r="C9" i="12"/>
  <c r="W8" i="12"/>
  <c r="Y8" i="12" s="1"/>
  <c r="O8" i="12"/>
  <c r="Q8" i="12" s="1"/>
  <c r="M8" i="12"/>
  <c r="L8" i="12"/>
  <c r="E8" i="12"/>
  <c r="D8" i="12"/>
  <c r="H143" i="12"/>
  <c r="D143" i="12"/>
  <c r="H142" i="12"/>
  <c r="D142" i="12"/>
  <c r="H141" i="12"/>
  <c r="D141" i="12"/>
  <c r="H140" i="12"/>
  <c r="D140" i="12"/>
  <c r="H139" i="12"/>
  <c r="D139" i="12"/>
  <c r="H138" i="12"/>
  <c r="D138" i="12"/>
  <c r="H137" i="12"/>
  <c r="D137" i="12"/>
  <c r="H136" i="12"/>
  <c r="D136" i="12"/>
  <c r="H135" i="12"/>
  <c r="D135" i="12"/>
  <c r="H134" i="12"/>
  <c r="D134" i="12"/>
  <c r="H133" i="12"/>
  <c r="D133" i="12"/>
  <c r="H132" i="12"/>
  <c r="D132" i="12"/>
  <c r="H131" i="12"/>
  <c r="D131" i="12"/>
  <c r="H130" i="12"/>
  <c r="D130" i="12"/>
  <c r="H129" i="12"/>
  <c r="D129" i="12"/>
  <c r="H128" i="12"/>
  <c r="D128" i="12"/>
  <c r="H127" i="12"/>
  <c r="D127" i="12"/>
  <c r="H126" i="12"/>
  <c r="D126" i="12"/>
  <c r="H125" i="12"/>
  <c r="D125" i="12"/>
  <c r="H124" i="12"/>
  <c r="D124" i="12"/>
  <c r="H123" i="12"/>
  <c r="D123" i="12"/>
  <c r="H122" i="12"/>
  <c r="D122" i="12"/>
  <c r="H121" i="12"/>
  <c r="D121" i="12"/>
  <c r="H120" i="12"/>
  <c r="D120" i="12"/>
  <c r="H119" i="12"/>
  <c r="D119" i="12"/>
  <c r="H118" i="12"/>
  <c r="D118" i="12"/>
  <c r="H117" i="12"/>
  <c r="D117" i="12"/>
  <c r="H116" i="12"/>
  <c r="D116" i="12"/>
  <c r="H115" i="12"/>
  <c r="D115" i="12"/>
  <c r="AB114" i="12"/>
  <c r="H114" i="12"/>
  <c r="D114" i="12"/>
  <c r="AB113" i="12"/>
  <c r="H113" i="12"/>
  <c r="D113" i="12"/>
  <c r="AB112" i="12"/>
  <c r="H112" i="12"/>
  <c r="D112" i="12"/>
  <c r="AB111" i="12"/>
  <c r="H111" i="12"/>
  <c r="D111" i="12"/>
  <c r="H110" i="12"/>
  <c r="D110" i="12"/>
  <c r="H109" i="12"/>
  <c r="D109" i="12"/>
  <c r="H108" i="12"/>
  <c r="D108" i="12"/>
  <c r="H107" i="12"/>
  <c r="D107" i="12"/>
  <c r="H106" i="12"/>
  <c r="D106" i="12"/>
  <c r="H105" i="12"/>
  <c r="D105" i="12"/>
  <c r="AB104" i="12"/>
  <c r="H104" i="12"/>
  <c r="D104" i="12"/>
  <c r="AB103" i="12"/>
  <c r="H103" i="12"/>
  <c r="D103" i="12"/>
  <c r="N102" i="12" s="1"/>
  <c r="AB102" i="12"/>
  <c r="AB101" i="12"/>
  <c r="O50" i="19"/>
  <c r="Q52" i="19"/>
  <c r="M50" i="19"/>
  <c r="L50" i="19"/>
  <c r="E50" i="19"/>
  <c r="D50" i="19"/>
  <c r="Y8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Y77" i="19"/>
  <c r="Y78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8" i="19"/>
  <c r="AT9" i="12" l="1"/>
  <c r="G72" i="12"/>
  <c r="I72" i="12" s="1"/>
  <c r="H23" i="12"/>
  <c r="H30" i="12"/>
  <c r="H31" i="12"/>
  <c r="H35" i="12"/>
  <c r="H19" i="12"/>
  <c r="H42" i="12"/>
  <c r="H43" i="12"/>
  <c r="H47" i="12"/>
  <c r="H55" i="12"/>
  <c r="H59" i="12"/>
  <c r="H54" i="12"/>
  <c r="H66" i="12"/>
  <c r="H67" i="12"/>
  <c r="H71" i="12"/>
  <c r="H78" i="12"/>
  <c r="H8" i="12"/>
  <c r="G12" i="12"/>
  <c r="I12" i="12" s="1"/>
  <c r="G19" i="12"/>
  <c r="I19" i="12" s="1"/>
  <c r="G20" i="12"/>
  <c r="I20" i="12" s="1"/>
  <c r="G24" i="12"/>
  <c r="I24" i="12" s="1"/>
  <c r="G31" i="12"/>
  <c r="I31" i="12" s="1"/>
  <c r="G32" i="12"/>
  <c r="I32" i="12" s="1"/>
  <c r="G36" i="12"/>
  <c r="I36" i="12" s="1"/>
  <c r="G43" i="12"/>
  <c r="I43" i="12" s="1"/>
  <c r="G44" i="12"/>
  <c r="I44" i="12" s="1"/>
  <c r="G48" i="12"/>
  <c r="I48" i="12" s="1"/>
  <c r="G55" i="12"/>
  <c r="I55" i="12" s="1"/>
  <c r="G56" i="12"/>
  <c r="I56" i="12" s="1"/>
  <c r="G60" i="12"/>
  <c r="I60" i="12" s="1"/>
  <c r="G67" i="12"/>
  <c r="I67" i="12" s="1"/>
  <c r="G68" i="12"/>
  <c r="I68" i="12" s="1"/>
  <c r="H13" i="12"/>
  <c r="H25" i="12"/>
  <c r="H37" i="12"/>
  <c r="H49" i="12"/>
  <c r="H61" i="12"/>
  <c r="H73" i="12"/>
  <c r="G14" i="12"/>
  <c r="I14" i="12" s="1"/>
  <c r="G26" i="12"/>
  <c r="I26" i="12" s="1"/>
  <c r="G38" i="12"/>
  <c r="I38" i="12" s="1"/>
  <c r="G50" i="12"/>
  <c r="I50" i="12" s="1"/>
  <c r="G62" i="12"/>
  <c r="I62" i="12" s="1"/>
  <c r="G74" i="12"/>
  <c r="I74" i="12" s="1"/>
  <c r="H14" i="12"/>
  <c r="H26" i="12"/>
  <c r="H38" i="12"/>
  <c r="H50" i="12"/>
  <c r="H62" i="12"/>
  <c r="H74" i="12"/>
  <c r="G15" i="12"/>
  <c r="I15" i="12" s="1"/>
  <c r="G27" i="12"/>
  <c r="I27" i="12" s="1"/>
  <c r="G39" i="12"/>
  <c r="G51" i="12"/>
  <c r="I51" i="12" s="1"/>
  <c r="G63" i="12"/>
  <c r="I63" i="12" s="1"/>
  <c r="G75" i="12"/>
  <c r="I75" i="12" s="1"/>
  <c r="H15" i="12"/>
  <c r="H27" i="12"/>
  <c r="H39" i="12"/>
  <c r="H51" i="12"/>
  <c r="H63" i="12"/>
  <c r="H75" i="12"/>
  <c r="G16" i="12"/>
  <c r="I16" i="12" s="1"/>
  <c r="G28" i="12"/>
  <c r="I28" i="12" s="1"/>
  <c r="G40" i="12"/>
  <c r="I40" i="12" s="1"/>
  <c r="G52" i="12"/>
  <c r="I52" i="12" s="1"/>
  <c r="G64" i="12"/>
  <c r="I64" i="12" s="1"/>
  <c r="G76" i="12"/>
  <c r="I76" i="12" s="1"/>
  <c r="H16" i="12"/>
  <c r="H28" i="12"/>
  <c r="H40" i="12"/>
  <c r="H52" i="12"/>
  <c r="H64" i="12"/>
  <c r="H76" i="12"/>
  <c r="G17" i="12"/>
  <c r="I17" i="12" s="1"/>
  <c r="G29" i="12"/>
  <c r="I29" i="12" s="1"/>
  <c r="G41" i="12"/>
  <c r="I41" i="12" s="1"/>
  <c r="G53" i="12"/>
  <c r="I53" i="12" s="1"/>
  <c r="G65" i="12"/>
  <c r="I65" i="12" s="1"/>
  <c r="G77" i="12"/>
  <c r="I77" i="12" s="1"/>
  <c r="AG17" i="12"/>
  <c r="H17" i="12"/>
  <c r="H29" i="12"/>
  <c r="H41" i="12"/>
  <c r="H53" i="12"/>
  <c r="H65" i="12"/>
  <c r="H77" i="12"/>
  <c r="G18" i="12"/>
  <c r="I18" i="12" s="1"/>
  <c r="G30" i="12"/>
  <c r="I30" i="12" s="1"/>
  <c r="G42" i="12"/>
  <c r="I42" i="12" s="1"/>
  <c r="G54" i="12"/>
  <c r="I54" i="12" s="1"/>
  <c r="G66" i="12"/>
  <c r="I66" i="12" s="1"/>
  <c r="G78" i="12"/>
  <c r="I78" i="12" s="1"/>
  <c r="H72" i="12"/>
  <c r="H20" i="12"/>
  <c r="H32" i="12"/>
  <c r="H44" i="12"/>
  <c r="H56" i="12"/>
  <c r="H68" i="12"/>
  <c r="G9" i="12"/>
  <c r="I9" i="12" s="1"/>
  <c r="G21" i="12"/>
  <c r="G33" i="12"/>
  <c r="I33" i="12" s="1"/>
  <c r="G45" i="12"/>
  <c r="I45" i="12" s="1"/>
  <c r="G57" i="12"/>
  <c r="I57" i="12" s="1"/>
  <c r="G69" i="12"/>
  <c r="I69" i="12" s="1"/>
  <c r="H9" i="12"/>
  <c r="H21" i="12"/>
  <c r="H33" i="12"/>
  <c r="H45" i="12"/>
  <c r="H57" i="12"/>
  <c r="H69" i="12"/>
  <c r="G10" i="12"/>
  <c r="I10" i="12" s="1"/>
  <c r="G22" i="12"/>
  <c r="I22" i="12" s="1"/>
  <c r="G34" i="12"/>
  <c r="I34" i="12" s="1"/>
  <c r="G46" i="12"/>
  <c r="I46" i="12" s="1"/>
  <c r="G58" i="12"/>
  <c r="I58" i="12" s="1"/>
  <c r="G70" i="12"/>
  <c r="I70" i="12" s="1"/>
  <c r="G13" i="12"/>
  <c r="I13" i="12" s="1"/>
  <c r="H10" i="12"/>
  <c r="H22" i="12"/>
  <c r="H34" i="12"/>
  <c r="H46" i="12"/>
  <c r="H58" i="12"/>
  <c r="H70" i="12"/>
  <c r="G11" i="12"/>
  <c r="I11" i="12" s="1"/>
  <c r="G23" i="12"/>
  <c r="I23" i="12" s="1"/>
  <c r="G35" i="12"/>
  <c r="I35" i="12" s="1"/>
  <c r="G47" i="12"/>
  <c r="I47" i="12" s="1"/>
  <c r="G59" i="12"/>
  <c r="I59" i="12" s="1"/>
  <c r="G71" i="12"/>
  <c r="I71" i="12" s="1"/>
  <c r="H12" i="12"/>
  <c r="H24" i="12"/>
  <c r="H36" i="12"/>
  <c r="H48" i="12"/>
  <c r="H60" i="12"/>
  <c r="G25" i="12"/>
  <c r="I25" i="12" s="1"/>
  <c r="G37" i="12"/>
  <c r="I37" i="12" s="1"/>
  <c r="G49" i="12"/>
  <c r="I49" i="12" s="1"/>
  <c r="G61" i="12"/>
  <c r="I61" i="12" s="1"/>
  <c r="G73" i="12"/>
  <c r="I73" i="12" s="1"/>
  <c r="G8" i="12"/>
  <c r="I8" i="12" s="1"/>
  <c r="H11" i="12"/>
  <c r="H18" i="12"/>
  <c r="S8" i="12"/>
  <c r="R66" i="12"/>
  <c r="T66" i="12" s="1"/>
  <c r="R31" i="12"/>
  <c r="T31" i="12" s="1"/>
  <c r="R21" i="12"/>
  <c r="T21" i="12" s="1"/>
  <c r="S34" i="12"/>
  <c r="R23" i="12"/>
  <c r="T23" i="12" s="1"/>
  <c r="S30" i="12"/>
  <c r="S20" i="12"/>
  <c r="S21" i="12"/>
  <c r="S11" i="12"/>
  <c r="S12" i="12"/>
  <c r="S13" i="12"/>
  <c r="S14" i="12"/>
  <c r="S15" i="12"/>
  <c r="S16" i="12"/>
  <c r="S41" i="12"/>
  <c r="S42" i="12"/>
  <c r="R32" i="12"/>
  <c r="T32" i="12" s="1"/>
  <c r="R72" i="12"/>
  <c r="T72" i="12" s="1"/>
  <c r="S29" i="12"/>
  <c r="S32" i="12"/>
  <c r="S33" i="12"/>
  <c r="S23" i="12"/>
  <c r="S24" i="12"/>
  <c r="S25" i="12"/>
  <c r="S26" i="12"/>
  <c r="S27" i="12"/>
  <c r="S28" i="12"/>
  <c r="S53" i="12"/>
  <c r="S54" i="12"/>
  <c r="AT19" i="12"/>
  <c r="R73" i="12"/>
  <c r="T73" i="12" s="1"/>
  <c r="S31" i="12"/>
  <c r="S44" i="12"/>
  <c r="S45" i="12"/>
  <c r="S35" i="12"/>
  <c r="S36" i="12"/>
  <c r="S37" i="12"/>
  <c r="S38" i="12"/>
  <c r="S39" i="12"/>
  <c r="S40" i="12"/>
  <c r="S65" i="12"/>
  <c r="S66" i="12"/>
  <c r="R74" i="12"/>
  <c r="T74" i="12" s="1"/>
  <c r="S43" i="12"/>
  <c r="S56" i="12"/>
  <c r="S57" i="12"/>
  <c r="S47" i="12"/>
  <c r="S48" i="12"/>
  <c r="S49" i="12"/>
  <c r="S50" i="12"/>
  <c r="S51" i="12"/>
  <c r="S52" i="12"/>
  <c r="S77" i="12"/>
  <c r="S78" i="12"/>
  <c r="S9" i="12"/>
  <c r="R76" i="12"/>
  <c r="T76" i="12" s="1"/>
  <c r="S55" i="12"/>
  <c r="S68" i="12"/>
  <c r="S10" i="12"/>
  <c r="S59" i="12"/>
  <c r="S60" i="12"/>
  <c r="S61" i="12"/>
  <c r="S62" i="12"/>
  <c r="S63" i="12"/>
  <c r="S64" i="12"/>
  <c r="R18" i="12"/>
  <c r="T18" i="12" s="1"/>
  <c r="R19" i="12"/>
  <c r="T19" i="12" s="1"/>
  <c r="R68" i="12"/>
  <c r="T68" i="12" s="1"/>
  <c r="R75" i="12"/>
  <c r="T75" i="12" s="1"/>
  <c r="S67" i="12"/>
  <c r="R9" i="12"/>
  <c r="T9" i="12" s="1"/>
  <c r="S22" i="12"/>
  <c r="S71" i="12"/>
  <c r="S72" i="12"/>
  <c r="S73" i="12"/>
  <c r="S74" i="12"/>
  <c r="S75" i="12"/>
  <c r="S76" i="12"/>
  <c r="R30" i="12"/>
  <c r="T30" i="12" s="1"/>
  <c r="R12" i="12"/>
  <c r="T12" i="12" s="1"/>
  <c r="R13" i="12"/>
  <c r="T13" i="12" s="1"/>
  <c r="R14" i="12"/>
  <c r="T14" i="12" s="1"/>
  <c r="R15" i="12"/>
  <c r="T15" i="12" s="1"/>
  <c r="R16" i="12"/>
  <c r="T16" i="12" s="1"/>
  <c r="R17" i="12"/>
  <c r="T17" i="12" s="1"/>
  <c r="R42" i="12"/>
  <c r="T42" i="12" s="1"/>
  <c r="R43" i="12"/>
  <c r="T43" i="12" s="1"/>
  <c r="S69" i="12"/>
  <c r="R10" i="12"/>
  <c r="T10" i="12" s="1"/>
  <c r="R22" i="12"/>
  <c r="T22" i="12" s="1"/>
  <c r="R34" i="12"/>
  <c r="T34" i="12" s="1"/>
  <c r="R46" i="12"/>
  <c r="T46" i="12" s="1"/>
  <c r="R58" i="12"/>
  <c r="T58" i="12" s="1"/>
  <c r="R70" i="12"/>
  <c r="T70" i="12" s="1"/>
  <c r="R35" i="12"/>
  <c r="T35" i="12" s="1"/>
  <c r="R47" i="12"/>
  <c r="T47" i="12" s="1"/>
  <c r="R59" i="12"/>
  <c r="T59" i="12" s="1"/>
  <c r="R71" i="12"/>
  <c r="T71" i="12" s="1"/>
  <c r="R65" i="12"/>
  <c r="T65" i="12" s="1"/>
  <c r="R77" i="12"/>
  <c r="T77" i="12" s="1"/>
  <c r="R20" i="12"/>
  <c r="T20" i="12" s="1"/>
  <c r="R33" i="12"/>
  <c r="T33" i="12" s="1"/>
  <c r="S46" i="12"/>
  <c r="R24" i="12"/>
  <c r="T24" i="12" s="1"/>
  <c r="R25" i="12"/>
  <c r="T25" i="12" s="1"/>
  <c r="R26" i="12"/>
  <c r="T26" i="12" s="1"/>
  <c r="R27" i="12"/>
  <c r="T27" i="12" s="1"/>
  <c r="R28" i="12"/>
  <c r="T28" i="12" s="1"/>
  <c r="R29" i="12"/>
  <c r="T29" i="12" s="1"/>
  <c r="R54" i="12"/>
  <c r="T54" i="12" s="1"/>
  <c r="R55" i="12"/>
  <c r="T55" i="12" s="1"/>
  <c r="R45" i="12"/>
  <c r="T45" i="12" s="1"/>
  <c r="R36" i="12"/>
  <c r="T36" i="12" s="1"/>
  <c r="R38" i="12"/>
  <c r="T38" i="12" s="1"/>
  <c r="R40" i="12"/>
  <c r="T40" i="12" s="1"/>
  <c r="R67" i="12"/>
  <c r="T67" i="12" s="1"/>
  <c r="R44" i="12"/>
  <c r="T44" i="12" s="1"/>
  <c r="R57" i="12"/>
  <c r="T57" i="12" s="1"/>
  <c r="S70" i="12"/>
  <c r="R48" i="12"/>
  <c r="T48" i="12" s="1"/>
  <c r="R49" i="12"/>
  <c r="T49" i="12" s="1"/>
  <c r="R50" i="12"/>
  <c r="T50" i="12" s="1"/>
  <c r="R51" i="12"/>
  <c r="T51" i="12" s="1"/>
  <c r="R52" i="12"/>
  <c r="T52" i="12" s="1"/>
  <c r="R53" i="12"/>
  <c r="T53" i="12" s="1"/>
  <c r="R78" i="12"/>
  <c r="T78" i="12" s="1"/>
  <c r="R8" i="12"/>
  <c r="T8" i="12" s="1"/>
  <c r="S58" i="12"/>
  <c r="R37" i="12"/>
  <c r="T37" i="12" s="1"/>
  <c r="R39" i="12"/>
  <c r="T39" i="12" s="1"/>
  <c r="R41" i="12"/>
  <c r="T41" i="12" s="1"/>
  <c r="R56" i="12"/>
  <c r="T56" i="12" s="1"/>
  <c r="R69" i="12"/>
  <c r="T69" i="12" s="1"/>
  <c r="R11" i="12"/>
  <c r="T11" i="12" s="1"/>
  <c r="R60" i="12"/>
  <c r="T60" i="12" s="1"/>
  <c r="R61" i="12"/>
  <c r="T61" i="12" s="1"/>
  <c r="R62" i="12"/>
  <c r="T62" i="12" s="1"/>
  <c r="R63" i="12"/>
  <c r="T63" i="12" s="1"/>
  <c r="R64" i="12"/>
  <c r="T64" i="12" s="1"/>
  <c r="S17" i="12"/>
  <c r="S18" i="12"/>
  <c r="S19" i="12"/>
  <c r="AT29" i="12"/>
  <c r="P35" i="12"/>
  <c r="AG12" i="12"/>
  <c r="AG15" i="12" s="1"/>
  <c r="P11" i="12"/>
  <c r="P39" i="12"/>
  <c r="F26" i="12"/>
  <c r="I21" i="12"/>
  <c r="Q34" i="12"/>
  <c r="P46" i="12"/>
  <c r="F24" i="12"/>
  <c r="I39" i="12"/>
  <c r="Q52" i="12"/>
  <c r="F43" i="12"/>
  <c r="F17" i="12"/>
  <c r="Q51" i="12"/>
  <c r="Q17" i="12"/>
  <c r="Y41" i="12"/>
  <c r="P38" i="12"/>
  <c r="F42" i="12"/>
  <c r="F11" i="12"/>
  <c r="Q50" i="12"/>
  <c r="Q15" i="12"/>
  <c r="X17" i="12"/>
  <c r="X19" i="12"/>
  <c r="X24" i="12"/>
  <c r="X39" i="12"/>
  <c r="F41" i="12"/>
  <c r="Q44" i="12"/>
  <c r="Q14" i="12"/>
  <c r="X26" i="12"/>
  <c r="Q39" i="12"/>
  <c r="X11" i="12"/>
  <c r="P13" i="12"/>
  <c r="X14" i="12"/>
  <c r="X25" i="12"/>
  <c r="P28" i="12"/>
  <c r="X35" i="12"/>
  <c r="F40" i="12"/>
  <c r="F16" i="12"/>
  <c r="AG11" i="12"/>
  <c r="Q49" i="12"/>
  <c r="Q25" i="12"/>
  <c r="Q13" i="12"/>
  <c r="P23" i="12"/>
  <c r="X28" i="12"/>
  <c r="X33" i="12"/>
  <c r="P37" i="12"/>
  <c r="X40" i="12"/>
  <c r="F51" i="12"/>
  <c r="F15" i="12"/>
  <c r="Y50" i="12"/>
  <c r="Y38" i="12"/>
  <c r="Y26" i="12"/>
  <c r="P10" i="12"/>
  <c r="P9" i="12"/>
  <c r="X15" i="12"/>
  <c r="P20" i="12"/>
  <c r="P29" i="12"/>
  <c r="P34" i="12"/>
  <c r="X43" i="12"/>
  <c r="P44" i="12"/>
  <c r="F14" i="12"/>
  <c r="Q23" i="12"/>
  <c r="Y25" i="12"/>
  <c r="Y13" i="12"/>
  <c r="X38" i="12"/>
  <c r="Y52" i="19"/>
  <c r="P12" i="12"/>
  <c r="X23" i="12"/>
  <c r="X30" i="12"/>
  <c r="X37" i="12"/>
  <c r="F13" i="12"/>
  <c r="AG23" i="12"/>
  <c r="Q22" i="12"/>
  <c r="Q10" i="12"/>
  <c r="P31" i="12"/>
  <c r="X34" i="12"/>
  <c r="X47" i="12"/>
  <c r="P49" i="12"/>
  <c r="F12" i="12"/>
  <c r="AG24" i="12"/>
  <c r="AG27" i="12" s="1"/>
  <c r="Q45" i="12"/>
  <c r="Y47" i="12"/>
  <c r="Y35" i="12"/>
  <c r="Y23" i="12"/>
  <c r="Y11" i="12"/>
  <c r="N103" i="12"/>
  <c r="F35" i="12"/>
  <c r="Q32" i="12"/>
  <c r="Y46" i="12"/>
  <c r="Y22" i="12"/>
  <c r="AB9" i="12"/>
  <c r="N114" i="12"/>
  <c r="F34" i="12"/>
  <c r="Q31" i="12"/>
  <c r="Q19" i="12"/>
  <c r="AG35" i="12"/>
  <c r="X21" i="12"/>
  <c r="Q18" i="12"/>
  <c r="Y20" i="12"/>
  <c r="AB8" i="12"/>
  <c r="AG36" i="12"/>
  <c r="AG39" i="12" s="1"/>
  <c r="F8" i="12"/>
  <c r="Y43" i="12"/>
  <c r="Q16" i="12"/>
  <c r="Y42" i="12"/>
  <c r="Y18" i="12"/>
  <c r="X13" i="12"/>
  <c r="X16" i="12"/>
  <c r="X32" i="12"/>
  <c r="P26" i="12"/>
  <c r="P25" i="12"/>
  <c r="P16" i="12"/>
  <c r="P15" i="12"/>
  <c r="P18" i="12"/>
  <c r="X9" i="12"/>
  <c r="X10" i="12"/>
  <c r="X22" i="12"/>
  <c r="X31" i="12"/>
  <c r="P36" i="12"/>
  <c r="C10" i="12"/>
  <c r="X18" i="12"/>
  <c r="P43" i="12"/>
  <c r="P42" i="12"/>
  <c r="X29" i="12"/>
  <c r="X41" i="12"/>
  <c r="P45" i="12"/>
  <c r="X46" i="12"/>
  <c r="P48" i="12"/>
  <c r="X49" i="12"/>
  <c r="N113" i="12"/>
  <c r="N8" i="12" l="1"/>
  <c r="AG26" i="12" a="1"/>
  <c r="AG26" i="12" s="1"/>
  <c r="AG14" i="12" a="1"/>
  <c r="AG14" i="12" s="1"/>
  <c r="AG13" i="12" a="1"/>
  <c r="AG13" i="12" s="1"/>
  <c r="AG16" i="12" s="1"/>
  <c r="AG25" i="12" a="1"/>
  <c r="AG25" i="12" s="1"/>
  <c r="AG28" i="12" s="1"/>
  <c r="E133" i="12"/>
  <c r="E114" i="12"/>
  <c r="E141" i="12"/>
  <c r="E127" i="12"/>
  <c r="E121" i="12"/>
  <c r="E132" i="12"/>
  <c r="E129" i="12"/>
  <c r="E104" i="12"/>
  <c r="E160" i="12"/>
  <c r="E154" i="12"/>
  <c r="E148" i="12"/>
  <c r="N108" i="12"/>
  <c r="E101" i="12"/>
  <c r="E119" i="12"/>
  <c r="E103" i="12"/>
  <c r="E142" i="12"/>
  <c r="E107" i="12"/>
  <c r="E109" i="12"/>
  <c r="E162" i="12"/>
  <c r="E131" i="12"/>
  <c r="E118" i="12"/>
  <c r="E134" i="12"/>
  <c r="E156" i="12"/>
  <c r="E125" i="12"/>
  <c r="E136" i="12"/>
  <c r="E161" i="12"/>
  <c r="E117" i="12"/>
  <c r="E149" i="12"/>
  <c r="E106" i="12"/>
  <c r="E108" i="12"/>
  <c r="E159" i="12"/>
  <c r="E153" i="12"/>
  <c r="E128" i="12"/>
  <c r="C11" i="12"/>
  <c r="AB10" i="12"/>
  <c r="N9" i="12"/>
  <c r="E157" i="12" s="1"/>
  <c r="J22" i="12" l="1"/>
  <c r="J52" i="12"/>
  <c r="K52" i="12"/>
  <c r="K53" i="12"/>
  <c r="J53" i="12"/>
  <c r="V53" i="12"/>
  <c r="U53" i="12"/>
  <c r="J42" i="12"/>
  <c r="J29" i="12"/>
  <c r="K43" i="12"/>
  <c r="J38" i="12"/>
  <c r="J47" i="12"/>
  <c r="J10" i="12"/>
  <c r="J16" i="12"/>
  <c r="K31" i="12"/>
  <c r="J26" i="12"/>
  <c r="K40" i="12"/>
  <c r="J35" i="12"/>
  <c r="J20" i="12"/>
  <c r="K9" i="12"/>
  <c r="J34" i="12"/>
  <c r="K19" i="12"/>
  <c r="J23" i="12"/>
  <c r="K49" i="12"/>
  <c r="K22" i="12"/>
  <c r="J13" i="12"/>
  <c r="J30" i="12"/>
  <c r="J18" i="12"/>
  <c r="K37" i="12"/>
  <c r="J14" i="12"/>
  <c r="K47" i="12"/>
  <c r="K8" i="12"/>
  <c r="K27" i="12"/>
  <c r="J17" i="12"/>
  <c r="K36" i="12"/>
  <c r="K28" i="12"/>
  <c r="K48" i="12"/>
  <c r="J31" i="12"/>
  <c r="J51" i="12"/>
  <c r="K16" i="12"/>
  <c r="J11" i="12"/>
  <c r="J44" i="12"/>
  <c r="K44" i="12"/>
  <c r="J39" i="12"/>
  <c r="K41" i="12"/>
  <c r="J48" i="12"/>
  <c r="K24" i="12"/>
  <c r="K25" i="12"/>
  <c r="K35" i="12"/>
  <c r="K23" i="12"/>
  <c r="K32" i="12"/>
  <c r="J27" i="12"/>
  <c r="K29" i="12"/>
  <c r="J36" i="12"/>
  <c r="K50" i="12"/>
  <c r="K13" i="12"/>
  <c r="K11" i="12"/>
  <c r="J43" i="12"/>
  <c r="K20" i="12"/>
  <c r="J15" i="12"/>
  <c r="K17" i="12"/>
  <c r="J24" i="12"/>
  <c r="K38" i="12"/>
  <c r="J45" i="12"/>
  <c r="J19" i="12"/>
  <c r="K45" i="12"/>
  <c r="J8" i="12"/>
  <c r="J49" i="12"/>
  <c r="J12" i="12"/>
  <c r="K26" i="12"/>
  <c r="J33" i="12"/>
  <c r="K46" i="12"/>
  <c r="K33" i="12"/>
  <c r="J40" i="12"/>
  <c r="K42" i="12"/>
  <c r="J37" i="12"/>
  <c r="K51" i="12"/>
  <c r="K14" i="12"/>
  <c r="J21" i="12"/>
  <c r="K34" i="12"/>
  <c r="K21" i="12"/>
  <c r="J28" i="12"/>
  <c r="K30" i="12"/>
  <c r="J25" i="12"/>
  <c r="K39" i="12"/>
  <c r="J46" i="12"/>
  <c r="J9" i="12"/>
  <c r="K18" i="12"/>
  <c r="K10" i="12"/>
  <c r="J41" i="12"/>
  <c r="K12" i="12"/>
  <c r="J50" i="12"/>
  <c r="J32" i="12"/>
  <c r="K15" i="12"/>
  <c r="V9" i="12"/>
  <c r="V21" i="12"/>
  <c r="V33" i="12"/>
  <c r="V45" i="12"/>
  <c r="U12" i="12"/>
  <c r="U24" i="12"/>
  <c r="U36" i="12"/>
  <c r="U48" i="12"/>
  <c r="U11" i="12"/>
  <c r="V10" i="12"/>
  <c r="V22" i="12"/>
  <c r="V34" i="12"/>
  <c r="V46" i="12"/>
  <c r="U13" i="12"/>
  <c r="U25" i="12"/>
  <c r="U37" i="12"/>
  <c r="U49" i="12"/>
  <c r="U35" i="12"/>
  <c r="V11" i="12"/>
  <c r="V23" i="12"/>
  <c r="V35" i="12"/>
  <c r="V47" i="12"/>
  <c r="U14" i="12"/>
  <c r="U26" i="12"/>
  <c r="U38" i="12"/>
  <c r="U50" i="12"/>
  <c r="U47" i="12"/>
  <c r="V12" i="12"/>
  <c r="V24" i="12"/>
  <c r="V36" i="12"/>
  <c r="V48" i="12"/>
  <c r="U15" i="12"/>
  <c r="U27" i="12"/>
  <c r="U39" i="12"/>
  <c r="U51" i="12"/>
  <c r="V44" i="12"/>
  <c r="V13" i="12"/>
  <c r="V25" i="12"/>
  <c r="V37" i="12"/>
  <c r="V49" i="12"/>
  <c r="U16" i="12"/>
  <c r="U28" i="12"/>
  <c r="U40" i="12"/>
  <c r="U52" i="12"/>
  <c r="V14" i="12"/>
  <c r="V26" i="12"/>
  <c r="V38" i="12"/>
  <c r="V50" i="12"/>
  <c r="U17" i="12"/>
  <c r="U29" i="12"/>
  <c r="U41" i="12"/>
  <c r="U8" i="12"/>
  <c r="V15" i="12"/>
  <c r="V27" i="12"/>
  <c r="V39" i="12"/>
  <c r="V51" i="12"/>
  <c r="U18" i="12"/>
  <c r="U30" i="12"/>
  <c r="U42" i="12"/>
  <c r="V20" i="12"/>
  <c r="V16" i="12"/>
  <c r="V28" i="12"/>
  <c r="V40" i="12"/>
  <c r="V52" i="12"/>
  <c r="U19" i="12"/>
  <c r="U31" i="12"/>
  <c r="U43" i="12"/>
  <c r="U23" i="12"/>
  <c r="V17" i="12"/>
  <c r="V29" i="12"/>
  <c r="V41" i="12"/>
  <c r="V8" i="12"/>
  <c r="U20" i="12"/>
  <c r="U32" i="12"/>
  <c r="U44" i="12"/>
  <c r="V31" i="12"/>
  <c r="U10" i="12"/>
  <c r="U34" i="12"/>
  <c r="U46" i="12"/>
  <c r="V18" i="12"/>
  <c r="V30" i="12"/>
  <c r="V42" i="12"/>
  <c r="U9" i="12"/>
  <c r="U21" i="12"/>
  <c r="U33" i="12"/>
  <c r="U45" i="12"/>
  <c r="V19" i="12"/>
  <c r="V43" i="12"/>
  <c r="U22" i="12"/>
  <c r="V32" i="12"/>
  <c r="N10" i="12"/>
  <c r="AB11" i="12"/>
  <c r="C12" i="12"/>
  <c r="E124" i="12"/>
  <c r="E146" i="12"/>
  <c r="E120" i="12"/>
  <c r="E130" i="12"/>
  <c r="E144" i="12"/>
  <c r="E135" i="12"/>
  <c r="E152" i="12"/>
  <c r="E123" i="12"/>
  <c r="E138" i="12"/>
  <c r="E102" i="12"/>
  <c r="E147" i="12"/>
  <c r="E150" i="12"/>
  <c r="E158" i="12"/>
  <c r="E126" i="12"/>
  <c r="E99" i="12"/>
  <c r="E122" i="12"/>
  <c r="E155" i="12"/>
  <c r="E100" i="12"/>
  <c r="E113" i="12"/>
  <c r="E140" i="12"/>
  <c r="E145" i="12"/>
  <c r="E110" i="12"/>
  <c r="E105" i="12"/>
  <c r="E112" i="12"/>
  <c r="E115" i="12"/>
  <c r="E143" i="12"/>
  <c r="E151" i="12"/>
  <c r="E139" i="12"/>
  <c r="E111" i="12"/>
  <c r="AB100" i="12"/>
  <c r="E137" i="12"/>
  <c r="E116" i="12"/>
  <c r="N11" i="12" l="1"/>
  <c r="N106" i="12" s="1"/>
  <c r="C13" i="12"/>
  <c r="N105" i="12" a="1"/>
  <c r="N105" i="12" s="1"/>
  <c r="N104" i="12" a="1"/>
  <c r="N104" i="12" s="1"/>
  <c r="AB12" i="12" l="1"/>
  <c r="N12" i="12"/>
  <c r="C14" i="12"/>
  <c r="AB13" i="12" l="1"/>
  <c r="N13" i="12"/>
  <c r="AB99" i="12" s="1"/>
  <c r="C15" i="12"/>
  <c r="AB14" i="12" l="1"/>
  <c r="C16" i="12"/>
  <c r="N14" i="12"/>
  <c r="N107" i="12" s="1"/>
  <c r="AB15" i="12" l="1"/>
  <c r="N15" i="12"/>
  <c r="C17" i="12"/>
  <c r="AB16" i="12" l="1"/>
  <c r="C18" i="12"/>
  <c r="F127" i="12"/>
  <c r="F134" i="12"/>
  <c r="G107" i="12"/>
  <c r="G103" i="12"/>
  <c r="G117" i="12"/>
  <c r="G141" i="12"/>
  <c r="F107" i="12"/>
  <c r="F103" i="12"/>
  <c r="F117" i="12"/>
  <c r="G114" i="12"/>
  <c r="G128" i="12"/>
  <c r="G131" i="12"/>
  <c r="F114" i="12"/>
  <c r="F128" i="12"/>
  <c r="F131" i="12"/>
  <c r="F118" i="12"/>
  <c r="F125" i="12"/>
  <c r="F136" i="12"/>
  <c r="F101" i="12"/>
  <c r="G101" i="12"/>
  <c r="G118" i="12"/>
  <c r="G121" i="12"/>
  <c r="G129" i="12"/>
  <c r="G125" i="12"/>
  <c r="G108" i="12"/>
  <c r="G119" i="12"/>
  <c r="F121" i="12"/>
  <c r="F129" i="12"/>
  <c r="G109" i="12"/>
  <c r="F108" i="12"/>
  <c r="F119" i="12"/>
  <c r="G133" i="12"/>
  <c r="F109" i="12"/>
  <c r="F142" i="12"/>
  <c r="G106" i="12"/>
  <c r="G104" i="12"/>
  <c r="F133" i="12"/>
  <c r="G132" i="12"/>
  <c r="G134" i="12"/>
  <c r="F141" i="12"/>
  <c r="G142" i="12"/>
  <c r="F106" i="12"/>
  <c r="F104" i="12"/>
  <c r="F132" i="12"/>
  <c r="G127" i="12"/>
  <c r="G136" i="12"/>
  <c r="G115" i="12"/>
  <c r="G123" i="12"/>
  <c r="G139" i="12"/>
  <c r="F123" i="12"/>
  <c r="G112" i="12"/>
  <c r="F115" i="12"/>
  <c r="F124" i="12"/>
  <c r="F130" i="12"/>
  <c r="G137" i="12"/>
  <c r="G126" i="12"/>
  <c r="G140" i="12"/>
  <c r="F100" i="12"/>
  <c r="G122" i="12"/>
  <c r="F137" i="12"/>
  <c r="F126" i="12"/>
  <c r="G138" i="12"/>
  <c r="G102" i="12"/>
  <c r="F116" i="12"/>
  <c r="G99" i="12"/>
  <c r="F139" i="12"/>
  <c r="F140" i="12"/>
  <c r="G100" i="12"/>
  <c r="F122" i="12"/>
  <c r="G105" i="12"/>
  <c r="F99" i="12"/>
  <c r="F111" i="12"/>
  <c r="F112" i="12"/>
  <c r="G113" i="12"/>
  <c r="F102" i="12"/>
  <c r="G120" i="12"/>
  <c r="F105" i="12"/>
  <c r="F110" i="12"/>
  <c r="F138" i="12"/>
  <c r="F113" i="12"/>
  <c r="F120" i="12"/>
  <c r="G110" i="12"/>
  <c r="F135" i="12"/>
  <c r="F143" i="12"/>
  <c r="G111" i="12"/>
  <c r="G124" i="12"/>
  <c r="G130" i="12"/>
  <c r="G135" i="12"/>
  <c r="G143" i="12"/>
  <c r="G116" i="12"/>
  <c r="N16" i="12"/>
  <c r="AB17" i="12" l="1"/>
  <c r="C19" i="12"/>
  <c r="N17" i="12"/>
  <c r="AB18" i="12" l="1"/>
  <c r="N18" i="12"/>
  <c r="C20" i="12"/>
  <c r="AB19" i="12" l="1"/>
  <c r="N19" i="12"/>
  <c r="C21" i="12"/>
  <c r="AB20" i="12" l="1"/>
  <c r="I160" i="12"/>
  <c r="I154" i="12"/>
  <c r="I131" i="12"/>
  <c r="I115" i="12"/>
  <c r="I111" i="12"/>
  <c r="I120" i="12"/>
  <c r="I110" i="12"/>
  <c r="C22" i="12"/>
  <c r="N20" i="12"/>
  <c r="I148" i="12" s="1"/>
  <c r="AB21" i="12" l="1"/>
  <c r="I142" i="12"/>
  <c r="N21" i="12"/>
  <c r="C23" i="12"/>
  <c r="I105" i="12"/>
  <c r="I158" i="12"/>
  <c r="I150" i="12"/>
  <c r="I151" i="12"/>
  <c r="I162" i="12"/>
  <c r="I129" i="12"/>
  <c r="I159" i="12"/>
  <c r="I118" i="12"/>
  <c r="I119" i="12"/>
  <c r="I123" i="12"/>
  <c r="I127" i="12"/>
  <c r="I121" i="12"/>
  <c r="I153" i="12"/>
  <c r="I114" i="12"/>
  <c r="I145" i="12"/>
  <c r="I141" i="12"/>
  <c r="I116" i="12"/>
  <c r="AB110" i="12"/>
  <c r="I144" i="12"/>
  <c r="I146" i="12"/>
  <c r="I108" i="12"/>
  <c r="I126" i="12"/>
  <c r="I130" i="12"/>
  <c r="I132" i="12"/>
  <c r="I157" i="12"/>
  <c r="I137" i="12"/>
  <c r="I133" i="12"/>
  <c r="I117" i="12"/>
  <c r="I156" i="12"/>
  <c r="I140" i="12"/>
  <c r="I135" i="12"/>
  <c r="I109" i="12"/>
  <c r="I102" i="12"/>
  <c r="I103" i="12"/>
  <c r="I149" i="12"/>
  <c r="N119" i="12"/>
  <c r="I134" i="12"/>
  <c r="I107" i="12"/>
  <c r="I139" i="12"/>
  <c r="I124" i="12"/>
  <c r="I122" i="12"/>
  <c r="I101" i="12"/>
  <c r="I152" i="12"/>
  <c r="I138" i="12"/>
  <c r="I143" i="12"/>
  <c r="I104" i="12"/>
  <c r="I113" i="12"/>
  <c r="I100" i="12"/>
  <c r="I125" i="12"/>
  <c r="I106" i="12"/>
  <c r="I147" i="12"/>
  <c r="I155" i="12"/>
  <c r="I161" i="12"/>
  <c r="I99" i="12"/>
  <c r="I136" i="12"/>
  <c r="I112" i="12"/>
  <c r="I128" i="12"/>
  <c r="AB22" i="12" l="1"/>
  <c r="C24" i="12"/>
  <c r="N116" i="12" a="1"/>
  <c r="N116" i="12" s="1"/>
  <c r="N115" i="12" a="1"/>
  <c r="N115" i="12" s="1"/>
  <c r="N22" i="12"/>
  <c r="N117" i="12" s="1"/>
  <c r="AB23" i="12" l="1"/>
  <c r="N23" i="12"/>
  <c r="C25" i="12"/>
  <c r="AB24" i="12" l="1"/>
  <c r="N24" i="12"/>
  <c r="AB109" i="12" s="1"/>
  <c r="C26" i="12"/>
  <c r="AB25" i="12" l="1"/>
  <c r="N25" i="12"/>
  <c r="C27" i="12"/>
  <c r="AB26" i="12" l="1"/>
  <c r="N26" i="12"/>
  <c r="C28" i="12"/>
  <c r="AB27" i="12" l="1"/>
  <c r="N27" i="12"/>
  <c r="C29" i="12"/>
  <c r="AB28" i="12" l="1"/>
  <c r="N28" i="12"/>
  <c r="C30" i="12"/>
  <c r="AB29" i="12" l="1"/>
  <c r="N29" i="12"/>
  <c r="C31" i="12"/>
  <c r="AB30" i="12" l="1"/>
  <c r="N30" i="12"/>
  <c r="C32" i="12"/>
  <c r="AB31" i="12" l="1"/>
  <c r="C33" i="12"/>
  <c r="N31" i="12"/>
  <c r="AB32" i="12" l="1"/>
  <c r="N32" i="12"/>
  <c r="C34" i="12"/>
  <c r="AB33" i="12" l="1"/>
  <c r="N33" i="12"/>
  <c r="C35" i="12"/>
  <c r="AB34" i="12" l="1"/>
  <c r="C36" i="12"/>
  <c r="N34" i="12"/>
  <c r="AB35" i="12" l="1"/>
  <c r="N35" i="12"/>
  <c r="C37" i="12"/>
  <c r="AB36" i="12" l="1"/>
  <c r="N36" i="12"/>
  <c r="C38" i="12"/>
  <c r="AB37" i="12" l="1"/>
  <c r="C39" i="12"/>
  <c r="N37" i="12"/>
  <c r="AB38" i="12" l="1"/>
  <c r="N38" i="12"/>
  <c r="C40" i="12"/>
  <c r="AB39" i="12" l="1"/>
  <c r="C41" i="12"/>
  <c r="N39" i="12"/>
  <c r="AB40" i="12" l="1"/>
  <c r="N40" i="12"/>
  <c r="C42" i="12"/>
  <c r="AB41" i="12" l="1"/>
  <c r="C43" i="12"/>
  <c r="N41" i="12"/>
  <c r="AB42" i="12" l="1"/>
  <c r="N42" i="12"/>
  <c r="C44" i="12"/>
  <c r="AB43" i="12" l="1"/>
  <c r="C45" i="12"/>
  <c r="N43" i="12"/>
  <c r="AB44" i="12" l="1"/>
  <c r="C46" i="12"/>
  <c r="N44" i="12"/>
  <c r="AB45" i="12" l="1"/>
  <c r="C47" i="12"/>
  <c r="N45" i="12"/>
  <c r="AB46" i="12" l="1"/>
  <c r="C48" i="12"/>
  <c r="N46" i="12"/>
  <c r="AB47" i="12" l="1"/>
  <c r="C49" i="12"/>
  <c r="N47" i="12"/>
  <c r="AB48" i="12" l="1"/>
  <c r="C50" i="12"/>
  <c r="N48" i="12"/>
  <c r="AB49" i="12" l="1"/>
  <c r="N49" i="12"/>
  <c r="C51" i="12"/>
  <c r="AB50" i="12" l="1"/>
  <c r="C52" i="12"/>
  <c r="N50" i="12"/>
  <c r="AB51" i="12" l="1"/>
  <c r="N51" i="12"/>
  <c r="C53" i="12"/>
  <c r="AB52" i="12" l="1"/>
  <c r="N52" i="12"/>
  <c r="C54" i="12"/>
  <c r="AB53" i="12" l="1"/>
  <c r="AB54" i="12"/>
  <c r="C55" i="12"/>
  <c r="N53" i="12"/>
  <c r="N54" i="12" l="1"/>
  <c r="C56" i="12"/>
  <c r="AB55" i="12"/>
  <c r="N55" i="12" l="1"/>
  <c r="C57" i="12"/>
  <c r="AB56" i="12"/>
  <c r="N56" i="12" l="1"/>
  <c r="C58" i="12"/>
  <c r="AB57" i="12"/>
  <c r="C59" i="12" l="1"/>
  <c r="AB58" i="12"/>
  <c r="N57" i="12"/>
  <c r="C60" i="12" l="1"/>
  <c r="AB59" i="12"/>
  <c r="N58" i="12"/>
  <c r="N59" i="12" l="1"/>
  <c r="AB60" i="12"/>
  <c r="C61" i="12"/>
  <c r="C62" i="12" l="1"/>
  <c r="AB61" i="12"/>
  <c r="N60" i="12"/>
  <c r="N61" i="12" l="1"/>
  <c r="C63" i="12"/>
  <c r="AB62" i="12"/>
  <c r="C64" i="12" l="1"/>
  <c r="AB63" i="12"/>
  <c r="N62" i="12"/>
  <c r="C65" i="12" l="1"/>
  <c r="AB64" i="12"/>
  <c r="N63" i="12"/>
  <c r="C66" i="12" l="1"/>
  <c r="AB65" i="12"/>
  <c r="N64" i="12"/>
  <c r="N65" i="12" l="1"/>
  <c r="AB66" i="12"/>
  <c r="C67" i="12"/>
  <c r="C68" i="12" l="1"/>
  <c r="AB67" i="12"/>
  <c r="N66" i="12"/>
  <c r="N67" i="12" l="1"/>
  <c r="C69" i="12"/>
  <c r="AB68" i="12"/>
  <c r="C70" i="12" l="1"/>
  <c r="AB69" i="12"/>
  <c r="N68" i="12"/>
  <c r="C71" i="12" l="1"/>
  <c r="AB70" i="12"/>
  <c r="N69" i="12"/>
  <c r="C72" i="12" l="1"/>
  <c r="AB71" i="12"/>
  <c r="N70" i="12"/>
  <c r="N71" i="12" l="1"/>
  <c r="AB72" i="12"/>
  <c r="C73" i="12"/>
  <c r="C74" i="12" l="1"/>
  <c r="AB73" i="12"/>
  <c r="N72" i="12"/>
  <c r="N73" i="12" l="1"/>
  <c r="C75" i="12"/>
  <c r="AB74" i="12"/>
  <c r="C76" i="12" l="1"/>
  <c r="AB75" i="12"/>
  <c r="N74" i="12"/>
  <c r="C77" i="12" l="1"/>
  <c r="AB76" i="12"/>
  <c r="N75" i="12"/>
  <c r="C78" i="12" l="1"/>
  <c r="AB77" i="12"/>
  <c r="N76" i="12"/>
  <c r="N77" i="12" l="1"/>
  <c r="AB78" i="12"/>
  <c r="AG38" i="12" l="1" a="1"/>
  <c r="AG38" i="12" s="1"/>
  <c r="AT28" i="12" s="1"/>
  <c r="AG37" i="12" a="1"/>
  <c r="AG37" i="12" s="1"/>
  <c r="AT18" i="12"/>
  <c r="N78" i="12"/>
  <c r="AG40" i="12" l="1"/>
  <c r="N118" i="12"/>
  <c r="AT8" i="12"/>
  <c r="AC9" i="12" l="1"/>
  <c r="AD8" i="12"/>
  <c r="AC8" i="12"/>
  <c r="AC10" i="12"/>
  <c r="AD10" i="12"/>
  <c r="AD9" i="12"/>
  <c r="AD11" i="12"/>
  <c r="AC11" i="12"/>
  <c r="AC12" i="12"/>
  <c r="AD12" i="12"/>
  <c r="AD13" i="12"/>
  <c r="AC13" i="12"/>
  <c r="AC14" i="12"/>
  <c r="AD14" i="12"/>
  <c r="AC15" i="12"/>
  <c r="AD15" i="12"/>
  <c r="AC16" i="12"/>
  <c r="AD16" i="12"/>
  <c r="AD17" i="12"/>
  <c r="AC17" i="12"/>
  <c r="AC18" i="12"/>
  <c r="AD18" i="12"/>
  <c r="AC19" i="12"/>
  <c r="AD19" i="12"/>
  <c r="AC20" i="12"/>
  <c r="AD20" i="12"/>
  <c r="AC21" i="12"/>
  <c r="AD21" i="12"/>
  <c r="AC22" i="12"/>
  <c r="AD22" i="12"/>
  <c r="AC23" i="12"/>
  <c r="AD23" i="12"/>
  <c r="AD24" i="12"/>
  <c r="AC24" i="12"/>
  <c r="AD25" i="12"/>
  <c r="AC25" i="12"/>
  <c r="AD26" i="12"/>
  <c r="AC26" i="12"/>
  <c r="J111" i="12"/>
  <c r="K122" i="12"/>
  <c r="J132" i="12"/>
  <c r="K133" i="12"/>
  <c r="K129" i="12"/>
  <c r="J117" i="12"/>
  <c r="K137" i="12"/>
  <c r="K116" i="12"/>
  <c r="K101" i="12"/>
  <c r="K127" i="12"/>
  <c r="K124" i="12"/>
  <c r="K131" i="12"/>
  <c r="J140" i="12"/>
  <c r="AD27" i="12"/>
  <c r="J106" i="12"/>
  <c r="K136" i="12"/>
  <c r="K100" i="12"/>
  <c r="J141" i="12"/>
  <c r="J114" i="12"/>
  <c r="K121" i="12"/>
  <c r="J113" i="12"/>
  <c r="K109" i="12"/>
  <c r="K108" i="12"/>
  <c r="K140" i="12"/>
  <c r="J128" i="12"/>
  <c r="K111" i="12"/>
  <c r="K123" i="12"/>
  <c r="J119" i="12"/>
  <c r="K107" i="12"/>
  <c r="J100" i="12"/>
  <c r="J121" i="12"/>
  <c r="AC27" i="12"/>
  <c r="J99" i="12"/>
  <c r="K125" i="12"/>
  <c r="J122" i="12"/>
  <c r="K114" i="12"/>
  <c r="K103" i="12"/>
  <c r="J116" i="12"/>
  <c r="K128" i="12"/>
  <c r="K112" i="12"/>
  <c r="K130" i="12"/>
  <c r="J137" i="12"/>
  <c r="J127" i="12"/>
  <c r="J110" i="12"/>
  <c r="J143" i="12"/>
  <c r="J125" i="12"/>
  <c r="J136" i="12"/>
  <c r="J101" i="12"/>
  <c r="J135" i="12"/>
  <c r="K126" i="12"/>
  <c r="K105" i="12"/>
  <c r="J104" i="12"/>
  <c r="K143" i="12"/>
  <c r="J142" i="12"/>
  <c r="J103" i="12"/>
  <c r="J126" i="12"/>
  <c r="K134" i="12"/>
  <c r="K120" i="12"/>
  <c r="K141" i="12"/>
  <c r="J120" i="12"/>
  <c r="J130" i="12"/>
  <c r="K135" i="12"/>
  <c r="K138" i="12"/>
  <c r="K104" i="12"/>
  <c r="J118" i="12"/>
  <c r="J129" i="12"/>
  <c r="J108" i="12"/>
  <c r="K118" i="12"/>
  <c r="J105" i="12"/>
  <c r="K106" i="12"/>
  <c r="J139" i="12"/>
  <c r="K113" i="12"/>
  <c r="K142" i="12"/>
  <c r="J115" i="12"/>
  <c r="J134" i="12"/>
  <c r="J138" i="12"/>
  <c r="J112" i="12"/>
  <c r="K102" i="12"/>
  <c r="J109" i="12"/>
  <c r="J123" i="12"/>
  <c r="K139" i="12"/>
  <c r="J124" i="12"/>
  <c r="K99" i="12"/>
  <c r="K117" i="12"/>
  <c r="K119" i="12"/>
  <c r="J107" i="12"/>
  <c r="K110" i="12"/>
  <c r="J131" i="12"/>
  <c r="J133" i="12"/>
  <c r="K115" i="12"/>
  <c r="K132" i="12"/>
  <c r="J102" i="12"/>
  <c r="AD28" i="12"/>
  <c r="AC28" i="12"/>
  <c r="AD29" i="12"/>
  <c r="AC29" i="12"/>
  <c r="AD30" i="12"/>
  <c r="AC30" i="12"/>
  <c r="AC31" i="12"/>
  <c r="AD31" i="12"/>
  <c r="AC32" i="12"/>
  <c r="AD32" i="12"/>
  <c r="AC33" i="12"/>
  <c r="AD33" i="12"/>
  <c r="AD34" i="12"/>
  <c r="AC34" i="12"/>
  <c r="AD35" i="12"/>
  <c r="AC35" i="12"/>
  <c r="AD36" i="12"/>
  <c r="AC36" i="12"/>
  <c r="AC37" i="12"/>
  <c r="AD37" i="12"/>
  <c r="AC38" i="12"/>
  <c r="AD38" i="12"/>
  <c r="AC39" i="12"/>
  <c r="AD39" i="12"/>
  <c r="AC40" i="12"/>
  <c r="AD40" i="12"/>
  <c r="AC41" i="12"/>
  <c r="AD41" i="12"/>
  <c r="AC42" i="12"/>
  <c r="AD42" i="12"/>
  <c r="AC43" i="12"/>
  <c r="AD43" i="12"/>
  <c r="AD44" i="12"/>
  <c r="AC44" i="12"/>
  <c r="AC45" i="12"/>
  <c r="AD45" i="12"/>
  <c r="AC46" i="12"/>
  <c r="AD46" i="12"/>
  <c r="AC47" i="12"/>
  <c r="AD47" i="12"/>
  <c r="AC48" i="12"/>
  <c r="AD48" i="12"/>
  <c r="AD49" i="12"/>
  <c r="AC49" i="12"/>
  <c r="AD50" i="12"/>
  <c r="AC50" i="12"/>
  <c r="AD51" i="12"/>
  <c r="AC51" i="12"/>
  <c r="AD52" i="12"/>
  <c r="AC52" i="12"/>
  <c r="AD53" i="12"/>
  <c r="AC53" i="12"/>
  <c r="F68" i="19"/>
  <c r="F69" i="19"/>
  <c r="F70" i="19"/>
  <c r="F71" i="19"/>
  <c r="F72" i="19"/>
  <c r="F73" i="19"/>
  <c r="F74" i="19"/>
  <c r="F75" i="19"/>
  <c r="F76" i="19"/>
  <c r="F77" i="19"/>
  <c r="F78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AB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X50" i="19" s="1"/>
  <c r="T8" i="19"/>
  <c r="N8" i="19"/>
  <c r="W8" i="19"/>
  <c r="O49" i="19"/>
  <c r="P50" i="19" s="1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P28" i="19" s="1"/>
  <c r="Q28" i="19" s="1"/>
  <c r="O29" i="19"/>
  <c r="O30" i="19"/>
  <c r="O31" i="19"/>
  <c r="O32" i="19"/>
  <c r="O33" i="19"/>
  <c r="O34" i="19"/>
  <c r="O35" i="19"/>
  <c r="O36" i="19"/>
  <c r="O37" i="19"/>
  <c r="O38" i="19"/>
  <c r="O39" i="19"/>
  <c r="O40" i="19"/>
  <c r="P40" i="19" s="1"/>
  <c r="Q40" i="19" s="1"/>
  <c r="O41" i="19"/>
  <c r="O42" i="19"/>
  <c r="O43" i="19"/>
  <c r="O44" i="19"/>
  <c r="O45" i="19"/>
  <c r="O46" i="19"/>
  <c r="O47" i="19"/>
  <c r="O48" i="19"/>
  <c r="O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8" i="19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F50" i="19"/>
  <c r="F51" i="19"/>
  <c r="D48" i="19"/>
  <c r="D49" i="19"/>
  <c r="E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8" i="19"/>
  <c r="C10" i="19"/>
  <c r="C9" i="19"/>
  <c r="P16" i="19" l="1"/>
  <c r="Q16" i="19" s="1"/>
  <c r="AG12" i="19"/>
  <c r="P42" i="19"/>
  <c r="Q42" i="19" s="1"/>
  <c r="P30" i="19"/>
  <c r="Q30" i="19" s="1"/>
  <c r="P18" i="19"/>
  <c r="Q18" i="19" s="1"/>
  <c r="X41" i="19"/>
  <c r="Y41" i="19" s="1"/>
  <c r="C11" i="19"/>
  <c r="N9" i="19"/>
  <c r="F8" i="19"/>
  <c r="AG11" i="19"/>
  <c r="X46" i="19"/>
  <c r="Y46" i="19" s="1"/>
  <c r="X34" i="19"/>
  <c r="Y34" i="19" s="1"/>
  <c r="X22" i="19"/>
  <c r="Y22" i="19" s="1"/>
  <c r="X10" i="19"/>
  <c r="Y10" i="19" s="1"/>
  <c r="X29" i="19"/>
  <c r="Y29" i="19" s="1"/>
  <c r="X44" i="19"/>
  <c r="Y44" i="19" s="1"/>
  <c r="X32" i="19"/>
  <c r="Y32" i="19" s="1"/>
  <c r="X49" i="19"/>
  <c r="Y49" i="19" s="1"/>
  <c r="X37" i="19"/>
  <c r="Y37" i="19" s="1"/>
  <c r="X25" i="19"/>
  <c r="Y25" i="19" s="1"/>
  <c r="X13" i="19"/>
  <c r="Y13" i="19" s="1"/>
  <c r="I8" i="19"/>
  <c r="P47" i="19"/>
  <c r="Q47" i="19" s="1"/>
  <c r="P35" i="19"/>
  <c r="Q35" i="19" s="1"/>
  <c r="P23" i="19"/>
  <c r="Q23" i="19" s="1"/>
  <c r="P11" i="19"/>
  <c r="Q11" i="19" s="1"/>
  <c r="P45" i="19"/>
  <c r="Q45" i="19" s="1"/>
  <c r="P33" i="19"/>
  <c r="Q33" i="19" s="1"/>
  <c r="P21" i="19"/>
  <c r="Q21" i="19" s="1"/>
  <c r="X20" i="19"/>
  <c r="Y20" i="19" s="1"/>
  <c r="P31" i="19"/>
  <c r="Q31" i="19" s="1"/>
  <c r="P19" i="19"/>
  <c r="Q19" i="19" s="1"/>
  <c r="X42" i="19"/>
  <c r="Y42" i="19" s="1"/>
  <c r="X30" i="19"/>
  <c r="Y30" i="19" s="1"/>
  <c r="X18" i="19"/>
  <c r="Y18" i="19" s="1"/>
  <c r="I10" i="19"/>
  <c r="I9" i="19"/>
  <c r="P46" i="19"/>
  <c r="Q46" i="19" s="1"/>
  <c r="P10" i="19"/>
  <c r="Q10" i="19" s="1"/>
  <c r="P9" i="19"/>
  <c r="P43" i="19"/>
  <c r="Q43" i="19" s="1"/>
  <c r="Q50" i="19"/>
  <c r="X17" i="19"/>
  <c r="Y17" i="19" s="1"/>
  <c r="X19" i="19"/>
  <c r="Y19" i="19" s="1"/>
  <c r="Q51" i="19"/>
  <c r="X43" i="19"/>
  <c r="Y43" i="19" s="1"/>
  <c r="P49" i="19"/>
  <c r="Q49" i="19" s="1"/>
  <c r="P39" i="19"/>
  <c r="Q39" i="19" s="1"/>
  <c r="P27" i="19"/>
  <c r="Q27" i="19" s="1"/>
  <c r="P15" i="19"/>
  <c r="Q15" i="19" s="1"/>
  <c r="P37" i="19"/>
  <c r="Q37" i="19" s="1"/>
  <c r="P25" i="19"/>
  <c r="Q25" i="19" s="1"/>
  <c r="P13" i="19"/>
  <c r="Q13" i="19" s="1"/>
  <c r="P41" i="19"/>
  <c r="Q41" i="19" s="1"/>
  <c r="P29" i="19"/>
  <c r="Q29" i="19" s="1"/>
  <c r="P17" i="19"/>
  <c r="Q17" i="19" s="1"/>
  <c r="X47" i="19"/>
  <c r="Y47" i="19" s="1"/>
  <c r="X35" i="19"/>
  <c r="Y35" i="19" s="1"/>
  <c r="X23" i="19"/>
  <c r="Y23" i="19" s="1"/>
  <c r="X11" i="19"/>
  <c r="Y11" i="19" s="1"/>
  <c r="X9" i="19"/>
  <c r="X45" i="19"/>
  <c r="Y45" i="19" s="1"/>
  <c r="P48" i="19"/>
  <c r="Q48" i="19" s="1"/>
  <c r="P36" i="19"/>
  <c r="Q36" i="19" s="1"/>
  <c r="P24" i="19"/>
  <c r="Q24" i="19" s="1"/>
  <c r="P12" i="19"/>
  <c r="Q12" i="19" s="1"/>
  <c r="P38" i="19"/>
  <c r="Q38" i="19" s="1"/>
  <c r="P34" i="19"/>
  <c r="Q34" i="19" s="1"/>
  <c r="P22" i="19"/>
  <c r="Q22" i="19" s="1"/>
  <c r="X33" i="19"/>
  <c r="Y33" i="19" s="1"/>
  <c r="P26" i="19"/>
  <c r="Q26" i="19" s="1"/>
  <c r="X40" i="19"/>
  <c r="Y40" i="19" s="1"/>
  <c r="X28" i="19"/>
  <c r="Y28" i="19" s="1"/>
  <c r="X16" i="19"/>
  <c r="Y16" i="19" s="1"/>
  <c r="X31" i="19"/>
  <c r="Y31" i="19" s="1"/>
  <c r="P44" i="19"/>
  <c r="Q44" i="19" s="1"/>
  <c r="P32" i="19"/>
  <c r="Q32" i="19" s="1"/>
  <c r="P20" i="19"/>
  <c r="Q20" i="19" s="1"/>
  <c r="Y51" i="19"/>
  <c r="X39" i="19"/>
  <c r="Y39" i="19" s="1"/>
  <c r="X27" i="19"/>
  <c r="Y27" i="19" s="1"/>
  <c r="X15" i="19"/>
  <c r="Y15" i="19" s="1"/>
  <c r="P14" i="19"/>
  <c r="Q14" i="19" s="1"/>
  <c r="Y50" i="19"/>
  <c r="X38" i="19"/>
  <c r="Y38" i="19" s="1"/>
  <c r="X26" i="19"/>
  <c r="Y26" i="19" s="1"/>
  <c r="X14" i="19"/>
  <c r="Y14" i="19" s="1"/>
  <c r="X21" i="19"/>
  <c r="Y21" i="19" s="1"/>
  <c r="X48" i="19"/>
  <c r="Y48" i="19" s="1"/>
  <c r="X36" i="19"/>
  <c r="Y36" i="19" s="1"/>
  <c r="X24" i="19"/>
  <c r="Y24" i="19" s="1"/>
  <c r="X12" i="19"/>
  <c r="Y12" i="19" s="1"/>
  <c r="C12" i="19" l="1"/>
  <c r="N10" i="19"/>
  <c r="AB10" i="19"/>
  <c r="AG35" i="19"/>
  <c r="Y9" i="19"/>
  <c r="AG36" i="19"/>
  <c r="AG39" i="19" s="1"/>
  <c r="Q9" i="19"/>
  <c r="AG24" i="19"/>
  <c r="AG23" i="19"/>
  <c r="AB11" i="19"/>
  <c r="AB9" i="19"/>
  <c r="T9" i="19"/>
  <c r="T11" i="19"/>
  <c r="T10" i="19"/>
  <c r="N11" i="19" l="1"/>
  <c r="I11" i="19"/>
  <c r="C13" i="19"/>
  <c r="AB12" i="19"/>
  <c r="T12" i="19"/>
  <c r="N12" i="19" l="1"/>
  <c r="I12" i="19"/>
  <c r="T13" i="19"/>
  <c r="AB13" i="19"/>
  <c r="C14" i="19"/>
  <c r="T14" i="19" l="1"/>
  <c r="AB14" i="19"/>
  <c r="C15" i="19"/>
  <c r="N13" i="19"/>
  <c r="I13" i="19"/>
  <c r="T15" i="19" l="1"/>
  <c r="AB15" i="19"/>
  <c r="C16" i="19"/>
  <c r="N14" i="19"/>
  <c r="I14" i="19"/>
  <c r="N15" i="19" l="1"/>
  <c r="I15" i="19"/>
  <c r="T16" i="19"/>
  <c r="AB16" i="19"/>
  <c r="C17" i="19"/>
  <c r="N16" i="19" l="1"/>
  <c r="I16" i="19"/>
  <c r="T17" i="19"/>
  <c r="AB17" i="19"/>
  <c r="C18" i="19"/>
  <c r="T18" i="19" l="1"/>
  <c r="AB18" i="19"/>
  <c r="C19" i="19"/>
  <c r="N17" i="19"/>
  <c r="I17" i="19"/>
  <c r="AB19" i="19" l="1"/>
  <c r="T19" i="19"/>
  <c r="C20" i="19"/>
  <c r="N18" i="19"/>
  <c r="I18" i="19"/>
  <c r="AB20" i="19" l="1"/>
  <c r="T20" i="19"/>
  <c r="C21" i="19"/>
  <c r="N19" i="19"/>
  <c r="I19" i="19"/>
  <c r="T21" i="19" l="1"/>
  <c r="AB21" i="19"/>
  <c r="C22" i="19"/>
  <c r="N20" i="19"/>
  <c r="I20" i="19"/>
  <c r="T22" i="19" l="1"/>
  <c r="AB22" i="19"/>
  <c r="C23" i="19"/>
  <c r="N21" i="19"/>
  <c r="I21" i="19"/>
  <c r="T23" i="19" l="1"/>
  <c r="AB23" i="19"/>
  <c r="C24" i="19"/>
  <c r="N22" i="19"/>
  <c r="I22" i="19"/>
  <c r="T24" i="19" l="1"/>
  <c r="AB24" i="19"/>
  <c r="C25" i="19"/>
  <c r="N23" i="19"/>
  <c r="I23" i="19"/>
  <c r="AB25" i="19" l="1"/>
  <c r="T25" i="19"/>
  <c r="C26" i="19"/>
  <c r="N24" i="19"/>
  <c r="I24" i="19"/>
  <c r="T26" i="19" l="1"/>
  <c r="AB26" i="19"/>
  <c r="C27" i="19"/>
  <c r="N25" i="19"/>
  <c r="I25" i="19"/>
  <c r="AB27" i="19" l="1"/>
  <c r="T27" i="19"/>
  <c r="C28" i="19"/>
  <c r="N26" i="19"/>
  <c r="I26" i="19"/>
  <c r="T28" i="19" l="1"/>
  <c r="AB28" i="19"/>
  <c r="C29" i="19"/>
  <c r="N27" i="19"/>
  <c r="I27" i="19"/>
  <c r="N28" i="19" l="1"/>
  <c r="I28" i="19"/>
  <c r="T29" i="19"/>
  <c r="AB29" i="19"/>
  <c r="C30" i="19"/>
  <c r="T30" i="19" l="1"/>
  <c r="AB30" i="19"/>
  <c r="C31" i="19"/>
  <c r="N29" i="19"/>
  <c r="I29" i="19"/>
  <c r="AB31" i="19" l="1"/>
  <c r="T31" i="19"/>
  <c r="C32" i="19"/>
  <c r="N30" i="19"/>
  <c r="I30" i="19"/>
  <c r="AB32" i="19" l="1"/>
  <c r="T32" i="19"/>
  <c r="C33" i="19"/>
  <c r="N31" i="19"/>
  <c r="I31" i="19"/>
  <c r="N32" i="19" l="1"/>
  <c r="I32" i="19"/>
  <c r="T33" i="19"/>
  <c r="AB33" i="19"/>
  <c r="C34" i="19"/>
  <c r="T34" i="19" l="1"/>
  <c r="AB34" i="19"/>
  <c r="C35" i="19"/>
  <c r="N33" i="19"/>
  <c r="I33" i="19"/>
  <c r="AB35" i="19" l="1"/>
  <c r="T35" i="19"/>
  <c r="C36" i="19"/>
  <c r="N34" i="19"/>
  <c r="I34" i="19"/>
  <c r="AB36" i="19" l="1"/>
  <c r="T36" i="19"/>
  <c r="C37" i="19"/>
  <c r="N35" i="19"/>
  <c r="I35" i="19"/>
  <c r="AB37" i="19" l="1"/>
  <c r="T37" i="19"/>
  <c r="C38" i="19"/>
  <c r="N36" i="19"/>
  <c r="I36" i="19"/>
  <c r="T38" i="19" l="1"/>
  <c r="AB38" i="19"/>
  <c r="C39" i="19"/>
  <c r="N37" i="19"/>
  <c r="I37" i="19"/>
  <c r="T39" i="19" l="1"/>
  <c r="AB39" i="19"/>
  <c r="C40" i="19"/>
  <c r="N38" i="19"/>
  <c r="I38" i="19"/>
  <c r="T40" i="19" l="1"/>
  <c r="AB40" i="19"/>
  <c r="C41" i="19"/>
  <c r="N39" i="19"/>
  <c r="I39" i="19"/>
  <c r="T41" i="19" l="1"/>
  <c r="AB41" i="19"/>
  <c r="C42" i="19"/>
  <c r="N40" i="19"/>
  <c r="I40" i="19"/>
  <c r="T42" i="19" l="1"/>
  <c r="AB42" i="19"/>
  <c r="C43" i="19"/>
  <c r="N41" i="19"/>
  <c r="I41" i="19"/>
  <c r="AB43" i="19" l="1"/>
  <c r="T43" i="19"/>
  <c r="C44" i="19"/>
  <c r="N42" i="19"/>
  <c r="I42" i="19"/>
  <c r="AB44" i="19" l="1"/>
  <c r="T44" i="19"/>
  <c r="C45" i="19"/>
  <c r="N43" i="19"/>
  <c r="I43" i="19"/>
  <c r="T45" i="19" l="1"/>
  <c r="AB45" i="19"/>
  <c r="C46" i="19"/>
  <c r="N44" i="19"/>
  <c r="I44" i="19"/>
  <c r="T46" i="19" l="1"/>
  <c r="AB46" i="19"/>
  <c r="C47" i="19"/>
  <c r="N45" i="19"/>
  <c r="I45" i="19"/>
  <c r="T47" i="19" l="1"/>
  <c r="AB47" i="19"/>
  <c r="C48" i="19"/>
  <c r="N46" i="19"/>
  <c r="I46" i="19"/>
  <c r="N47" i="19" l="1"/>
  <c r="I47" i="19"/>
  <c r="T48" i="19"/>
  <c r="AB48" i="19"/>
  <c r="C49" i="19"/>
  <c r="N48" i="19" l="1"/>
  <c r="I48" i="19"/>
  <c r="T49" i="19"/>
  <c r="AB49" i="19"/>
  <c r="C50" i="19"/>
  <c r="N49" i="19" l="1"/>
  <c r="I49" i="19"/>
  <c r="T50" i="19"/>
  <c r="C51" i="19"/>
  <c r="T51" i="19" l="1"/>
  <c r="C52" i="19"/>
  <c r="AB50" i="19"/>
  <c r="N50" i="19"/>
  <c r="I50" i="19"/>
  <c r="T52" i="19" l="1"/>
  <c r="C53" i="19"/>
  <c r="N51" i="19"/>
  <c r="I51" i="19"/>
  <c r="AB51" i="19"/>
  <c r="AB52" i="19" l="1"/>
  <c r="T53" i="19"/>
  <c r="AB53" i="19"/>
  <c r="C54" i="19"/>
  <c r="I52" i="19"/>
  <c r="N52" i="19"/>
  <c r="N53" i="19" l="1"/>
  <c r="I53" i="19"/>
  <c r="T54" i="19"/>
  <c r="AB54" i="19"/>
  <c r="C55" i="19"/>
  <c r="N54" i="19" l="1"/>
  <c r="I54" i="19"/>
  <c r="AB55" i="19"/>
  <c r="T55" i="19"/>
  <c r="C56" i="19"/>
  <c r="AB56" i="19" l="1"/>
  <c r="T56" i="19"/>
  <c r="C57" i="19"/>
  <c r="N55" i="19"/>
  <c r="I55" i="19"/>
  <c r="T57" i="19" l="1"/>
  <c r="AB57" i="19"/>
  <c r="C58" i="19"/>
  <c r="N56" i="19"/>
  <c r="I56" i="19"/>
  <c r="AB58" i="19" l="1"/>
  <c r="T58" i="19"/>
  <c r="C59" i="19"/>
  <c r="N57" i="19"/>
  <c r="I57" i="19"/>
  <c r="N58" i="19" l="1"/>
  <c r="I58" i="19"/>
  <c r="T59" i="19"/>
  <c r="AB59" i="19"/>
  <c r="C60" i="19"/>
  <c r="AB60" i="19" l="1"/>
  <c r="T60" i="19"/>
  <c r="C61" i="19"/>
  <c r="N59" i="19"/>
  <c r="I59" i="19"/>
  <c r="AB61" i="19" l="1"/>
  <c r="T61" i="19"/>
  <c r="C62" i="19"/>
  <c r="N60" i="19"/>
  <c r="I60" i="19"/>
  <c r="T62" i="19" l="1"/>
  <c r="AB62" i="19"/>
  <c r="C63" i="19"/>
  <c r="N61" i="19"/>
  <c r="I61" i="19"/>
  <c r="AB63" i="19" l="1"/>
  <c r="T63" i="19"/>
  <c r="C64" i="19"/>
  <c r="N62" i="19"/>
  <c r="I62" i="19"/>
  <c r="T64" i="19" l="1"/>
  <c r="AB64" i="19"/>
  <c r="C65" i="19"/>
  <c r="N63" i="19"/>
  <c r="I63" i="19"/>
  <c r="T65" i="19" l="1"/>
  <c r="AB65" i="19"/>
  <c r="C66" i="19"/>
  <c r="N64" i="19"/>
  <c r="I64" i="19"/>
  <c r="AT23" i="19"/>
  <c r="AT22" i="19"/>
  <c r="AT13" i="19"/>
  <c r="AT12" i="19"/>
  <c r="N65" i="19" l="1"/>
  <c r="I65" i="19"/>
  <c r="T66" i="19"/>
  <c r="AB66" i="19"/>
  <c r="C67" i="19"/>
  <c r="AB67" i="19" l="1"/>
  <c r="T67" i="19"/>
  <c r="C68" i="19"/>
  <c r="N66" i="19"/>
  <c r="I66" i="19"/>
  <c r="C69" i="19" l="1"/>
  <c r="T68" i="19"/>
  <c r="AB68" i="19"/>
  <c r="N67" i="19"/>
  <c r="I67" i="19"/>
  <c r="C70" i="19" l="1"/>
  <c r="T69" i="19"/>
  <c r="AB69" i="19"/>
  <c r="N68" i="19"/>
  <c r="I68" i="19"/>
  <c r="N69" i="19" l="1"/>
  <c r="I69" i="19"/>
  <c r="C71" i="19"/>
  <c r="T70" i="19"/>
  <c r="AB70" i="19"/>
  <c r="C72" i="19" l="1"/>
  <c r="T71" i="19"/>
  <c r="AB71" i="19"/>
  <c r="N70" i="19"/>
  <c r="I70" i="19"/>
  <c r="N71" i="19" l="1"/>
  <c r="I71" i="19"/>
  <c r="C73" i="19"/>
  <c r="AB72" i="19"/>
  <c r="T72" i="19"/>
  <c r="AG15" i="19"/>
  <c r="AG27" i="19"/>
  <c r="N72" i="19" l="1"/>
  <c r="I72" i="19"/>
  <c r="T73" i="19"/>
  <c r="AB73" i="19"/>
  <c r="C74" i="19"/>
  <c r="N73" i="19" l="1"/>
  <c r="I73" i="19"/>
  <c r="T74" i="19"/>
  <c r="AB74" i="19"/>
  <c r="C75" i="19"/>
  <c r="N74" i="19" l="1"/>
  <c r="I74" i="19"/>
  <c r="C76" i="19"/>
  <c r="T75" i="19"/>
  <c r="AB75" i="19"/>
  <c r="N75" i="19" l="1"/>
  <c r="I75" i="19"/>
  <c r="T76" i="19"/>
  <c r="AB76" i="19"/>
  <c r="C77" i="19"/>
  <c r="N76" i="19" l="1"/>
  <c r="I76" i="19"/>
  <c r="T77" i="19"/>
  <c r="AB77" i="19"/>
  <c r="C78" i="19"/>
  <c r="N77" i="19" l="1"/>
  <c r="I77" i="19"/>
  <c r="T78" i="19"/>
  <c r="AB78" i="19"/>
  <c r="AG42" i="19"/>
  <c r="AG30" i="19"/>
  <c r="AG18" i="19"/>
  <c r="AG37" i="19" l="1" a="1"/>
  <c r="AG37" i="19" s="1"/>
  <c r="AG40" i="19" s="1"/>
  <c r="AG38" i="19" a="1"/>
  <c r="AG38" i="19" s="1"/>
  <c r="AT28" i="19" s="1"/>
  <c r="N78" i="19"/>
  <c r="I78" i="19"/>
  <c r="AG26" i="19" a="1"/>
  <c r="AG26" i="19" s="1"/>
  <c r="AT18" i="19" s="1"/>
  <c r="AG25" i="19" a="1"/>
  <c r="AG25" i="19" s="1"/>
  <c r="AG28" i="19" s="1"/>
  <c r="AC53" i="19" l="1"/>
  <c r="AD53" i="19"/>
  <c r="U53" i="19"/>
  <c r="V53" i="19"/>
  <c r="V52" i="19"/>
  <c r="V51" i="19"/>
  <c r="V48" i="19"/>
  <c r="V46" i="19"/>
  <c r="U29" i="19"/>
  <c r="U9" i="19"/>
  <c r="U12" i="19"/>
  <c r="U39" i="19"/>
  <c r="U22" i="19"/>
  <c r="U50" i="19"/>
  <c r="V9" i="19"/>
  <c r="U48" i="19"/>
  <c r="U19" i="19"/>
  <c r="U49" i="19"/>
  <c r="U47" i="19"/>
  <c r="V29" i="19"/>
  <c r="V50" i="19"/>
  <c r="V47" i="19"/>
  <c r="V22" i="19"/>
  <c r="U41" i="19"/>
  <c r="U33" i="19"/>
  <c r="U24" i="19"/>
  <c r="U16" i="19"/>
  <c r="U36" i="19"/>
  <c r="V13" i="19"/>
  <c r="U46" i="19"/>
  <c r="U25" i="19"/>
  <c r="V41" i="19"/>
  <c r="V14" i="19"/>
  <c r="U52" i="19"/>
  <c r="V21" i="19"/>
  <c r="U18" i="19"/>
  <c r="U40" i="19"/>
  <c r="V11" i="19"/>
  <c r="U30" i="19"/>
  <c r="U13" i="19"/>
  <c r="U27" i="19"/>
  <c r="V17" i="19"/>
  <c r="V49" i="19"/>
  <c r="V12" i="19"/>
  <c r="V35" i="19"/>
  <c r="U42" i="19"/>
  <c r="U21" i="19"/>
  <c r="V27" i="19"/>
  <c r="V18" i="19"/>
  <c r="V38" i="19"/>
  <c r="V43" i="19"/>
  <c r="V32" i="19"/>
  <c r="U45" i="19"/>
  <c r="V40" i="19"/>
  <c r="V30" i="19"/>
  <c r="V25" i="19"/>
  <c r="V19" i="19"/>
  <c r="V33" i="19"/>
  <c r="U31" i="19"/>
  <c r="U10" i="19"/>
  <c r="U37" i="19"/>
  <c r="V23" i="19"/>
  <c r="U43" i="19"/>
  <c r="V45" i="19"/>
  <c r="V42" i="19"/>
  <c r="V37" i="19"/>
  <c r="V36" i="19"/>
  <c r="U34" i="19"/>
  <c r="U17" i="19"/>
  <c r="U51" i="19"/>
  <c r="V15" i="19"/>
  <c r="V24" i="19"/>
  <c r="U15" i="19"/>
  <c r="V8" i="19"/>
  <c r="U11" i="19"/>
  <c r="U14" i="19"/>
  <c r="U35" i="19"/>
  <c r="V10" i="19"/>
  <c r="V16" i="19"/>
  <c r="V26" i="19"/>
  <c r="V34" i="19"/>
  <c r="V20" i="19"/>
  <c r="U8" i="19"/>
  <c r="U20" i="19"/>
  <c r="U23" i="19"/>
  <c r="U26" i="19"/>
  <c r="U32" i="19"/>
  <c r="V28" i="19"/>
  <c r="V39" i="19"/>
  <c r="V44" i="19"/>
  <c r="V31" i="19"/>
  <c r="U28" i="19"/>
  <c r="U38" i="19"/>
  <c r="U44" i="19"/>
  <c r="AG13" i="19" a="1"/>
  <c r="AG13" i="19" s="1"/>
  <c r="AG16" i="19" s="1"/>
  <c r="AG14" i="19" a="1"/>
  <c r="AG14" i="19" s="1"/>
  <c r="AT8" i="19" s="1"/>
  <c r="AC50" i="19"/>
  <c r="AD50" i="19"/>
  <c r="AD51" i="19"/>
  <c r="AC51" i="19"/>
  <c r="AC52" i="19"/>
  <c r="AD52" i="19"/>
  <c r="AC46" i="19"/>
  <c r="AC24" i="19"/>
  <c r="AD43" i="19"/>
  <c r="AC26" i="19"/>
  <c r="AD36" i="19"/>
  <c r="AC29" i="19"/>
  <c r="AC43" i="19"/>
  <c r="AD33" i="19"/>
  <c r="AC44" i="19"/>
  <c r="AD17" i="19"/>
  <c r="AC45" i="19"/>
  <c r="AC36" i="19"/>
  <c r="AD9" i="19"/>
  <c r="AD23" i="19"/>
  <c r="AD48" i="19"/>
  <c r="AC41" i="19"/>
  <c r="AD28" i="19"/>
  <c r="AD18" i="19"/>
  <c r="AC15" i="19"/>
  <c r="AD26" i="19"/>
  <c r="AC9" i="19"/>
  <c r="AD24" i="19"/>
  <c r="AC19" i="19"/>
  <c r="AC21" i="19"/>
  <c r="AC48" i="19"/>
  <c r="AD21" i="19"/>
  <c r="AD35" i="19"/>
  <c r="AC16" i="19"/>
  <c r="AD14" i="19"/>
  <c r="AC20" i="19"/>
  <c r="AD22" i="19"/>
  <c r="AC28" i="19"/>
  <c r="AC18" i="19"/>
  <c r="AC12" i="19"/>
  <c r="AD19" i="19"/>
  <c r="AC14" i="19"/>
  <c r="AD45" i="19"/>
  <c r="AC39" i="19"/>
  <c r="AD8" i="19"/>
  <c r="AD38" i="19"/>
  <c r="AD29" i="19"/>
  <c r="AC33" i="19"/>
  <c r="AD31" i="19"/>
  <c r="AC38" i="19"/>
  <c r="AC13" i="19"/>
  <c r="AC8" i="19"/>
  <c r="AC11" i="19"/>
  <c r="AD11" i="19"/>
  <c r="AC25" i="19"/>
  <c r="AD40" i="19"/>
  <c r="AC10" i="19"/>
  <c r="AC30" i="19"/>
  <c r="AC22" i="19"/>
  <c r="AC35" i="19"/>
  <c r="AC42" i="19"/>
  <c r="AC47" i="19"/>
  <c r="AD47" i="19"/>
  <c r="AC37" i="19"/>
  <c r="AD13" i="19"/>
  <c r="AC23" i="19"/>
  <c r="AC17" i="19"/>
  <c r="AC31" i="19"/>
  <c r="AD20" i="19"/>
  <c r="AC27" i="19"/>
  <c r="AC49" i="19"/>
  <c r="AC34" i="19"/>
  <c r="AD25" i="19"/>
  <c r="AD15" i="19"/>
  <c r="AD16" i="19"/>
  <c r="AD32" i="19"/>
  <c r="AC40" i="19"/>
  <c r="AD10" i="19"/>
  <c r="AD30" i="19"/>
  <c r="AD37" i="19"/>
  <c r="AD27" i="19"/>
  <c r="AD39" i="19"/>
  <c r="AD42" i="19"/>
  <c r="AD41" i="19"/>
  <c r="AD44" i="19"/>
  <c r="AC32" i="19"/>
  <c r="AD34" i="19"/>
  <c r="AD12" i="19"/>
  <c r="AD49" i="19"/>
  <c r="AD46" i="19"/>
  <c r="J53" i="19" l="1"/>
  <c r="K53" i="19"/>
  <c r="J52" i="19"/>
  <c r="J11" i="19"/>
  <c r="J35" i="19"/>
  <c r="K30" i="19"/>
  <c r="K32" i="19"/>
  <c r="J12" i="19"/>
  <c r="K38" i="19"/>
  <c r="J8" i="19"/>
  <c r="J21" i="19"/>
  <c r="K36" i="19"/>
  <c r="K29" i="19"/>
  <c r="J29" i="19"/>
  <c r="K37" i="19"/>
  <c r="J16" i="19"/>
  <c r="J24" i="19"/>
  <c r="K23" i="19"/>
  <c r="J39" i="19"/>
  <c r="J34" i="19"/>
  <c r="J23" i="19"/>
  <c r="K52" i="19"/>
  <c r="J47" i="19"/>
  <c r="K12" i="19"/>
  <c r="K43" i="19"/>
  <c r="K50" i="19"/>
  <c r="J33" i="19"/>
  <c r="J20" i="19"/>
  <c r="J26" i="19"/>
  <c r="K24" i="19"/>
  <c r="K22" i="19"/>
  <c r="K46" i="19"/>
  <c r="J27" i="19"/>
  <c r="K31" i="19"/>
  <c r="J38" i="19"/>
  <c r="K14" i="19"/>
  <c r="K47" i="19"/>
  <c r="K13" i="19"/>
  <c r="J31" i="19"/>
  <c r="K10" i="19"/>
  <c r="J48" i="19"/>
  <c r="K41" i="19"/>
  <c r="K26" i="19"/>
  <c r="K25" i="19"/>
  <c r="J19" i="19"/>
  <c r="J18" i="19"/>
  <c r="K45" i="19"/>
  <c r="J10" i="19"/>
  <c r="J17" i="19"/>
  <c r="K39" i="19"/>
  <c r="J46" i="19"/>
  <c r="K49" i="19"/>
  <c r="J30" i="19"/>
  <c r="K40" i="19"/>
  <c r="J28" i="19"/>
  <c r="J40" i="19"/>
  <c r="J42" i="19"/>
  <c r="J22" i="19"/>
  <c r="K8" i="19"/>
  <c r="K9" i="19"/>
  <c r="K34" i="19"/>
  <c r="K48" i="19"/>
  <c r="K16" i="19"/>
  <c r="J14" i="19"/>
  <c r="J50" i="19"/>
  <c r="J32" i="19"/>
  <c r="K20" i="19"/>
  <c r="K27" i="19"/>
  <c r="J49" i="19"/>
  <c r="K21" i="19"/>
  <c r="J9" i="19"/>
  <c r="K15" i="19"/>
  <c r="J41" i="19"/>
  <c r="K42" i="19"/>
  <c r="K33" i="19"/>
  <c r="K11" i="19"/>
  <c r="J45" i="19"/>
  <c r="K44" i="19"/>
  <c r="J13" i="19"/>
  <c r="J43" i="19"/>
  <c r="J15" i="19"/>
  <c r="K19" i="19"/>
  <c r="J25" i="19"/>
  <c r="K35" i="19"/>
  <c r="K18" i="19"/>
  <c r="K17" i="19"/>
  <c r="K28" i="19"/>
  <c r="J44" i="19"/>
  <c r="J36" i="19"/>
  <c r="J37" i="19"/>
  <c r="J51" i="19"/>
  <c r="K51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8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tc={92ED0BA3-CD99-4B8E-BFDD-0EEF8E782638}</author>
    <author>tc={4409B014-A5A7-4F76-9492-F48BE71B769B}</author>
    <author>tc={81FAFA63-54C6-45CC-9070-46D07C730098}</author>
    <author>tc={4BF89DC0-3592-4FA2-8435-6F54BA02BC15}</author>
    <author>tc={98C3BF07-CEF3-412D-B8D1-2942AE2470B6}</author>
    <author>tc={21624EEB-6D22-429B-8E98-279137BB6058}</author>
    <author>tc={0E29A1A8-955C-48A8-BB66-F9B1A9E97908}</author>
    <author>tc={08774897-7F0B-4B4B-AF46-93FF194A769D}</author>
    <author>tc={85C09E34-A5EC-4346-8195-06EE393D72DF}</author>
    <author>tc={B76B2E5A-CC8C-4D5D-883C-4881C14D6A49}</author>
    <author>tc={422813AA-7B17-475A-BC56-7328C0D1FD19}</author>
    <author>tc={DF686F86-B428-4733-B393-4D0F0A4D84F3}</author>
    <author>tc={23B8A78F-4853-446A-8154-8529F1B769CC}</author>
    <author>tc={52BC14E3-58A2-47FD-AA97-3E562BB3003C}</author>
  </authors>
  <commentList>
    <comment ref="B8" authorId="0" shapeId="0" xr:uid="{92ED0BA3-CD99-4B8E-BFDD-0EEF8E78263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4409B014-A5A7-4F76-9492-F48BE71B769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81FAFA63-54C6-45CC-9070-46D07C7300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4BF89DC0-3592-4FA2-8435-6F54BA02BC1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4" shapeId="0" xr:uid="{98C3BF07-CEF3-412D-B8D1-2942AE2470B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21624EEB-6D22-429B-8E98-279137BB605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0E29A1A8-955C-48A8-BB66-F9B1A9E9790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  <comment ref="B103" authorId="7" shapeId="0" xr:uid="{08774897-7F0B-4B4B-AF46-93FF194A76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09" authorId="8" shapeId="0" xr:uid="{85C09E34-A5EC-4346-8195-06EE393D72D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13" authorId="9" shapeId="0" xr:uid="{B76B2E5A-CC8C-4D5D-883C-4881C14D6A4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116" authorId="10" shapeId="0" xr:uid="{422813AA-7B17-475A-BC56-7328C0D1FD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118" authorId="11" shapeId="0" xr:uid="{DF686F86-B428-4733-B393-4D0F0A4D84F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120" authorId="12" shapeId="0" xr:uid="{23B8A78F-4853-446A-8154-8529F1B769C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131" authorId="13" shapeId="0" xr:uid="{52BC14E3-58A2-47FD-AA97-3E562BB3003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FAE79B7-1CD3-4609-AF8E-8BF7D5A95FF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1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<sst xmlns="http://schemas.openxmlformats.org/spreadsheetml/2006/main" count="348" uniqueCount="109">
  <si>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</si>
  <si>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</si>
  <si>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</si>
  <si>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</si>
  <si>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</si>
  <si>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</si>
  <si>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</si>
  <si>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</si>
  <si>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</si>
  <si>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</si>
  <si>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</si>
  <si>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</si>
  <si>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</si>
  <si>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</si>
  <si>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</si>
  <si>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</si>
  <si>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</si>
  <si>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</si>
  <si>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</si>
  <si>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</si>
  <si>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</si>
  <si>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</si>
  <si>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</si>
  <si>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</si>
  <si>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</si>
  <si>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</si>
  <si>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</si>
  <si>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</si>
  <si>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</si>
  <si>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</si>
  <si>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</si>
  <si>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</si>
  <si>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</si>
  <si>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</si>
  <si>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</si>
  <si>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</si>
  <si>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</si>
  <si>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</si>
  <si>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</si>
  <si>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</si>
  <si>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</si>
  <si>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</si>
  <si>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</si>
  <si>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</si>
  <si>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</si>
  <si>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</si>
  <si>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</si>
  <si>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</si>
  <si>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</si>
  <si>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</si>
  <si>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</si>
  <si>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</si>
  <si>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</si>
  <si>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</si>
  <si>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</si>
  <si>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</si>
  <si>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</si>
  <si>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</si>
  <si>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</si>
  <si>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</si>
  <si>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C_Upper CI</t>
  </si>
  <si>
    <t>C_Lower CI</t>
  </si>
  <si>
    <t>Cum_deaths</t>
  </si>
  <si>
    <t>New deaths</t>
  </si>
  <si>
    <t>Cum_D_fit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</si>
  <si>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</si>
  <si>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</si>
  <si>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</si>
  <si>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</si>
  <si>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</si>
  <si>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</si>
  <si>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</si>
  <si>
    <t>SOLVER models</t>
  </si>
  <si>
    <t>Cum_recov</t>
  </si>
  <si>
    <t>Cum_R_fit</t>
  </si>
  <si>
    <t>NR_Upper CI</t>
  </si>
  <si>
    <t>NR_Lower CI</t>
  </si>
  <si>
    <t>Curr_positive</t>
  </si>
  <si>
    <t>New_positive</t>
  </si>
  <si>
    <t>Colonna1</t>
  </si>
  <si>
    <t>Colonna2</t>
  </si>
  <si>
    <t>Recovered</t>
  </si>
  <si>
    <t>Colonna3</t>
  </si>
  <si>
    <t>Colonna4</t>
  </si>
  <si>
    <t>Colonna5</t>
  </si>
  <si>
    <t>Colonna6</t>
  </si>
  <si>
    <r>
      <t>t</t>
    </r>
    <r>
      <rPr>
        <i/>
        <vertAlign val="subscript"/>
        <sz val="11"/>
        <color rgb="FFFF0000"/>
        <rFont val="Calibri"/>
        <family val="2"/>
        <scheme val="minor"/>
      </rPr>
      <t>0</t>
    </r>
    <r>
      <rPr>
        <i/>
        <sz val="11"/>
        <color rgb="FFFF000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</si>
  <si>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FF0000"/>
        <rFont val="Calibri"/>
        <family val="2"/>
        <scheme val="minor"/>
      </rPr>
      <t>2</t>
    </r>
  </si>
  <si>
    <t>New_cases_fit</t>
  </si>
  <si>
    <t>New_positive_fit</t>
  </si>
  <si>
    <t>New_Recovered_fit</t>
  </si>
  <si>
    <t>New_Deaths_fit</t>
  </si>
  <si>
    <t>New recovered</t>
  </si>
  <si>
    <t>t0=</t>
  </si>
  <si>
    <t>New cases fit</t>
  </si>
  <si>
    <t>New recovered fit</t>
  </si>
  <si>
    <t>New deaths fit</t>
  </si>
  <si>
    <t>Recovered fit</t>
  </si>
  <si>
    <t>DO NOT EXECUTE</t>
  </si>
  <si>
    <t>Saturation val.</t>
  </si>
  <si>
    <r>
      <t>t</t>
    </r>
    <r>
      <rPr>
        <i/>
        <strike/>
        <vertAlign val="subscript"/>
        <sz val="11"/>
        <color rgb="FF00B050"/>
        <rFont val="Calibri"/>
        <family val="2"/>
        <scheme val="minor"/>
      </rPr>
      <t>0</t>
    </r>
    <r>
      <rPr>
        <i/>
        <strike/>
        <sz val="11"/>
        <color rgb="FF00B050"/>
        <rFont val="Calibri"/>
        <family val="2"/>
        <scheme val="minor"/>
      </rPr>
      <t>=</t>
    </r>
  </si>
  <si>
    <r>
      <t>R</t>
    </r>
    <r>
      <rPr>
        <strike/>
        <vertAlign val="superscript"/>
        <sz val="11"/>
        <color rgb="FF00B050"/>
        <rFont val="Calibri"/>
        <family val="2"/>
        <scheme val="minor"/>
      </rPr>
      <t>2</t>
    </r>
  </si>
  <si>
    <t>R_Upper CI</t>
  </si>
  <si>
    <t>R_Lower CI</t>
  </si>
  <si>
    <t>D_Upper CI</t>
  </si>
  <si>
    <t>D_Lower CI</t>
  </si>
  <si>
    <r>
      <t>t</t>
    </r>
    <r>
      <rPr>
        <i/>
        <strike/>
        <vertAlign val="subscript"/>
        <sz val="11"/>
        <color theme="8"/>
        <rFont val="Calibri"/>
        <family val="2"/>
        <scheme val="minor"/>
      </rPr>
      <t>0</t>
    </r>
    <r>
      <rPr>
        <i/>
        <strike/>
        <sz val="11"/>
        <color theme="8"/>
        <rFont val="Calibri"/>
        <family val="2"/>
        <scheme val="minor"/>
      </rPr>
      <t>=</t>
    </r>
  </si>
  <si>
    <r>
      <t>R</t>
    </r>
    <r>
      <rPr>
        <strike/>
        <vertAlign val="superscript"/>
        <sz val="11"/>
        <color theme="8"/>
        <rFont val="Calibri"/>
        <family val="2"/>
        <scheme val="minor"/>
      </rPr>
      <t>2</t>
    </r>
  </si>
  <si>
    <t>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</si>
</sst>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mmmm\ d\,\ yyyy;@"/>
  </numFmts>
  <fonts count="4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i/>
      <strike/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i/>
      <strike/>
      <vertAlign val="subscript"/>
      <sz val="11"/>
      <color rgb="FF00B050"/>
      <name val="Calibri"/>
      <family val="2"/>
      <scheme val="minor"/>
    </font>
    <font>
      <strike/>
      <vertAlign val="superscript"/>
      <sz val="11"/>
      <color rgb="FF00B050"/>
      <name val="Calibri"/>
      <family val="2"/>
      <scheme val="minor"/>
    </font>
    <font>
      <b/>
      <strike/>
      <sz val="11"/>
      <color rgb="FF00B050"/>
      <name val="Calibri"/>
      <family val="2"/>
      <scheme val="minor"/>
    </font>
    <font>
      <i/>
      <strike/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i/>
      <strike/>
      <vertAlign val="subscript"/>
      <sz val="11"/>
      <color theme="8"/>
      <name val="Calibri"/>
      <family val="2"/>
      <scheme val="minor"/>
    </font>
    <font>
      <strike/>
      <vertAlign val="superscript"/>
      <sz val="11"/>
      <color theme="8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strike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5" fillId="3" borderId="1" applyNumberFormat="0" applyFont="0" applyAlignment="0" applyProtection="0"/>
    <xf numFmtId="0" fontId="14" fillId="4" borderId="0" applyNumberFormat="0" applyBorder="0" applyAlignment="0" applyProtection="0"/>
    <xf numFmtId="0" fontId="5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07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1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  <xf numFmtId="1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 wrapText="1"/>
    </xf>
    <xf numFmtId="0" fontId="17" fillId="0" borderId="0" xfId="0" applyFont="1" applyAlignment="1">
      <alignment horizontal="center"/>
    </xf>
    <xf numFmtId="1" fontId="14" fillId="4" borderId="0" xfId="2" applyNumberFormat="1" applyAlignment="1">
      <alignment horizontal="center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/>
    <xf numFmtId="1" fontId="5" fillId="5" borderId="0" xfId="3" applyNumberFormat="1" applyAlignment="1">
      <alignment horizontal="center"/>
    </xf>
    <xf numFmtId="0" fontId="13" fillId="5" borderId="0" xfId="3" applyFont="1" applyAlignment="1">
      <alignment horizontal="center"/>
    </xf>
    <xf numFmtId="0" fontId="13" fillId="5" borderId="0" xfId="3" applyFont="1" applyAlignment="1">
      <alignment horizontal="center" wrapText="1"/>
    </xf>
    <xf numFmtId="0" fontId="24" fillId="0" borderId="0" xfId="0" applyFont="1" applyAlignment="1">
      <alignment horizontal="center" wrapText="1"/>
    </xf>
    <xf numFmtId="1" fontId="5" fillId="7" borderId="0" xfId="9" applyNumberFormat="1" applyAlignment="1">
      <alignment horizontal="center"/>
    </xf>
    <xf numFmtId="0" fontId="13" fillId="7" borderId="0" xfId="9" applyFont="1" applyAlignment="1">
      <alignment horizontal="center"/>
    </xf>
    <xf numFmtId="0" fontId="13" fillId="7" borderId="0" xfId="9" applyFont="1" applyAlignment="1">
      <alignment horizontal="center" wrapText="1"/>
    </xf>
    <xf numFmtId="1" fontId="1" fillId="4" borderId="0" xfId="2" applyNumberFormat="1" applyFont="1" applyAlignment="1">
      <alignment horizontal="center"/>
    </xf>
    <xf numFmtId="0" fontId="5" fillId="6" borderId="0" xfId="8" applyAlignment="1">
      <alignment horizontal="center" wrapText="1"/>
    </xf>
    <xf numFmtId="1" fontId="5" fillId="6" borderId="0" xfId="8" applyNumberForma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6" fillId="0" borderId="0" xfId="0" applyFont="1" applyFill="1"/>
    <xf numFmtId="0" fontId="1" fillId="0" borderId="0" xfId="0" applyFont="1" applyAlignment="1">
      <alignment wrapText="1"/>
    </xf>
    <xf numFmtId="0" fontId="27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15" fillId="0" borderId="3" xfId="0" applyNumberFormat="1" applyFont="1" applyBorder="1"/>
    <xf numFmtId="0" fontId="15" fillId="0" borderId="3" xfId="0" applyFont="1" applyBorder="1"/>
    <xf numFmtId="0" fontId="15" fillId="0" borderId="7" xfId="0" applyFont="1" applyBorder="1"/>
    <xf numFmtId="0" fontId="23" fillId="0" borderId="10" xfId="7" applyAlignment="1">
      <alignment horizontal="left" vertical="center"/>
    </xf>
    <xf numFmtId="0" fontId="23" fillId="0" borderId="10" xfId="7" applyAlignment="1">
      <alignment horizontal="left" vertical="center"/>
    </xf>
    <xf numFmtId="0" fontId="15" fillId="0" borderId="0" xfId="0" applyFont="1" applyAlignment="1">
      <alignment wrapText="1"/>
    </xf>
    <xf numFmtId="165" fontId="10" fillId="0" borderId="0" xfId="0" applyNumberFormat="1" applyFont="1"/>
    <xf numFmtId="165" fontId="11" fillId="0" borderId="0" xfId="0" applyNumberFormat="1" applyFont="1"/>
    <xf numFmtId="0" fontId="30" fillId="2" borderId="0" xfId="0" applyFont="1" applyFill="1"/>
    <xf numFmtId="2" fontId="31" fillId="2" borderId="0" xfId="0" applyNumberFormat="1" applyFont="1" applyFill="1"/>
    <xf numFmtId="0" fontId="31" fillId="0" borderId="0" xfId="0" applyFont="1"/>
    <xf numFmtId="1" fontId="31" fillId="0" borderId="0" xfId="0" applyNumberFormat="1" applyFont="1"/>
    <xf numFmtId="2" fontId="31" fillId="0" borderId="0" xfId="0" applyNumberFormat="1" applyFont="1"/>
    <xf numFmtId="164" fontId="31" fillId="0" borderId="0" xfId="0" applyNumberFormat="1" applyFont="1"/>
    <xf numFmtId="0" fontId="31" fillId="0" borderId="0" xfId="0" applyFont="1" applyFill="1"/>
    <xf numFmtId="165" fontId="34" fillId="0" borderId="0" xfId="0" applyNumberFormat="1" applyFont="1"/>
    <xf numFmtId="0" fontId="35" fillId="2" borderId="0" xfId="0" applyFont="1" applyFill="1"/>
    <xf numFmtId="2" fontId="36" fillId="2" borderId="0" xfId="0" applyNumberFormat="1" applyFont="1" applyFill="1"/>
    <xf numFmtId="0" fontId="36" fillId="0" borderId="0" xfId="0" applyFont="1" applyFill="1"/>
    <xf numFmtId="1" fontId="36" fillId="0" borderId="0" xfId="0" applyNumberFormat="1" applyFont="1"/>
    <xf numFmtId="2" fontId="36" fillId="0" borderId="0" xfId="0" applyNumberFormat="1" applyFont="1"/>
    <xf numFmtId="164" fontId="36" fillId="0" borderId="0" xfId="0" applyNumberFormat="1" applyFont="1"/>
    <xf numFmtId="165" fontId="39" fillId="0" borderId="0" xfId="0" applyNumberFormat="1" applyFont="1"/>
    <xf numFmtId="1" fontId="40" fillId="0" borderId="0" xfId="0" applyNumberFormat="1" applyFont="1"/>
    <xf numFmtId="0" fontId="20" fillId="0" borderId="0" xfId="4"/>
    <xf numFmtId="0" fontId="21" fillId="0" borderId="8" xfId="5"/>
    <xf numFmtId="0" fontId="22" fillId="0" borderId="9" xfId="6"/>
    <xf numFmtId="0" fontId="23" fillId="0" borderId="10" xfId="7" applyAlignment="1">
      <alignment horizontal="left" vertical="center"/>
    </xf>
    <xf numFmtId="0" fontId="5" fillId="5" borderId="0" xfId="3" applyBorder="1"/>
    <xf numFmtId="0" fontId="0" fillId="0" borderId="5" xfId="0" applyBorder="1" applyAlignment="1">
      <alignment horizontal="center" vertical="center" textRotation="180" wrapText="1"/>
    </xf>
    <xf numFmtId="0" fontId="0" fillId="0" borderId="3" xfId="0" applyBorder="1" applyAlignment="1">
      <alignment horizontal="center" vertical="center" textRotation="180" wrapText="1"/>
    </xf>
    <xf numFmtId="0" fontId="0" fillId="0" borderId="6" xfId="0" applyBorder="1" applyAlignment="1">
      <alignment horizontal="center" vertical="center" textRotation="180" wrapText="1"/>
    </xf>
  </cellXfs>
  <cellStyles count="10">
    <cellStyle name="20% - Colore 1" xfId="3" builtinId="30"/>
    <cellStyle name="20% - Colore 2" xfId="8" builtinId="34"/>
    <cellStyle name="20% - Colore 6" xfId="9" builtinId="50"/>
    <cellStyle name="Neutrale" xfId="2" builtinId="28"/>
    <cellStyle name="Normale" xfId="0" builtinId="0"/>
    <cellStyle name="Nota" xfId="1" builtinId="10"/>
    <cellStyle name="Titolo" xfId="4" builtinId="15"/>
    <cellStyle name="Titolo 1" xfId="5" builtinId="16"/>
    <cellStyle name="Titolo 2" xfId="6" builtinId="17"/>
    <cellStyle name="Titolo 3" xfId="7" builtinId="18"/>
  </cellStyles>
  <dxfs count="66"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Cases, Recovered and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'New_confirmed - ExpPwLaw'!$H$7</c:f>
              <c:strCache>
                <c:ptCount val="1"/>
                <c:pt idx="0">
                  <c:v>New_cases_fit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7.7164758960758849E-3</c:v>
                </c:pt>
                <c:pt idx="2">
                  <c:v>0.29566681926411087</c:v>
                </c:pt>
                <c:pt idx="3">
                  <c:v>2.3122721509717667</c:v>
                </c:pt>
                <c:pt idx="4">
                  <c:v>9.4344079417322728</c:v>
                </c:pt>
                <c:pt idx="5">
                  <c:v>26.950256620018717</c:v>
                </c:pt>
                <c:pt idx="6">
                  <c:v>61.444000914164775</c:v>
                </c:pt>
                <c:pt idx="7">
                  <c:v>119.89866222003877</c:v>
                </c:pt>
                <c:pt idx="8">
                  <c:v>208.7774871058009</c:v>
                </c:pt>
                <c:pt idx="9">
                  <c:v>333.25202670335267</c:v>
                </c:pt>
                <c:pt idx="10">
                  <c:v>496.66138617386855</c:v>
                </c:pt>
                <c:pt idx="11">
                  <c:v>700.22451233090646</c:v>
                </c:pt>
                <c:pt idx="12">
                  <c:v>942.98645561112266</c:v>
                </c:pt>
                <c:pt idx="13">
                  <c:v>1221.9566869906375</c:v>
                </c:pt>
                <c:pt idx="14">
                  <c:v>1532.3881393924614</c:v>
                </c:pt>
                <c:pt idx="15">
                  <c:v>1868.1453433483396</c:v>
                </c:pt>
                <c:pt idx="16">
                  <c:v>2222.1152864381188</c:v>
                </c:pt>
                <c:pt idx="17">
                  <c:v>2586.6227674729244</c:v>
                </c:pt>
                <c:pt idx="18">
                  <c:v>2953.8211567144863</c:v>
                </c:pt>
                <c:pt idx="19">
                  <c:v>3316.0383834025865</c:v>
                </c:pt>
                <c:pt idx="20">
                  <c:v>3666.065924461172</c:v>
                </c:pt>
                <c:pt idx="21">
                  <c:v>3997.3852013611013</c:v>
                </c:pt>
                <c:pt idx="22">
                  <c:v>4304.3309944338198</c:v>
                </c:pt>
                <c:pt idx="23">
                  <c:v>4582.1953054953592</c:v>
                </c:pt>
                <c:pt idx="24">
                  <c:v>4827.2776849200145</c:v>
                </c:pt>
                <c:pt idx="25">
                  <c:v>5036.8895793207357</c:v>
                </c:pt>
                <c:pt idx="26">
                  <c:v>5209.3209556989568</c:v>
                </c:pt>
                <c:pt idx="27">
                  <c:v>5343.7775152609256</c:v>
                </c:pt>
                <c:pt idx="28">
                  <c:v>5440.2964036867024</c:v>
                </c:pt>
                <c:pt idx="29">
                  <c:v>5499.6476076470344</c:v>
                </c:pt>
                <c:pt idx="30">
                  <c:v>5523.2273255164155</c:v>
                </c:pt>
                <c:pt idx="31">
                  <c:v>5512.9486125604508</c:v>
                </c:pt>
                <c:pt idx="32">
                  <c:v>5471.1336020506551</c:v>
                </c:pt>
                <c:pt idx="33">
                  <c:v>5400.4106472717085</c:v>
                </c:pt>
                <c:pt idx="34">
                  <c:v>5303.6188510124994</c:v>
                </c:pt>
                <c:pt idx="35">
                  <c:v>5183.721670365946</c:v>
                </c:pt>
                <c:pt idx="36">
                  <c:v>5043.7306158760566</c:v>
                </c:pt>
                <c:pt idx="37">
                  <c:v>4886.6395073072954</c:v>
                </c:pt>
                <c:pt idx="38">
                  <c:v>4715.3692996624841</c:v>
                </c:pt>
                <c:pt idx="39">
                  <c:v>4532.7231446341684</c:v>
                </c:pt>
                <c:pt idx="40">
                  <c:v>4341.3510940926071</c:v>
                </c:pt>
                <c:pt idx="41">
                  <c:v>4143.7236719139046</c:v>
                </c:pt>
                <c:pt idx="42">
                  <c:v>3942.1134265221945</c:v>
                </c:pt>
                <c:pt idx="43">
                  <c:v>3738.5835173621804</c:v>
                </c:pt>
                <c:pt idx="44">
                  <c:v>3534.9823732845712</c:v>
                </c:pt>
                <c:pt idx="45">
                  <c:v>3332.9434796889386</c:v>
                </c:pt>
                <c:pt idx="46">
                  <c:v>3133.8893955613089</c:v>
                </c:pt>
                <c:pt idx="47">
                  <c:v>2939.0391638180076</c:v>
                </c:pt>
                <c:pt idx="48">
                  <c:v>2749.4183523631232</c:v>
                </c:pt>
                <c:pt idx="49">
                  <c:v>2565.871043853826</c:v>
                </c:pt>
                <c:pt idx="50">
                  <c:v>2389.0731752436877</c:v>
                </c:pt>
                <c:pt idx="51">
                  <c:v>2219.546710556283</c:v>
                </c:pt>
                <c:pt idx="52">
                  <c:v>2057.6742096444837</c:v>
                </c:pt>
                <c:pt idx="53">
                  <c:v>1903.7134302112145</c:v>
                </c:pt>
                <c:pt idx="54">
                  <c:v>1757.8116689677706</c:v>
                </c:pt>
                <c:pt idx="55">
                  <c:v>1620.0196098123886</c:v>
                </c:pt>
                <c:pt idx="56">
                  <c:v>1490.3045020196262</c:v>
                </c:pt>
                <c:pt idx="57">
                  <c:v>1368.5625396221637</c:v>
                </c:pt>
                <c:pt idx="58">
                  <c:v>1254.6303546379622</c:v>
                </c:pt>
                <c:pt idx="59">
                  <c:v>1148.2955718999003</c:v>
                </c:pt>
                <c:pt idx="60">
                  <c:v>1049.3064024402872</c:v>
                </c:pt>
                <c:pt idx="61">
                  <c:v>957.38027619154821</c:v>
                </c:pt>
                <c:pt idx="62">
                  <c:v>872.21153374295136</c:v>
                </c:pt>
                <c:pt idx="63">
                  <c:v>793.47821160469312</c:v>
                </c:pt>
                <c:pt idx="64">
                  <c:v>720.84796642678043</c:v>
                </c:pt>
                <c:pt idx="65">
                  <c:v>653.98319142829826</c:v>
                </c:pt>
                <c:pt idx="66">
                  <c:v>592.54538340507133</c:v>
                </c:pt>
                <c:pt idx="67">
                  <c:v>536.19882155294283</c:v>
                </c:pt>
                <c:pt idx="68">
                  <c:v>484.61362037801428</c:v>
                </c:pt>
                <c:pt idx="69">
                  <c:v>437.46821852819113</c:v>
                </c:pt>
                <c:pt idx="70">
                  <c:v>394.45136379165587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9"/>
          <c:order val="5"/>
          <c:tx>
            <c:strRef>
              <c:f>'New_confirmed - ExpPwLaw'!$N$7</c:f>
              <c:strCache>
                <c:ptCount val="1"/>
                <c:pt idx="0">
                  <c:v>New_positive_fit</c:v>
                </c:pt>
              </c:strCache>
            </c:strRef>
          </c:tx>
          <c:spPr>
            <a:ln w="9525" cap="rnd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none"/>
          </c:marker>
          <c:yVal>
            <c:numRef>
              <c:f>'New_confirmed - ExpPwLaw'!$N$8:$N$78</c:f>
              <c:numCache>
                <c:formatCode>0</c:formatCode>
                <c:ptCount val="71"/>
                <c:pt idx="0">
                  <c:v>0</c:v>
                </c:pt>
                <c:pt idx="1">
                  <c:v>-0.38210284863937366</c:v>
                </c:pt>
                <c:pt idx="2">
                  <c:v>-1.7928502623888709</c:v>
                </c:pt>
                <c:pt idx="3">
                  <c:v>-3.2160539639465351</c:v>
                </c:pt>
                <c:pt idx="4">
                  <c:v>-1.5476879140371924</c:v>
                </c:pt>
                <c:pt idx="5">
                  <c:v>8.2610188524364734</c:v>
                </c:pt>
                <c:pt idx="6">
                  <c:v>32.511670419696081</c:v>
                </c:pt>
                <c:pt idx="7">
                  <c:v>77.806083086977807</c:v>
                </c:pt>
                <c:pt idx="8">
                  <c:v>150.09912167110201</c:v>
                </c:pt>
                <c:pt idx="9">
                  <c:v>253.93016886133017</c:v>
                </c:pt>
                <c:pt idx="10">
                  <c:v>391.91658489616185</c:v>
                </c:pt>
                <c:pt idx="11">
                  <c:v>564.52411645354289</c:v>
                </c:pt>
                <c:pt idx="12">
                  <c:v>770.08478316730589</c:v>
                </c:pt>
                <c:pt idx="13">
                  <c:v>1005.0090036296175</c:v>
                </c:pt>
                <c:pt idx="14">
                  <c:v>1264.1305022961637</c:v>
                </c:pt>
                <c:pt idx="15">
                  <c:v>1541.1247591932711</c:v>
                </c:pt>
                <c:pt idx="16">
                  <c:v>1828.9501085656132</c:v>
                </c:pt>
                <c:pt idx="17">
                  <c:v>2120.2717708981918</c:v>
                </c:pt>
                <c:pt idx="18">
                  <c:v>2407.8408236232772</c:v>
                </c:pt>
                <c:pt idx="19">
                  <c:v>2684.8109358744914</c:v>
                </c:pt>
                <c:pt idx="20">
                  <c:v>2944.9848275346712</c:v>
                </c:pt>
                <c:pt idx="21">
                  <c:v>3182.9895530203803</c:v>
                </c:pt>
                <c:pt idx="22">
                  <c:v>3394.3848622228597</c:v>
                </c:pt>
                <c:pt idx="23">
                  <c:v>3575.7122510753011</c:v>
                </c:pt>
                <c:pt idx="24">
                  <c:v>3724.4941747644889</c:v>
                </c:pt>
                <c:pt idx="25">
                  <c:v>3839.1935810874602</c:v>
                </c:pt>
                <c:pt idx="26">
                  <c:v>3919.143742420797</c:v>
                </c:pt>
                <c:pt idx="27">
                  <c:v>3964.457599716558</c:v>
                </c:pt>
                <c:pt idx="28">
                  <c:v>3975.9247118977446</c:v>
                </c:pt>
                <c:pt idx="29">
                  <c:v>3954.9026108154458</c:v>
                </c:pt>
                <c:pt idx="30">
                  <c:v>3903.2080307841261</c:v>
                </c:pt>
                <c:pt idx="31">
                  <c:v>3823.0122069466024</c:v>
                </c:pt>
                <c:pt idx="32">
                  <c:v>3716.7432786827376</c:v>
                </c:pt>
                <c:pt idx="33">
                  <c:v>3586.9978265164282</c:v>
                </c:pt>
                <c:pt idx="34">
                  <c:v>3436.4627269120656</c:v>
                </c:pt>
                <c:pt idx="35">
                  <c:v>3267.8478280931377</c:v>
                </c:pt>
                <c:pt idx="36">
                  <c:v>3083.8294211771818</c:v>
                </c:pt>
                <c:pt idx="37">
                  <c:v>2887.0040884310029</c:v>
                </c:pt>
                <c:pt idx="38">
                  <c:v>2679.8522354341549</c:v>
                </c:pt>
                <c:pt idx="39">
                  <c:v>2464.7104367957827</c:v>
                </c:pt>
                <c:pt idx="40">
                  <c:v>2243.7516268845334</c:v>
                </c:pt>
                <c:pt idx="41">
                  <c:v>2018.972130462668</c:v>
                </c:pt>
                <c:pt idx="42">
                  <c:v>1792.1845378826579</c:v>
                </c:pt>
                <c:pt idx="43">
                  <c:v>1565.0154725806433</c:v>
                </c:pt>
                <c:pt idx="44">
                  <c:v>1338.9073642113822</c:v>
                </c:pt>
                <c:pt idx="45">
                  <c:v>1115.1234202483679</c:v>
                </c:pt>
                <c:pt idx="46">
                  <c:v>894.75507545414212</c:v>
                </c:pt>
                <c:pt idx="47">
                  <c:v>678.73128719179283</c:v>
                </c:pt>
                <c:pt idx="48">
                  <c:v>467.82913136817575</c:v>
                </c:pt>
                <c:pt idx="49">
                  <c:v>262.68523628154321</c:v>
                </c:pt>
                <c:pt idx="50">
                  <c:v>63.807668109925885</c:v>
                </c:pt>
                <c:pt idx="51">
                  <c:v>-128.41204874986539</c:v>
                </c:pt>
                <c:pt idx="52">
                  <c:v>-313.68703123500063</c:v>
                </c:pt>
                <c:pt idx="53">
                  <c:v>-491.82345722273203</c:v>
                </c:pt>
                <c:pt idx="54">
                  <c:v>-662.70945800260915</c:v>
                </c:pt>
                <c:pt idx="55">
                  <c:v>-826.30459589016937</c:v>
                </c:pt>
                <c:pt idx="56">
                  <c:v>-982.63000499826614</c:v>
                </c:pt>
                <c:pt idx="57">
                  <c:v>-1131.759244607962</c:v>
                </c:pt>
                <c:pt idx="58">
                  <c:v>-1273.8098910790725</c:v>
                </c:pt>
                <c:pt idx="59">
                  <c:v>-1408.9358752061282</c:v>
                </c:pt>
                <c:pt idx="60">
                  <c:v>-1537.3205567807991</c:v>
                </c:pt>
                <c:pt idx="61">
                  <c:v>-1659.170516328084</c:v>
                </c:pt>
                <c:pt idx="62">
                  <c:v>-1774.7100350472231</c:v>
                </c:pt>
                <c:pt idx="63">
                  <c:v>-1884.1762274644498</c:v>
                </c:pt>
                <c:pt idx="64">
                  <c:v>-1987.814786797326</c:v>
                </c:pt>
                <c:pt idx="65">
                  <c:v>-2085.8763001902048</c:v>
                </c:pt>
                <c:pt idx="66">
                  <c:v>-2178.6130895027177</c:v>
                </c:pt>
                <c:pt idx="67">
                  <c:v>-2266.2765329538838</c:v>
                </c:pt>
                <c:pt idx="68">
                  <c:v>-2349.1148234171146</c:v>
                </c:pt>
                <c:pt idx="69">
                  <c:v>-2427.3711203323655</c:v>
                </c:pt>
                <c:pt idx="70">
                  <c:v>-2501.2820538872438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5B-4E09-90F1-E61A18B2A20F}"/>
            </c:ext>
          </c:extLst>
        </c:ser>
        <c:ser>
          <c:idx val="11"/>
          <c:order val="7"/>
          <c:tx>
            <c:strRef>
              <c:f>'New_confirmed - ExpPwLaw'!$S$7</c:f>
              <c:strCache>
                <c:ptCount val="1"/>
                <c:pt idx="0">
                  <c:v>New_Recovered_fit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ExpPwLaw'!$S$8:$S$78</c:f>
              <c:numCache>
                <c:formatCode>0</c:formatCode>
                <c:ptCount val="71"/>
                <c:pt idx="0">
                  <c:v>0</c:v>
                </c:pt>
                <c:pt idx="1">
                  <c:v>0.38981797097388843</c:v>
                </c:pt>
                <c:pt idx="2">
                  <c:v>2.0882546257848849</c:v>
                </c:pt>
                <c:pt idx="3">
                  <c:v>5.5231437406420802</c:v>
                </c:pt>
                <c:pt idx="4">
                  <c:v>10.94193411966069</c:v>
                </c:pt>
                <c:pt idx="5">
                  <c:v>18.502802775863262</c:v>
                </c:pt>
                <c:pt idx="6">
                  <c:v>28.306491121754703</c:v>
                </c:pt>
                <c:pt idx="7">
                  <c:v>40.412817251165542</c:v>
                </c:pt>
                <c:pt idx="8">
                  <c:v>54.850783454526201</c:v>
                </c:pt>
                <c:pt idx="9">
                  <c:v>71.625394559724967</c:v>
                </c:pt>
                <c:pt idx="10">
                  <c:v>90.722562215783199</c:v>
                </c:pt>
                <c:pt idx="11">
                  <c:v>112.11279580889735</c:v>
                </c:pt>
                <c:pt idx="12">
                  <c:v>135.75407442538619</c:v>
                </c:pt>
                <c:pt idx="13">
                  <c:v>161.59413889588097</c:v>
                </c:pt>
                <c:pt idx="14">
                  <c:v>189.57235733175966</c:v>
                </c:pt>
                <c:pt idx="15">
                  <c:v>219.62126723764101</c:v>
                </c:pt>
                <c:pt idx="16">
                  <c:v>251.66786612593276</c:v>
                </c:pt>
                <c:pt idx="17">
                  <c:v>285.63470242542348</c:v>
                </c:pt>
                <c:pt idx="18">
                  <c:v>321.4408049886585</c:v>
                </c:pt>
                <c:pt idx="19">
                  <c:v>359.00248018629469</c:v>
                </c:pt>
                <c:pt idx="20">
                  <c:v>398.23399896793069</c:v>
                </c:pt>
                <c:pt idx="21">
                  <c:v>439.04819147104371</c:v>
                </c:pt>
                <c:pt idx="22">
                  <c:v>481.35696320448329</c:v>
                </c:pt>
                <c:pt idx="23">
                  <c:v>525.07174415032227</c:v>
                </c:pt>
                <c:pt idx="24">
                  <c:v>570.10388007041479</c:v>
                </c:pt>
                <c:pt idx="25">
                  <c:v>616.36497370282132</c:v>
                </c:pt>
                <c:pt idx="26">
                  <c:v>663.76718227052822</c:v>
                </c:pt>
                <c:pt idx="27">
                  <c:v>712.22347671703801</c:v>
                </c:pt>
                <c:pt idx="28">
                  <c:v>761.64786727011381</c:v>
                </c:pt>
                <c:pt idx="29">
                  <c:v>811.95559927202885</c:v>
                </c:pt>
                <c:pt idx="30">
                  <c:v>863.0633226693102</c:v>
                </c:pt>
                <c:pt idx="31">
                  <c:v>914.88923810247854</c:v>
                </c:pt>
                <c:pt idx="32">
                  <c:v>967.35322215792621</c:v>
                </c:pt>
                <c:pt idx="33">
                  <c:v>1020.376934025359</c:v>
                </c:pt>
                <c:pt idx="34">
                  <c:v>1073.8839055339824</c:v>
                </c:pt>
                <c:pt idx="35">
                  <c:v>1127.7996163100026</c:v>
                </c:pt>
                <c:pt idx="36">
                  <c:v>1182.0515556000985</c:v>
                </c:pt>
                <c:pt idx="37">
                  <c:v>1236.5692721347402</c:v>
                </c:pt>
                <c:pt idx="38">
                  <c:v>1291.2844132571186</c:v>
                </c:pt>
                <c:pt idx="39">
                  <c:v>1346.1307544144054</c:v>
                </c:pt>
                <c:pt idx="40">
                  <c:v>1401.0442199951337</c:v>
                </c:pt>
                <c:pt idx="41">
                  <c:v>1455.9628963972434</c:v>
                </c:pt>
                <c:pt idx="42">
                  <c:v>1510.8270381238146</c:v>
                </c:pt>
                <c:pt idx="43">
                  <c:v>1565.5790676260242</c:v>
                </c:pt>
                <c:pt idx="44">
                  <c:v>1620.1635695440459</c:v>
                </c:pt>
                <c:pt idx="45">
                  <c:v>1674.5272799352961</c:v>
                </c:pt>
                <c:pt idx="46">
                  <c:v>1728.6190710246515</c:v>
                </c:pt>
                <c:pt idx="47">
                  <c:v>1782.3899319621773</c:v>
                </c:pt>
                <c:pt idx="48">
                  <c:v>1835.7929460298162</c:v>
                </c:pt>
                <c:pt idx="49">
                  <c:v>1888.7832646987877</c:v>
                </c:pt>
                <c:pt idx="50">
                  <c:v>1941.318078903633</c:v>
                </c:pt>
                <c:pt idx="51">
                  <c:v>1993.3565878664392</c:v>
                </c:pt>
                <c:pt idx="52">
                  <c:v>2044.8599657754289</c:v>
                </c:pt>
                <c:pt idx="53">
                  <c:v>2095.7913265954758</c:v>
                </c:pt>
                <c:pt idx="54">
                  <c:v>2146.1156872638667</c:v>
                </c:pt>
                <c:pt idx="55">
                  <c:v>2195.799929502592</c:v>
                </c:pt>
                <c:pt idx="56">
                  <c:v>2244.812760458326</c:v>
                </c:pt>
                <c:pt idx="57">
                  <c:v>2293.1246723628983</c:v>
                </c:pt>
                <c:pt idx="58">
                  <c:v>2340.7079013902548</c:v>
                </c:pt>
                <c:pt idx="59">
                  <c:v>2387.5363858705373</c:v>
                </c:pt>
                <c:pt idx="60">
                  <c:v>2433.5857240078353</c:v>
                </c:pt>
                <c:pt idx="61">
                  <c:v>2478.8331312352243</c:v>
                </c:pt>
                <c:pt idx="62">
                  <c:v>2523.2573973288368</c:v>
                </c:pt>
                <c:pt idx="63">
                  <c:v>2566.8388433918512</c:v>
                </c:pt>
                <c:pt idx="64">
                  <c:v>2609.5592788091958</c:v>
                </c:pt>
                <c:pt idx="65">
                  <c:v>2651.4019582645947</c:v>
                </c:pt>
                <c:pt idx="66">
                  <c:v>2692.351538903064</c:v>
                </c:pt>
                <c:pt idx="67">
                  <c:v>2732.3940377141425</c:v>
                </c:pt>
                <c:pt idx="68">
                  <c:v>2771.516789203934</c:v>
                </c:pt>
                <c:pt idx="69">
                  <c:v>2809.7084034173931</c:v>
                </c:pt>
                <c:pt idx="70">
                  <c:v>2846.9587243661499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5B-4E09-90F1-E61A18B2A20F}"/>
            </c:ext>
          </c:extLst>
        </c:ser>
        <c:ser>
          <c:idx val="5"/>
          <c:order val="11"/>
          <c:tx>
            <c:strRef>
              <c:f>'New_confirmed - ExpPwLaw'!$AA$7</c:f>
              <c:strCache>
                <c:ptCount val="1"/>
                <c:pt idx="0">
                  <c:v>New_Deaths_fit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ExpPwLaw'!$AA$8:$AA$78</c:f>
              <c:numCache>
                <c:formatCode>0</c:formatCode>
                <c:ptCount val="71"/>
                <c:pt idx="0">
                  <c:v>0</c:v>
                </c:pt>
                <c:pt idx="1">
                  <c:v>1.353561561120374E-6</c:v>
                </c:pt>
                <c:pt idx="2">
                  <c:v>2.6245586809707668E-4</c:v>
                </c:pt>
                <c:pt idx="3">
                  <c:v>5.1823742762216896E-3</c:v>
                </c:pt>
                <c:pt idx="4">
                  <c:v>4.0161736108775097E-2</c:v>
                </c:pt>
                <c:pt idx="5">
                  <c:v>0.1864349917189812</c:v>
                </c:pt>
                <c:pt idx="6">
                  <c:v>0.62583937271398815</c:v>
                </c:pt>
                <c:pt idx="7">
                  <c:v>1.6797618818954332</c:v>
                </c:pt>
                <c:pt idx="8">
                  <c:v>3.827581980172674</c:v>
                </c:pt>
                <c:pt idx="9">
                  <c:v>7.6964632822975352</c:v>
                </c:pt>
                <c:pt idx="10">
                  <c:v>14.02223906192345</c:v>
                </c:pt>
                <c:pt idx="11">
                  <c:v>23.587600068466266</c:v>
                </c:pt>
                <c:pt idx="12">
                  <c:v>37.147598018430557</c:v>
                </c:pt>
                <c:pt idx="13">
                  <c:v>55.353544465139201</c:v>
                </c:pt>
                <c:pt idx="14">
                  <c:v>78.685279764538208</c:v>
                </c:pt>
                <c:pt idx="15">
                  <c:v>107.39931691742756</c:v>
                </c:pt>
                <c:pt idx="16">
                  <c:v>141.4973117465729</c:v>
                </c:pt>
                <c:pt idx="17">
                  <c:v>180.71629414930865</c:v>
                </c:pt>
                <c:pt idx="18">
                  <c:v>224.53952810255055</c:v>
                </c:pt>
                <c:pt idx="19">
                  <c:v>272.22496734180072</c:v>
                </c:pt>
                <c:pt idx="20">
                  <c:v>322.84709795857003</c:v>
                </c:pt>
                <c:pt idx="21">
                  <c:v>375.34745686967744</c:v>
                </c:pt>
                <c:pt idx="22">
                  <c:v>428.5891690064766</c:v>
                </c:pt>
                <c:pt idx="23">
                  <c:v>481.41131026973591</c:v>
                </c:pt>
                <c:pt idx="24">
                  <c:v>532.67963008511117</c:v>
                </c:pt>
                <c:pt idx="25">
                  <c:v>581.33102453045444</c:v>
                </c:pt>
                <c:pt idx="26">
                  <c:v>626.41003100763214</c:v>
                </c:pt>
                <c:pt idx="27">
                  <c:v>667.09643882732928</c:v>
                </c:pt>
                <c:pt idx="28">
                  <c:v>702.72382451884391</c:v>
                </c:pt>
                <c:pt idx="29">
                  <c:v>732.7893975595598</c:v>
                </c:pt>
                <c:pt idx="30">
                  <c:v>756.95597206297953</c:v>
                </c:pt>
                <c:pt idx="31">
                  <c:v>775.04716751136937</c:v>
                </c:pt>
                <c:pt idx="32">
                  <c:v>787.03710120999108</c:v>
                </c:pt>
                <c:pt idx="33">
                  <c:v>793.03588672992089</c:v>
                </c:pt>
                <c:pt idx="34">
                  <c:v>793.27221856645133</c:v>
                </c:pt>
                <c:pt idx="35">
                  <c:v>788.07422596280583</c:v>
                </c:pt>
                <c:pt idx="36">
                  <c:v>777.84963909877672</c:v>
                </c:pt>
                <c:pt idx="37">
                  <c:v>763.06614674155219</c:v>
                </c:pt>
                <c:pt idx="38">
                  <c:v>744.23265097121089</c:v>
                </c:pt>
                <c:pt idx="39">
                  <c:v>721.88195342398035</c:v>
                </c:pt>
                <c:pt idx="40">
                  <c:v>696.55524721293989</c:v>
                </c:pt>
                <c:pt idx="41">
                  <c:v>668.78864505399292</c:v>
                </c:pt>
                <c:pt idx="42">
                  <c:v>639.10185051572216</c:v>
                </c:pt>
                <c:pt idx="43">
                  <c:v>607.98897715551254</c:v>
                </c:pt>
                <c:pt idx="44">
                  <c:v>575.91143952914319</c:v>
                </c:pt>
                <c:pt idx="45">
                  <c:v>543.29277950527455</c:v>
                </c:pt>
                <c:pt idx="46">
                  <c:v>510.51524908251525</c:v>
                </c:pt>
                <c:pt idx="47">
                  <c:v>477.91794466403746</c:v>
                </c:pt>
                <c:pt idx="48">
                  <c:v>445.7962749651312</c:v>
                </c:pt>
                <c:pt idx="49">
                  <c:v>414.40254287349512</c:v>
                </c:pt>
                <c:pt idx="50">
                  <c:v>383.94742823012882</c:v>
                </c:pt>
                <c:pt idx="51">
                  <c:v>354.60217143970914</c:v>
                </c:pt>
                <c:pt idx="52">
                  <c:v>326.50127510405537</c:v>
                </c:pt>
                <c:pt idx="53">
                  <c:v>299.74556083847074</c:v>
                </c:pt>
                <c:pt idx="54">
                  <c:v>274.40543970651311</c:v>
                </c:pt>
                <c:pt idx="55">
                  <c:v>250.52427619996587</c:v>
                </c:pt>
                <c:pt idx="56">
                  <c:v>228.1217465595663</c:v>
                </c:pt>
                <c:pt idx="57">
                  <c:v>207.19711186722759</c:v>
                </c:pt>
                <c:pt idx="58">
                  <c:v>187.73234432677995</c:v>
                </c:pt>
                <c:pt idx="59">
                  <c:v>169.69506123549129</c:v>
                </c:pt>
                <c:pt idx="60">
                  <c:v>153.04123521325101</c:v>
                </c:pt>
                <c:pt idx="61">
                  <c:v>137.71766128440785</c:v>
                </c:pt>
                <c:pt idx="62">
                  <c:v>123.6641714613376</c:v>
                </c:pt>
                <c:pt idx="63">
                  <c:v>110.81559567729171</c:v>
                </c:pt>
                <c:pt idx="64">
                  <c:v>99.103474414910607</c:v>
                </c:pt>
                <c:pt idx="65">
                  <c:v>88.457533353908488</c:v>
                </c:pt>
                <c:pt idx="66">
                  <c:v>78.806934004725093</c:v>
                </c:pt>
                <c:pt idx="67">
                  <c:v>70.081316792683978</c:v>
                </c:pt>
                <c:pt idx="68">
                  <c:v>62.211654591195099</c:v>
                </c:pt>
                <c:pt idx="69">
                  <c:v>55.130935443163636</c:v>
                </c:pt>
                <c:pt idx="70">
                  <c:v>48.774693312749534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'New_confirmed - ExpPwLaw'!$J$7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1059.8310696250608</c:v>
                      </c:pt>
                      <c:pt idx="1">
                        <c:v>1059.8387861009569</c:v>
                      </c:pt>
                      <c:pt idx="2">
                        <c:v>1060.1267364443249</c:v>
                      </c:pt>
                      <c:pt idx="3">
                        <c:v>1062.1433417760325</c:v>
                      </c:pt>
                      <c:pt idx="4">
                        <c:v>1069.2654775667929</c:v>
                      </c:pt>
                      <c:pt idx="5">
                        <c:v>1086.7813262450795</c:v>
                      </c:pt>
                      <c:pt idx="6">
                        <c:v>1121.2750705392255</c:v>
                      </c:pt>
                      <c:pt idx="7">
                        <c:v>1179.7297318450996</c:v>
                      </c:pt>
                      <c:pt idx="8">
                        <c:v>1268.6085567308617</c:v>
                      </c:pt>
                      <c:pt idx="9">
                        <c:v>1393.0830963284134</c:v>
                      </c:pt>
                      <c:pt idx="10">
                        <c:v>1556.4924557989293</c:v>
                      </c:pt>
                      <c:pt idx="11">
                        <c:v>1760.0555819559672</c:v>
                      </c:pt>
                      <c:pt idx="12">
                        <c:v>2002.8175252361834</c:v>
                      </c:pt>
                      <c:pt idx="13">
                        <c:v>2281.7877566156985</c:v>
                      </c:pt>
                      <c:pt idx="14">
                        <c:v>2592.2192090175222</c:v>
                      </c:pt>
                      <c:pt idx="15">
                        <c:v>2927.9764129734003</c:v>
                      </c:pt>
                      <c:pt idx="16">
                        <c:v>3281.9463560631793</c:v>
                      </c:pt>
                      <c:pt idx="17">
                        <c:v>3646.4538370979853</c:v>
                      </c:pt>
                      <c:pt idx="18">
                        <c:v>4013.6522263395473</c:v>
                      </c:pt>
                      <c:pt idx="19">
                        <c:v>4375.8694530276471</c:v>
                      </c:pt>
                      <c:pt idx="20">
                        <c:v>4725.8969940862326</c:v>
                      </c:pt>
                      <c:pt idx="21">
                        <c:v>5057.2162709861623</c:v>
                      </c:pt>
                      <c:pt idx="22">
                        <c:v>5364.1620640588808</c:v>
                      </c:pt>
                      <c:pt idx="23">
                        <c:v>5642.0263751204202</c:v>
                      </c:pt>
                      <c:pt idx="24">
                        <c:v>5887.1087545450755</c:v>
                      </c:pt>
                      <c:pt idx="25">
                        <c:v>6096.7206489457967</c:v>
                      </c:pt>
                      <c:pt idx="26">
                        <c:v>6269.1520253240178</c:v>
                      </c:pt>
                      <c:pt idx="27">
                        <c:v>6403.6085848859866</c:v>
                      </c:pt>
                      <c:pt idx="28">
                        <c:v>6500.1274733117634</c:v>
                      </c:pt>
                      <c:pt idx="29">
                        <c:v>6559.4786772720954</c:v>
                      </c:pt>
                      <c:pt idx="30">
                        <c:v>6583.0583951414765</c:v>
                      </c:pt>
                      <c:pt idx="31">
                        <c:v>6572.7796821855118</c:v>
                      </c:pt>
                      <c:pt idx="32">
                        <c:v>6530.9646716757161</c:v>
                      </c:pt>
                      <c:pt idx="33">
                        <c:v>6460.2417168967695</c:v>
                      </c:pt>
                      <c:pt idx="34">
                        <c:v>6363.4499206375604</c:v>
                      </c:pt>
                      <c:pt idx="35">
                        <c:v>6243.552739991007</c:v>
                      </c:pt>
                      <c:pt idx="36">
                        <c:v>6103.5616855011176</c:v>
                      </c:pt>
                      <c:pt idx="37">
                        <c:v>5946.4705769323564</c:v>
                      </c:pt>
                      <c:pt idx="38">
                        <c:v>5775.2003692875451</c:v>
                      </c:pt>
                      <c:pt idx="39">
                        <c:v>5592.5542142592294</c:v>
                      </c:pt>
                      <c:pt idx="40">
                        <c:v>5401.1821637176681</c:v>
                      </c:pt>
                      <c:pt idx="41">
                        <c:v>5203.5547415389656</c:v>
                      </c:pt>
                      <c:pt idx="42">
                        <c:v>5001.9444961472554</c:v>
                      </c:pt>
                      <c:pt idx="43">
                        <c:v>4798.4145869872409</c:v>
                      </c:pt>
                      <c:pt idx="44">
                        <c:v>4594.8134429096317</c:v>
                      </c:pt>
                      <c:pt idx="45">
                        <c:v>4392.7745493139992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FAC-474A-ABEF-27282C11884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162.12561736557677</c:v>
                      </c:pt>
                      <c:pt idx="14">
                        <c:v>472.55706976740066</c:v>
                      </c:pt>
                      <c:pt idx="15">
                        <c:v>808.3142737232788</c:v>
                      </c:pt>
                      <c:pt idx="16">
                        <c:v>1162.284216813058</c:v>
                      </c:pt>
                      <c:pt idx="17">
                        <c:v>1526.7916978478636</c:v>
                      </c:pt>
                      <c:pt idx="18">
                        <c:v>1893.9900870894255</c:v>
                      </c:pt>
                      <c:pt idx="19">
                        <c:v>2256.207313777526</c:v>
                      </c:pt>
                      <c:pt idx="20">
                        <c:v>2606.2348548361115</c:v>
                      </c:pt>
                      <c:pt idx="21">
                        <c:v>2937.5541317360403</c:v>
                      </c:pt>
                      <c:pt idx="22">
                        <c:v>3244.4999248087588</c:v>
                      </c:pt>
                      <c:pt idx="23">
                        <c:v>3522.3642358702982</c:v>
                      </c:pt>
                      <c:pt idx="24">
                        <c:v>3767.4466152949535</c:v>
                      </c:pt>
                      <c:pt idx="25">
                        <c:v>3977.0585096956747</c:v>
                      </c:pt>
                      <c:pt idx="26">
                        <c:v>4149.4898860738958</c:v>
                      </c:pt>
                      <c:pt idx="27">
                        <c:v>4283.9464456358646</c:v>
                      </c:pt>
                      <c:pt idx="28">
                        <c:v>4380.4653340616414</c:v>
                      </c:pt>
                      <c:pt idx="29">
                        <c:v>4439.8165380219734</c:v>
                      </c:pt>
                      <c:pt idx="30">
                        <c:v>4463.3962558913545</c:v>
                      </c:pt>
                      <c:pt idx="31">
                        <c:v>4453.1175429353898</c:v>
                      </c:pt>
                      <c:pt idx="32">
                        <c:v>4411.3025324255941</c:v>
                      </c:pt>
                      <c:pt idx="33">
                        <c:v>4340.5795776466475</c:v>
                      </c:pt>
                      <c:pt idx="34">
                        <c:v>4243.7877813874384</c:v>
                      </c:pt>
                      <c:pt idx="35">
                        <c:v>4123.890600740885</c:v>
                      </c:pt>
                      <c:pt idx="36">
                        <c:v>3983.8995462509956</c:v>
                      </c:pt>
                      <c:pt idx="37">
                        <c:v>3826.8084376822344</c:v>
                      </c:pt>
                      <c:pt idx="38">
                        <c:v>3655.5382300374231</c:v>
                      </c:pt>
                      <c:pt idx="39">
                        <c:v>3472.8920750091074</c:v>
                      </c:pt>
                      <c:pt idx="40">
                        <c:v>3281.5200244675461</c:v>
                      </c:pt>
                      <c:pt idx="41">
                        <c:v>3083.8926022888436</c:v>
                      </c:pt>
                      <c:pt idx="42">
                        <c:v>2882.2823568971335</c:v>
                      </c:pt>
                      <c:pt idx="43">
                        <c:v>2678.7524477371198</c:v>
                      </c:pt>
                      <c:pt idx="44">
                        <c:v>2475.1513036595106</c:v>
                      </c:pt>
                      <c:pt idx="45">
                        <c:v>2273.1124100638781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AC-474A-ABEF-27282C118849}"/>
                  </c:ext>
                </c:extLst>
              </c15:ser>
            </c15:filteredScatterSeries>
            <c15:filteredScatter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505.10658424425429</c:v>
                      </c:pt>
                      <c:pt idx="1">
                        <c:v>505.49640221522816</c:v>
                      </c:pt>
                      <c:pt idx="2">
                        <c:v>507.19483887003918</c:v>
                      </c:pt>
                      <c:pt idx="3">
                        <c:v>510.62972798489636</c:v>
                      </c:pt>
                      <c:pt idx="4">
                        <c:v>516.04851836391504</c:v>
                      </c:pt>
                      <c:pt idx="5">
                        <c:v>523.60938702011754</c:v>
                      </c:pt>
                      <c:pt idx="6">
                        <c:v>533.41307536600902</c:v>
                      </c:pt>
                      <c:pt idx="7">
                        <c:v>545.51940149541986</c:v>
                      </c:pt>
                      <c:pt idx="8">
                        <c:v>559.95736769878044</c:v>
                      </c:pt>
                      <c:pt idx="9">
                        <c:v>576.73197880397925</c:v>
                      </c:pt>
                      <c:pt idx="10">
                        <c:v>595.82914646003746</c:v>
                      </c:pt>
                      <c:pt idx="11">
                        <c:v>617.21938005315167</c:v>
                      </c:pt>
                      <c:pt idx="12">
                        <c:v>640.86065866964054</c:v>
                      </c:pt>
                      <c:pt idx="13">
                        <c:v>666.70072314013532</c:v>
                      </c:pt>
                      <c:pt idx="14">
                        <c:v>694.67894157601393</c:v>
                      </c:pt>
                      <c:pt idx="15">
                        <c:v>724.7278514818953</c:v>
                      </c:pt>
                      <c:pt idx="16">
                        <c:v>756.77445037018708</c:v>
                      </c:pt>
                      <c:pt idx="17">
                        <c:v>790.74128666967772</c:v>
                      </c:pt>
                      <c:pt idx="18">
                        <c:v>826.54738923291279</c:v>
                      </c:pt>
                      <c:pt idx="19">
                        <c:v>864.10906443054898</c:v>
                      </c:pt>
                      <c:pt idx="20">
                        <c:v>903.34058321218504</c:v>
                      </c:pt>
                      <c:pt idx="21">
                        <c:v>944.154775715298</c:v>
                      </c:pt>
                      <c:pt idx="22">
                        <c:v>986.46354744873759</c:v>
                      </c:pt>
                      <c:pt idx="23">
                        <c:v>1030.1783283945765</c:v>
                      </c:pt>
                      <c:pt idx="24">
                        <c:v>1075.210464314669</c:v>
                      </c:pt>
                      <c:pt idx="25">
                        <c:v>1121.4715579470756</c:v>
                      </c:pt>
                      <c:pt idx="26">
                        <c:v>1168.8737665147826</c:v>
                      </c:pt>
                      <c:pt idx="27">
                        <c:v>1217.3300609612922</c:v>
                      </c:pt>
                      <c:pt idx="28">
                        <c:v>1266.7544515143682</c:v>
                      </c:pt>
                      <c:pt idx="29">
                        <c:v>1317.0621835162831</c:v>
                      </c:pt>
                      <c:pt idx="30">
                        <c:v>1368.1699069135645</c:v>
                      </c:pt>
                      <c:pt idx="31">
                        <c:v>1419.9958223467329</c:v>
                      </c:pt>
                      <c:pt idx="32">
                        <c:v>1472.4598064021804</c:v>
                      </c:pt>
                      <c:pt idx="33">
                        <c:v>1525.4835182696133</c:v>
                      </c:pt>
                      <c:pt idx="34">
                        <c:v>1578.9904897782367</c:v>
                      </c:pt>
                      <c:pt idx="35">
                        <c:v>1632.9062005542569</c:v>
                      </c:pt>
                      <c:pt idx="36">
                        <c:v>1687.1581398443527</c:v>
                      </c:pt>
                      <c:pt idx="37">
                        <c:v>1741.6758563789945</c:v>
                      </c:pt>
                      <c:pt idx="38">
                        <c:v>1796.3909975013728</c:v>
                      </c:pt>
                      <c:pt idx="39">
                        <c:v>1851.2373386586596</c:v>
                      </c:pt>
                      <c:pt idx="40">
                        <c:v>1906.150804239388</c:v>
                      </c:pt>
                      <c:pt idx="41">
                        <c:v>1961.0694806414976</c:v>
                      </c:pt>
                      <c:pt idx="42">
                        <c:v>2015.9336223680689</c:v>
                      </c:pt>
                      <c:pt idx="43">
                        <c:v>2070.6856518702784</c:v>
                      </c:pt>
                      <c:pt idx="44">
                        <c:v>2125.2701537883004</c:v>
                      </c:pt>
                      <c:pt idx="45">
                        <c:v>2179.6338641795505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5B-4E09-90F1-E61A18B2A20F}"/>
                  </c:ext>
                </c:extLst>
              </c15:ser>
            </c15:filteredScatterSeries>
            <c15:filteredScatter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19.965159906067981</c:v>
                      </c:pt>
                      <c:pt idx="24">
                        <c:v>64.997295826160496</c:v>
                      </c:pt>
                      <c:pt idx="25">
                        <c:v>111.25838945856702</c:v>
                      </c:pt>
                      <c:pt idx="26">
                        <c:v>158.66059802627393</c:v>
                      </c:pt>
                      <c:pt idx="27">
                        <c:v>207.11689247278372</c:v>
                      </c:pt>
                      <c:pt idx="28">
                        <c:v>256.54128302585951</c:v>
                      </c:pt>
                      <c:pt idx="29">
                        <c:v>306.84901502777456</c:v>
                      </c:pt>
                      <c:pt idx="30">
                        <c:v>357.9567384250559</c:v>
                      </c:pt>
                      <c:pt idx="31">
                        <c:v>409.78265385822425</c:v>
                      </c:pt>
                      <c:pt idx="32">
                        <c:v>462.24663791367192</c:v>
                      </c:pt>
                      <c:pt idx="33">
                        <c:v>515.27034978110464</c:v>
                      </c:pt>
                      <c:pt idx="34">
                        <c:v>568.77732128972821</c:v>
                      </c:pt>
                      <c:pt idx="35">
                        <c:v>622.69303206574841</c:v>
                      </c:pt>
                      <c:pt idx="36">
                        <c:v>676.94497135584425</c:v>
                      </c:pt>
                      <c:pt idx="37">
                        <c:v>731.462687890486</c:v>
                      </c:pt>
                      <c:pt idx="38">
                        <c:v>786.17782901286432</c:v>
                      </c:pt>
                      <c:pt idx="39">
                        <c:v>841.02417017015114</c:v>
                      </c:pt>
                      <c:pt idx="40">
                        <c:v>895.93763575087951</c:v>
                      </c:pt>
                      <c:pt idx="41">
                        <c:v>950.85631215298918</c:v>
                      </c:pt>
                      <c:pt idx="42">
                        <c:v>1005.7204538795604</c:v>
                      </c:pt>
                      <c:pt idx="43">
                        <c:v>1060.47248338177</c:v>
                      </c:pt>
                      <c:pt idx="44">
                        <c:v>1115.0569852997917</c:v>
                      </c:pt>
                      <c:pt idx="45">
                        <c:v>1169.4206956910418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5B-4E09-90F1-E61A18B2A20F}"/>
                  </c:ext>
                </c:extLst>
              </c15:ser>
            </c15:filteredScatterSeries>
            <c15:filteredScatterSeries>
              <c15:ser>
                <c:idx val="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ExpPwLaw'!$AC$7</c15:sqref>
                        </c15:formulaRef>
                      </c:ext>
                    </c:extLst>
                    <c:strCache>
                      <c:ptCount val="1"/>
                      <c:pt idx="0">
                        <c:v>ND_Upper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133.37347309011378</c:v>
                      </c:pt>
                      <c:pt idx="1">
                        <c:v>133.37347444367535</c:v>
                      </c:pt>
                      <c:pt idx="2">
                        <c:v>133.37373554598187</c:v>
                      </c:pt>
                      <c:pt idx="3">
                        <c:v>133.37865546438999</c:v>
                      </c:pt>
                      <c:pt idx="4">
                        <c:v>133.41363482622256</c:v>
                      </c:pt>
                      <c:pt idx="5">
                        <c:v>133.55990808183276</c:v>
                      </c:pt>
                      <c:pt idx="6">
                        <c:v>133.99931246282776</c:v>
                      </c:pt>
                      <c:pt idx="7">
                        <c:v>135.05323497200922</c:v>
                      </c:pt>
                      <c:pt idx="8">
                        <c:v>137.20105507028646</c:v>
                      </c:pt>
                      <c:pt idx="9">
                        <c:v>141.06993637241132</c:v>
                      </c:pt>
                      <c:pt idx="10">
                        <c:v>147.39571215203722</c:v>
                      </c:pt>
                      <c:pt idx="11">
                        <c:v>156.96107315858004</c:v>
                      </c:pt>
                      <c:pt idx="12">
                        <c:v>170.52107110854433</c:v>
                      </c:pt>
                      <c:pt idx="13">
                        <c:v>188.72701755525298</c:v>
                      </c:pt>
                      <c:pt idx="14">
                        <c:v>212.05875285465197</c:v>
                      </c:pt>
                      <c:pt idx="15">
                        <c:v>240.77279000754135</c:v>
                      </c:pt>
                      <c:pt idx="16">
                        <c:v>274.87078483668665</c:v>
                      </c:pt>
                      <c:pt idx="17">
                        <c:v>314.08976723942243</c:v>
                      </c:pt>
                      <c:pt idx="18">
                        <c:v>357.9130011926643</c:v>
                      </c:pt>
                      <c:pt idx="19">
                        <c:v>405.59844043191447</c:v>
                      </c:pt>
                      <c:pt idx="20">
                        <c:v>456.22057104868384</c:v>
                      </c:pt>
                      <c:pt idx="21">
                        <c:v>508.72092995979119</c:v>
                      </c:pt>
                      <c:pt idx="22">
                        <c:v>561.96264209659034</c:v>
                      </c:pt>
                      <c:pt idx="23">
                        <c:v>614.78478335984971</c:v>
                      </c:pt>
                      <c:pt idx="24">
                        <c:v>666.05310317522492</c:v>
                      </c:pt>
                      <c:pt idx="25">
                        <c:v>714.70449762056819</c:v>
                      </c:pt>
                      <c:pt idx="26">
                        <c:v>759.78350409774589</c:v>
                      </c:pt>
                      <c:pt idx="27">
                        <c:v>800.46991191744303</c:v>
                      </c:pt>
                      <c:pt idx="28">
                        <c:v>836.09729760895766</c:v>
                      </c:pt>
                      <c:pt idx="29">
                        <c:v>866.16287064967355</c:v>
                      </c:pt>
                      <c:pt idx="30">
                        <c:v>890.32944515309327</c:v>
                      </c:pt>
                      <c:pt idx="31">
                        <c:v>908.42064060148311</c:v>
                      </c:pt>
                      <c:pt idx="32">
                        <c:v>920.41057430010483</c:v>
                      </c:pt>
                      <c:pt idx="33">
                        <c:v>926.40935982003464</c:v>
                      </c:pt>
                      <c:pt idx="34">
                        <c:v>926.64569165656508</c:v>
                      </c:pt>
                      <c:pt idx="35">
                        <c:v>921.44769905291957</c:v>
                      </c:pt>
                      <c:pt idx="36">
                        <c:v>911.22311218889047</c:v>
                      </c:pt>
                      <c:pt idx="37">
                        <c:v>896.43961983166594</c:v>
                      </c:pt>
                      <c:pt idx="38">
                        <c:v>877.60612406132464</c:v>
                      </c:pt>
                      <c:pt idx="39">
                        <c:v>855.2554265140941</c:v>
                      </c:pt>
                      <c:pt idx="40">
                        <c:v>829.92872030305364</c:v>
                      </c:pt>
                      <c:pt idx="41">
                        <c:v>802.16211814410667</c:v>
                      </c:pt>
                      <c:pt idx="42">
                        <c:v>772.47532360583591</c:v>
                      </c:pt>
                      <c:pt idx="43">
                        <c:v>741.36245024562629</c:v>
                      </c:pt>
                      <c:pt idx="44">
                        <c:v>709.28491261925694</c:v>
                      </c:pt>
                      <c:pt idx="45">
                        <c:v>676.6662525953883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29A-42E0-ADE0-2A064B8C186A}"/>
                  </c:ext>
                </c:extLst>
              </c15:ser>
            </c15:filteredScatterSeries>
            <c15:filteredScatterSeries>
              <c15:ser>
                <c:idx val="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ExpPwLaw'!$AD$7</c15:sqref>
                        </c15:formulaRef>
                      </c:ext>
                    </c:extLst>
                    <c:strCache>
                      <c:ptCount val="1"/>
                      <c:pt idx="0">
                        <c:v>ND_Lower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8.1238386564591281</c:v>
                      </c:pt>
                      <c:pt idx="17">
                        <c:v>47.342821059194875</c:v>
                      </c:pt>
                      <c:pt idx="18">
                        <c:v>91.166055012436772</c:v>
                      </c:pt>
                      <c:pt idx="19">
                        <c:v>138.85149425168694</c:v>
                      </c:pt>
                      <c:pt idx="20">
                        <c:v>189.47362486845626</c:v>
                      </c:pt>
                      <c:pt idx="21">
                        <c:v>241.97398377956367</c:v>
                      </c:pt>
                      <c:pt idx="22">
                        <c:v>295.21569591636285</c:v>
                      </c:pt>
                      <c:pt idx="23">
                        <c:v>348.0378371796221</c:v>
                      </c:pt>
                      <c:pt idx="24">
                        <c:v>399.30615699499742</c:v>
                      </c:pt>
                      <c:pt idx="25">
                        <c:v>447.95755144034069</c:v>
                      </c:pt>
                      <c:pt idx="26">
                        <c:v>493.03655791751839</c:v>
                      </c:pt>
                      <c:pt idx="27">
                        <c:v>533.72296573721553</c:v>
                      </c:pt>
                      <c:pt idx="28">
                        <c:v>569.35035142873016</c:v>
                      </c:pt>
                      <c:pt idx="29">
                        <c:v>599.41592446944605</c:v>
                      </c:pt>
                      <c:pt idx="30">
                        <c:v>623.58249897286578</c:v>
                      </c:pt>
                      <c:pt idx="31">
                        <c:v>641.67369442125562</c:v>
                      </c:pt>
                      <c:pt idx="32">
                        <c:v>653.66362811987733</c:v>
                      </c:pt>
                      <c:pt idx="33">
                        <c:v>659.66241363980714</c:v>
                      </c:pt>
                      <c:pt idx="34">
                        <c:v>659.89874547633758</c:v>
                      </c:pt>
                      <c:pt idx="35">
                        <c:v>654.70075287269208</c:v>
                      </c:pt>
                      <c:pt idx="36">
                        <c:v>644.47616600866297</c:v>
                      </c:pt>
                      <c:pt idx="37">
                        <c:v>629.69267365143844</c:v>
                      </c:pt>
                      <c:pt idx="38">
                        <c:v>610.85917788109714</c:v>
                      </c:pt>
                      <c:pt idx="39">
                        <c:v>588.5084803338666</c:v>
                      </c:pt>
                      <c:pt idx="40">
                        <c:v>563.18177412282614</c:v>
                      </c:pt>
                      <c:pt idx="41">
                        <c:v>535.41517196387917</c:v>
                      </c:pt>
                      <c:pt idx="42">
                        <c:v>505.72837742560841</c:v>
                      </c:pt>
                      <c:pt idx="43">
                        <c:v>474.6155040653988</c:v>
                      </c:pt>
                      <c:pt idx="44">
                        <c:v>442.53796643902945</c:v>
                      </c:pt>
                      <c:pt idx="45">
                        <c:v>409.9193064151608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9A-42E0-ADE0-2A064B8C186A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'New_confirmed - ExpPwLaw'!$E$7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ExpPwLaw'!$E$8:$E$78</c:f>
              <c:numCache>
                <c:formatCode>0</c:formatCode>
                <c:ptCount val="71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0"/>
          <c:order val="6"/>
          <c:tx>
            <c:strRef>
              <c:f>'New_confirmed - ExpPwLaw'!$P$7</c:f>
              <c:strCache>
                <c:ptCount val="1"/>
                <c:pt idx="0">
                  <c:v>New recovered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ExpPwLaw'!$P$8:$P$78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5B-4E09-90F1-E61A18B2A20F}"/>
            </c:ext>
          </c:extLst>
        </c:ser>
        <c:ser>
          <c:idx val="4"/>
          <c:order val="10"/>
          <c:tx>
            <c:strRef>
              <c:f>'New_confirmed - ExpPwLaw'!$X$7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ExpPwLaw'!$X$8:$X$78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4"/>
                <c:tx>
                  <c:strRef>
                    <c:extLst>
                      <c:ext uri="{02D57815-91ED-43cb-92C2-25804820EDAC}">
                        <c15:formulaRef>
                          <c15:sqref>'New_confirmed - ExpPwLaw'!$M$7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'New_confirmed - ExpPwLaw'!$M$8:$M$78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F5B-4E09-90F1-E61A18B2A20F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ExpPwLaw'!$AG$38</c:f>
              <c:numCache>
                <c:formatCode>0.0000</c:formatCode>
                <c:ptCount val="1"/>
                <c:pt idx="0">
                  <c:v>0.97884974908138567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A-4CDF-A252-08C3586154EF}"/>
            </c:ext>
          </c:extLst>
        </c:ser>
        <c:ser>
          <c:idx val="1"/>
          <c:order val="1"/>
          <c:tx>
            <c:strRef>
              <c:f>'New_confirmed - ExpPwLaw'!$AF$40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ExpPwLaw'!$AG$40</c:f>
              <c:numCache>
                <c:formatCode>0</c:formatCode>
                <c:ptCount val="1"/>
                <c:pt idx="0">
                  <c:v>133.37347309011378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A-4CDF-A252-08C3586154EF}"/>
            </c:ext>
          </c:extLst>
        </c:ser>
        <c:ser>
          <c:idx val="2"/>
          <c:order val="2"/>
          <c:tx>
            <c:strRef>
              <c:f>'New_confirmed - ExpPwLaw'!$AF$41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ExpPwLaw'!$AG$41</c:f>
              <c:numCache>
                <c:formatCode>0</c:formatCode>
                <c:ptCount val="1"/>
                <c:pt idx="0">
                  <c:v>793.86036323441465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A-4CDF-A252-08C3586154EF}"/>
            </c:ext>
          </c:extLst>
        </c:ser>
        <c:ser>
          <c:idx val="3"/>
          <c:order val="3"/>
          <c:tx>
            <c:strRef>
              <c:f>'New_confirmed - ExpPwLaw'!$AF$42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ExpPwLaw'!$AG$42</c:f>
              <c:numCache>
                <c:formatCode>[$-409]mmmm\ d\,\ yyyy;@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2A-4CDF-A252-08C35861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ExpPwLaw'!$AG$26</c:f>
              <c:numCache>
                <c:formatCode>0.0000</c:formatCode>
                <c:ptCount val="1"/>
                <c:pt idx="0">
                  <c:v>0.89861955958807849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8-44CB-9A20-7F422326D3EE}"/>
            </c:ext>
          </c:extLst>
        </c:ser>
        <c:ser>
          <c:idx val="1"/>
          <c:order val="1"/>
          <c:tx>
            <c:strRef>
              <c:f>'New_confirmed - ExpPwLaw'!$AF$28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ExpPwLaw'!$AG$28</c:f>
              <c:numCache>
                <c:formatCode>0</c:formatCode>
                <c:ptCount val="1"/>
                <c:pt idx="0">
                  <c:v>505.10658424425429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8-44CB-9A20-7F422326D3EE}"/>
            </c:ext>
          </c:extLst>
        </c:ser>
        <c:ser>
          <c:idx val="2"/>
          <c:order val="2"/>
          <c:tx>
            <c:strRef>
              <c:f>'New_confirmed - ExpPwLaw'!$AF$29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ExpPwLaw'!$AG$29</c:f>
              <c:numCache>
                <c:formatCode>0</c:formatCode>
                <c:ptCount val="1"/>
                <c:pt idx="0">
                  <c:v>3560.8627721653666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08-44CB-9A20-7F422326D3EE}"/>
            </c:ext>
          </c:extLst>
        </c:ser>
        <c:ser>
          <c:idx val="3"/>
          <c:order val="3"/>
          <c:tx>
            <c:strRef>
              <c:f>'New_confirmed - ExpPwLaw'!$AF$30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ExpPwLaw'!$AG$30</c:f>
              <c:numCache>
                <c:formatCode>[$-409]mmmm\ d\,\ yyyy;@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8-44CB-9A20-7F422326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ExpPwLaw'!$AG$14</c:f>
              <c:numCache>
                <c:formatCode>0.0000</c:formatCode>
                <c:ptCount val="1"/>
                <c:pt idx="0">
                  <c:v>0.97282653346045256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1-4EF6-A2FB-C72F92593B72}"/>
            </c:ext>
          </c:extLst>
        </c:ser>
        <c:ser>
          <c:idx val="1"/>
          <c:order val="1"/>
          <c:tx>
            <c:strRef>
              <c:f>'New_confirmed - ExpPwLaw'!$AF$16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ExpPwLaw'!$AG$16</c:f>
              <c:numCache>
                <c:formatCode>0</c:formatCode>
                <c:ptCount val="1"/>
                <c:pt idx="0">
                  <c:v>1059.8310696250608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1-4EF6-A2FB-C72F92593B72}"/>
            </c:ext>
          </c:extLst>
        </c:ser>
        <c:ser>
          <c:idx val="2"/>
          <c:order val="2"/>
          <c:tx>
            <c:strRef>
              <c:f>'New_confirmed - ExpPwLaw'!$AF$17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ExpPwLaw'!$AG$17</c:f>
              <c:numCache>
                <c:formatCode>0</c:formatCode>
                <c:ptCount val="1"/>
                <c:pt idx="0">
                  <c:v>5523.8140758856034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1-4EF6-A2FB-C72F92593B72}"/>
            </c:ext>
          </c:extLst>
        </c:ser>
        <c:ser>
          <c:idx val="3"/>
          <c:order val="3"/>
          <c:tx>
            <c:strRef>
              <c:f>'New_confirmed - ExpPwLaw'!$AF$18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ExpPwLaw'!$AG$18</c:f>
              <c:numCache>
                <c:formatCode>[$-409]mmmm\ d\,\ yyyy;@</c:formatCode>
                <c:ptCount val="1"/>
                <c:pt idx="0">
                  <c:v>43915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1-4EF6-A2FB-C72F9259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ExpPwLaw'!$D$6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ExpPwLaw'!$D$7:$D$70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E-4886-887F-F71EDE298C94}"/>
            </c:ext>
          </c:extLst>
        </c:ser>
        <c:ser>
          <c:idx val="1"/>
          <c:order val="1"/>
          <c:tx>
            <c:strRef>
              <c:f>'Cumul_confirmed - ExpPwLaw'!$E$6</c:f>
              <c:strCache>
                <c:ptCount val="1"/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ExpPwLaw'!$E$7:$E$70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221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E-4886-887F-F71EDE298C94}"/>
            </c:ext>
          </c:extLst>
        </c:ser>
        <c:ser>
          <c:idx val="2"/>
          <c:order val="2"/>
          <c:tx>
            <c:strRef>
              <c:f>'Cumul_confirmed - ExpPwLaw'!$F$6</c:f>
              <c:strCache>
                <c:ptCount val="1"/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ExpPwLaw'!$F$7:$F$70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E-4886-887F-F71EDE298C94}"/>
            </c:ext>
          </c:extLst>
        </c:ser>
        <c:ser>
          <c:idx val="3"/>
          <c:order val="3"/>
          <c:tx>
            <c:strRef>
              <c:f>'Cumul_confirmed - ExpPwLaw'!$G$6</c:f>
              <c:strCache>
                <c:ptCount val="1"/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ExpPwLaw'!$G$7:$G$70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1.2122006292482345E-3</c:v>
                </c:pt>
                <c:pt idx="3">
                  <c:v>9.5247185431279469E-2</c:v>
                </c:pt>
                <c:pt idx="4">
                  <c:v>1.1461775208227214</c:v>
                </c:pt>
                <c:pt idx="5">
                  <c:v>6.3995944542441174</c:v>
                </c:pt>
                <c:pt idx="6">
                  <c:v>23.464806816597722</c:v>
                </c:pt>
                <c:pt idx="7">
                  <c:v>65.954966285553652</c:v>
                </c:pt>
                <c:pt idx="8">
                  <c:v>154.34576759859993</c:v>
                </c:pt>
                <c:pt idx="9">
                  <c:v>315.90834921541176</c:v>
                </c:pt>
                <c:pt idx="10">
                  <c:v>583.78668342191338</c:v>
                </c:pt>
                <c:pt idx="11">
                  <c:v>995.4145471832162</c:v>
                </c:pt>
                <c:pt idx="12">
                  <c:v>1590.5184548641305</c:v>
                </c:pt>
                <c:pt idx="13">
                  <c:v>2408.9526478481371</c:v>
                </c:pt>
                <c:pt idx="14">
                  <c:v>3488.5804292315747</c:v>
                </c:pt>
                <c:pt idx="15">
                  <c:v>4863.3685769932436</c:v>
                </c:pt>
                <c:pt idx="16">
                  <c:v>6561.809490838923</c:v>
                </c:pt>
                <c:pt idx="17">
                  <c:v>8605.7363889129556</c:v>
                </c:pt>
                <c:pt idx="18">
                  <c:v>11009.554420277089</c:v>
                </c:pt>
                <c:pt idx="19">
                  <c:v>13779.876876972921</c:v>
                </c:pt>
                <c:pt idx="20">
                  <c:v>16915.531111812026</c:v>
                </c:pt>
                <c:pt idx="21">
                  <c:v>20407.882665104426</c:v>
                </c:pt>
                <c:pt idx="22">
                  <c:v>24241.417311626858</c:v>
                </c:pt>
                <c:pt idx="23">
                  <c:v>28394.517866304082</c:v>
                </c:pt>
                <c:pt idx="24">
                  <c:v>32840.374217219272</c:v>
                </c:pt>
                <c:pt idx="25">
                  <c:v>37547.96987355344</c:v>
                </c:pt>
                <c:pt idx="26">
                  <c:v>42483.095180787852</c:v>
                </c:pt>
                <c:pt idx="27">
                  <c:v>47609.345323068919</c:v>
                </c:pt>
                <c:pt idx="28">
                  <c:v>52889.069562894583</c:v>
                </c:pt>
                <c:pt idx="29">
                  <c:v>58284.246310121125</c:v>
                </c:pt>
                <c:pt idx="30">
                  <c:v>63757.266180804247</c:v>
                </c:pt>
                <c:pt idx="31">
                  <c:v>69271.611956143679</c:v>
                </c:pt>
                <c:pt idx="32">
                  <c:v>74792.430149605512</c:v>
                </c:pt>
                <c:pt idx="33">
                  <c:v>80286.993689565483</c:v>
                </c:pt>
                <c:pt idx="34">
                  <c:v>85725.059042762645</c:v>
                </c:pt>
                <c:pt idx="35">
                  <c:v>91079.124002032739</c:v>
                </c:pt>
                <c:pt idx="36">
                  <c:v>96324.594430119163</c:v>
                </c:pt>
                <c:pt idx="37">
                  <c:v>101439.86959543312</c:v>
                </c:pt>
                <c:pt idx="38">
                  <c:v>106406.35646704439</c:v>
                </c:pt>
                <c:pt idx="39">
                  <c:v>111208.42356540488</c:v>
                </c:pt>
                <c:pt idx="40">
                  <c:v>115833.30479677068</c:v>
                </c:pt>
                <c:pt idx="41">
                  <c:v>120270.96322815907</c:v>
                </c:pt>
                <c:pt idx="42">
                  <c:v>124513.92407011089</c:v>
                </c:pt>
                <c:pt idx="43">
                  <c:v>128557.085298821</c:v>
                </c:pt>
                <c:pt idx="44">
                  <c:v>132397.51342790286</c:v>
                </c:pt>
                <c:pt idx="45">
                  <c:v>136034.23098241558</c:v>
                </c:pt>
                <c:pt idx="46">
                  <c:v>139468.00127273274</c:v>
                </c:pt>
                <c:pt idx="47">
                  <c:v>142701.11514303577</c:v>
                </c:pt>
                <c:pt idx="48">
                  <c:v>145737.18350026655</c:v>
                </c:pt>
                <c:pt idx="49">
                  <c:v>148580.9386290393</c:v>
                </c:pt>
                <c:pt idx="50">
                  <c:v>151238.04657534629</c:v>
                </c:pt>
                <c:pt idx="51">
                  <c:v>153714.93224136563</c:v>
                </c:pt>
                <c:pt idx="52">
                  <c:v>156018.61827610651</c:v>
                </c:pt>
                <c:pt idx="53">
                  <c:v>158156.57837006962</c:v>
                </c:pt>
                <c:pt idx="54">
                  <c:v>160136.60516256941</c:v>
                </c:pt>
                <c:pt idx="55">
                  <c:v>161966.69264246841</c:v>
                </c:pt>
                <c:pt idx="56">
                  <c:v>163654.93266052066</c:v>
                </c:pt>
                <c:pt idx="57">
                  <c:v>165209.42496753746</c:v>
                </c:pt>
                <c:pt idx="58">
                  <c:v>166638.20004024467</c:v>
                </c:pt>
                <c:pt idx="59">
                  <c:v>167949.15384916725</c:v>
                </c:pt>
                <c:pt idx="60">
                  <c:v>169149.99365359257</c:v>
                </c:pt>
                <c:pt idx="61">
                  <c:v>170248.19387149118</c:v>
                </c:pt>
                <c:pt idx="62">
                  <c:v>171250.96106155706</c:v>
                </c:pt>
                <c:pt idx="63">
                  <c:v>172165.20706515689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E-4886-887F-F71EDE298C94}"/>
            </c:ext>
          </c:extLst>
        </c:ser>
        <c:ser>
          <c:idx val="4"/>
          <c:order val="4"/>
          <c:tx>
            <c:strRef>
              <c:f>'Cumul_confirmed - ExpPwLaw'!$H$6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ExpPwLaw'!$H$7:$H$70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7.7164758960758849E-3</c:v>
                </c:pt>
                <c:pt idx="3">
                  <c:v>0.29566681926411087</c:v>
                </c:pt>
                <c:pt idx="4">
                  <c:v>2.3122721509717667</c:v>
                </c:pt>
                <c:pt idx="5">
                  <c:v>9.4344079417322728</c:v>
                </c:pt>
                <c:pt idx="6">
                  <c:v>26.950256620018717</c:v>
                </c:pt>
                <c:pt idx="7">
                  <c:v>61.444000914164775</c:v>
                </c:pt>
                <c:pt idx="8">
                  <c:v>119.89866222003877</c:v>
                </c:pt>
                <c:pt idx="9">
                  <c:v>208.7774871058009</c:v>
                </c:pt>
                <c:pt idx="10">
                  <c:v>333.25202670335267</c:v>
                </c:pt>
                <c:pt idx="11">
                  <c:v>496.66138617386855</c:v>
                </c:pt>
                <c:pt idx="12">
                  <c:v>700.22451233090646</c:v>
                </c:pt>
                <c:pt idx="13">
                  <c:v>942.98645561112266</c:v>
                </c:pt>
                <c:pt idx="14">
                  <c:v>1221.9566869906375</c:v>
                </c:pt>
                <c:pt idx="15">
                  <c:v>1532.3881393924614</c:v>
                </c:pt>
                <c:pt idx="16">
                  <c:v>1868.1453433483396</c:v>
                </c:pt>
                <c:pt idx="17">
                  <c:v>2222.1152864381188</c:v>
                </c:pt>
                <c:pt idx="18">
                  <c:v>2586.6227674729244</c:v>
                </c:pt>
                <c:pt idx="19">
                  <c:v>2953.8211567144863</c:v>
                </c:pt>
                <c:pt idx="20">
                  <c:v>3316.0383834025865</c:v>
                </c:pt>
                <c:pt idx="21">
                  <c:v>3666.065924461172</c:v>
                </c:pt>
                <c:pt idx="22">
                  <c:v>3997.3852013611013</c:v>
                </c:pt>
                <c:pt idx="23">
                  <c:v>4304.3309944338198</c:v>
                </c:pt>
                <c:pt idx="24">
                  <c:v>4582.1953054953592</c:v>
                </c:pt>
                <c:pt idx="25">
                  <c:v>4827.2776849200145</c:v>
                </c:pt>
                <c:pt idx="26">
                  <c:v>5036.8895793207357</c:v>
                </c:pt>
                <c:pt idx="27">
                  <c:v>5209.3209556989568</c:v>
                </c:pt>
                <c:pt idx="28">
                  <c:v>5343.7775152609256</c:v>
                </c:pt>
                <c:pt idx="29">
                  <c:v>5440.2964036867024</c:v>
                </c:pt>
                <c:pt idx="30">
                  <c:v>5499.6476076470344</c:v>
                </c:pt>
                <c:pt idx="31">
                  <c:v>5523.2273255164155</c:v>
                </c:pt>
                <c:pt idx="32">
                  <c:v>5512.9486125604508</c:v>
                </c:pt>
                <c:pt idx="33">
                  <c:v>5471.1336020506551</c:v>
                </c:pt>
                <c:pt idx="34">
                  <c:v>5400.4106472717085</c:v>
                </c:pt>
                <c:pt idx="35">
                  <c:v>5303.6188510124994</c:v>
                </c:pt>
                <c:pt idx="36">
                  <c:v>5183.721670365946</c:v>
                </c:pt>
                <c:pt idx="37">
                  <c:v>5043.7306158760566</c:v>
                </c:pt>
                <c:pt idx="38">
                  <c:v>4886.6395073072954</c:v>
                </c:pt>
                <c:pt idx="39">
                  <c:v>4715.3692996624841</c:v>
                </c:pt>
                <c:pt idx="40">
                  <c:v>4532.7231446341684</c:v>
                </c:pt>
                <c:pt idx="41">
                  <c:v>4341.3510940926071</c:v>
                </c:pt>
                <c:pt idx="42">
                  <c:v>4143.7236719139046</c:v>
                </c:pt>
                <c:pt idx="43">
                  <c:v>3942.1134265221945</c:v>
                </c:pt>
                <c:pt idx="44">
                  <c:v>3738.5835173621804</c:v>
                </c:pt>
                <c:pt idx="45">
                  <c:v>3534.9823732845712</c:v>
                </c:pt>
                <c:pt idx="46">
                  <c:v>3332.9434796889386</c:v>
                </c:pt>
                <c:pt idx="47">
                  <c:v>3133.8893955613089</c:v>
                </c:pt>
                <c:pt idx="48">
                  <c:v>2939.0391638180076</c:v>
                </c:pt>
                <c:pt idx="49">
                  <c:v>2749.4183523631232</c:v>
                </c:pt>
                <c:pt idx="50">
                  <c:v>2565.871043853826</c:v>
                </c:pt>
                <c:pt idx="51">
                  <c:v>2389.0731752436877</c:v>
                </c:pt>
                <c:pt idx="52">
                  <c:v>2219.546710556283</c:v>
                </c:pt>
                <c:pt idx="53">
                  <c:v>2057.6742096444837</c:v>
                </c:pt>
                <c:pt idx="54">
                  <c:v>1903.7134302112145</c:v>
                </c:pt>
                <c:pt idx="55">
                  <c:v>1757.8116689677706</c:v>
                </c:pt>
                <c:pt idx="56">
                  <c:v>1620.0196098123886</c:v>
                </c:pt>
                <c:pt idx="57">
                  <c:v>1490.3045020196262</c:v>
                </c:pt>
                <c:pt idx="58">
                  <c:v>1368.5625396221637</c:v>
                </c:pt>
                <c:pt idx="59">
                  <c:v>1254.6303546379622</c:v>
                </c:pt>
                <c:pt idx="60">
                  <c:v>1148.2955718999003</c:v>
                </c:pt>
                <c:pt idx="61">
                  <c:v>1049.3064024402872</c:v>
                </c:pt>
                <c:pt idx="62">
                  <c:v>957.38027619154821</c:v>
                </c:pt>
                <c:pt idx="63">
                  <c:v>872.21153374295136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ExpPwLaw'!$I$6</c:f>
              <c:strCache>
                <c:ptCount val="1"/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ExpPwLaw'!$I$7:$I$70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1.2122006292482345E-3</c:v>
                </c:pt>
                <c:pt idx="3">
                  <c:v>9.5247185431279469E-2</c:v>
                </c:pt>
                <c:pt idx="4">
                  <c:v>1.1461775208227214</c:v>
                </c:pt>
                <c:pt idx="5">
                  <c:v>6.3995944542441174</c:v>
                </c:pt>
                <c:pt idx="6">
                  <c:v>23.464806816597722</c:v>
                </c:pt>
                <c:pt idx="7">
                  <c:v>65.954966285553652</c:v>
                </c:pt>
                <c:pt idx="8">
                  <c:v>154.34576759859993</c:v>
                </c:pt>
                <c:pt idx="9">
                  <c:v>315.90834921541176</c:v>
                </c:pt>
                <c:pt idx="10">
                  <c:v>583.78668342191338</c:v>
                </c:pt>
                <c:pt idx="11">
                  <c:v>995.4145471832162</c:v>
                </c:pt>
                <c:pt idx="12">
                  <c:v>1590.5184548641305</c:v>
                </c:pt>
                <c:pt idx="13">
                  <c:v>2408.9526478481371</c:v>
                </c:pt>
                <c:pt idx="14">
                  <c:v>3488.5804292315747</c:v>
                </c:pt>
                <c:pt idx="15">
                  <c:v>4863.3685769932436</c:v>
                </c:pt>
                <c:pt idx="16">
                  <c:v>6561.809490838923</c:v>
                </c:pt>
                <c:pt idx="17">
                  <c:v>8605.7363889129556</c:v>
                </c:pt>
                <c:pt idx="18">
                  <c:v>11009.554420277089</c:v>
                </c:pt>
                <c:pt idx="19">
                  <c:v>13779.876876972921</c:v>
                </c:pt>
                <c:pt idx="20">
                  <c:v>16915.531111812026</c:v>
                </c:pt>
                <c:pt idx="21">
                  <c:v>20407.882665104426</c:v>
                </c:pt>
                <c:pt idx="22">
                  <c:v>24241.417311626858</c:v>
                </c:pt>
                <c:pt idx="23">
                  <c:v>28394.517866304082</c:v>
                </c:pt>
                <c:pt idx="24">
                  <c:v>32840.374217219272</c:v>
                </c:pt>
                <c:pt idx="25">
                  <c:v>37547.96987355344</c:v>
                </c:pt>
                <c:pt idx="26">
                  <c:v>42483.095180787852</c:v>
                </c:pt>
                <c:pt idx="27">
                  <c:v>47609.345323068919</c:v>
                </c:pt>
                <c:pt idx="28">
                  <c:v>52889.069562894583</c:v>
                </c:pt>
                <c:pt idx="29">
                  <c:v>58284.246310121125</c:v>
                </c:pt>
                <c:pt idx="30">
                  <c:v>63757.266180804247</c:v>
                </c:pt>
                <c:pt idx="31">
                  <c:v>69271.611956143679</c:v>
                </c:pt>
                <c:pt idx="32">
                  <c:v>74792.430149605512</c:v>
                </c:pt>
                <c:pt idx="33">
                  <c:v>80286.993689565483</c:v>
                </c:pt>
                <c:pt idx="34">
                  <c:v>85725.059042762645</c:v>
                </c:pt>
                <c:pt idx="35">
                  <c:v>91079.124002032739</c:v>
                </c:pt>
                <c:pt idx="36">
                  <c:v>96324.594430119163</c:v>
                </c:pt>
                <c:pt idx="37">
                  <c:v>101439.86959543312</c:v>
                </c:pt>
                <c:pt idx="38">
                  <c:v>106406.35646704439</c:v>
                </c:pt>
                <c:pt idx="39">
                  <c:v>111208.42356540488</c:v>
                </c:pt>
                <c:pt idx="40">
                  <c:v>115833.30479677068</c:v>
                </c:pt>
                <c:pt idx="41">
                  <c:v>120270.96322815907</c:v>
                </c:pt>
                <c:pt idx="42">
                  <c:v>124513.92407011089</c:v>
                </c:pt>
                <c:pt idx="43">
                  <c:v>128557.085298821</c:v>
                </c:pt>
                <c:pt idx="44">
                  <c:v>132397.51342790286</c:v>
                </c:pt>
                <c:pt idx="45">
                  <c:v>136034.23098241558</c:v>
                </c:pt>
                <c:pt idx="46">
                  <c:v>139468.00127273274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E-4886-887F-F71EDE298C94}"/>
            </c:ext>
          </c:extLst>
        </c:ser>
        <c:ser>
          <c:idx val="6"/>
          <c:order val="6"/>
          <c:tx>
            <c:strRef>
              <c:f>'Cumul_confirmed - ExpPwLaw'!$J$6</c:f>
              <c:strCache>
                <c:ptCount val="1"/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ExpPwLaw'!$J$7:$J$70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8470.1213665620362</c:v>
                </c:pt>
                <c:pt idx="2">
                  <c:v>8470.1225787626663</c:v>
                </c:pt>
                <c:pt idx="3">
                  <c:v>8470.2166137474669</c:v>
                </c:pt>
                <c:pt idx="4">
                  <c:v>8471.2675440828589</c:v>
                </c:pt>
                <c:pt idx="5">
                  <c:v>8476.5209610162801</c:v>
                </c:pt>
                <c:pt idx="6">
                  <c:v>8493.5861733786332</c:v>
                </c:pt>
                <c:pt idx="7">
                  <c:v>8536.0763328475896</c:v>
                </c:pt>
                <c:pt idx="8">
                  <c:v>8624.4671341606354</c:v>
                </c:pt>
                <c:pt idx="9">
                  <c:v>8786.0297157774476</c:v>
                </c:pt>
                <c:pt idx="10">
                  <c:v>9053.9080499839492</c:v>
                </c:pt>
                <c:pt idx="11">
                  <c:v>9465.5359137452524</c:v>
                </c:pt>
                <c:pt idx="12">
                  <c:v>10060.639821426166</c:v>
                </c:pt>
                <c:pt idx="13">
                  <c:v>10879.074014410173</c:v>
                </c:pt>
                <c:pt idx="14">
                  <c:v>11958.701795793611</c:v>
                </c:pt>
                <c:pt idx="15">
                  <c:v>13333.48994355528</c:v>
                </c:pt>
                <c:pt idx="16">
                  <c:v>15031.930857400959</c:v>
                </c:pt>
                <c:pt idx="17">
                  <c:v>17075.857755474994</c:v>
                </c:pt>
                <c:pt idx="18">
                  <c:v>19479.675786839125</c:v>
                </c:pt>
                <c:pt idx="19">
                  <c:v>22249.998243534959</c:v>
                </c:pt>
                <c:pt idx="20">
                  <c:v>25385.652478374061</c:v>
                </c:pt>
                <c:pt idx="21">
                  <c:v>28878.00403166646</c:v>
                </c:pt>
                <c:pt idx="22">
                  <c:v>32711.538678188896</c:v>
                </c:pt>
                <c:pt idx="23">
                  <c:v>36864.639232866117</c:v>
                </c:pt>
                <c:pt idx="24">
                  <c:v>41310.49558378131</c:v>
                </c:pt>
                <c:pt idx="25">
                  <c:v>46018.091240115478</c:v>
                </c:pt>
                <c:pt idx="26">
                  <c:v>50953.21654734989</c:v>
                </c:pt>
                <c:pt idx="27">
                  <c:v>56079.466689630957</c:v>
                </c:pt>
                <c:pt idx="28">
                  <c:v>61359.190929456621</c:v>
                </c:pt>
                <c:pt idx="29">
                  <c:v>66754.367676683163</c:v>
                </c:pt>
                <c:pt idx="30">
                  <c:v>72227.387547366277</c:v>
                </c:pt>
                <c:pt idx="31">
                  <c:v>77741.73332270571</c:v>
                </c:pt>
                <c:pt idx="32">
                  <c:v>83262.551516167543</c:v>
                </c:pt>
                <c:pt idx="33">
                  <c:v>88757.115056127514</c:v>
                </c:pt>
                <c:pt idx="34">
                  <c:v>94195.180409324676</c:v>
                </c:pt>
                <c:pt idx="35">
                  <c:v>99549.245368594769</c:v>
                </c:pt>
                <c:pt idx="36">
                  <c:v>104794.71579668119</c:v>
                </c:pt>
                <c:pt idx="37">
                  <c:v>109909.99096199515</c:v>
                </c:pt>
                <c:pt idx="38">
                  <c:v>114876.47783360642</c:v>
                </c:pt>
                <c:pt idx="39">
                  <c:v>119678.54493196691</c:v>
                </c:pt>
                <c:pt idx="40">
                  <c:v>124303.42616333271</c:v>
                </c:pt>
                <c:pt idx="41">
                  <c:v>128741.08459472111</c:v>
                </c:pt>
                <c:pt idx="42">
                  <c:v>132984.04543667292</c:v>
                </c:pt>
                <c:pt idx="43">
                  <c:v>137027.20666538304</c:v>
                </c:pt>
                <c:pt idx="44">
                  <c:v>140867.63479446489</c:v>
                </c:pt>
                <c:pt idx="45">
                  <c:v>144504.35234897761</c:v>
                </c:pt>
                <c:pt idx="46">
                  <c:v>147938.12263929477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DE-4886-887F-F71EDE298C94}"/>
            </c:ext>
          </c:extLst>
        </c:ser>
        <c:ser>
          <c:idx val="7"/>
          <c:order val="7"/>
          <c:tx>
            <c:strRef>
              <c:f>'Cumul_confirmed - ExpPwLaw'!$K$6</c:f>
              <c:strCache>
                <c:ptCount val="1"/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ExpPwLaw'!$K$7:$K$70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135.61502235091939</c:v>
                </c:pt>
                <c:pt idx="18">
                  <c:v>2539.4330537150527</c:v>
                </c:pt>
                <c:pt idx="19">
                  <c:v>5309.7555104108851</c:v>
                </c:pt>
                <c:pt idx="20">
                  <c:v>8445.40974524999</c:v>
                </c:pt>
                <c:pt idx="21">
                  <c:v>11937.761298542389</c:v>
                </c:pt>
                <c:pt idx="22">
                  <c:v>15771.295945064821</c:v>
                </c:pt>
                <c:pt idx="23">
                  <c:v>19924.396499742048</c:v>
                </c:pt>
                <c:pt idx="24">
                  <c:v>24370.252850657234</c:v>
                </c:pt>
                <c:pt idx="25">
                  <c:v>29077.848506991402</c:v>
                </c:pt>
                <c:pt idx="26">
                  <c:v>34012.973814225814</c:v>
                </c:pt>
                <c:pt idx="27">
                  <c:v>39139.223956506881</c:v>
                </c:pt>
                <c:pt idx="28">
                  <c:v>44418.948196332545</c:v>
                </c:pt>
                <c:pt idx="29">
                  <c:v>49814.124943559087</c:v>
                </c:pt>
                <c:pt idx="30">
                  <c:v>55287.144814242209</c:v>
                </c:pt>
                <c:pt idx="31">
                  <c:v>60801.490589581641</c:v>
                </c:pt>
                <c:pt idx="32">
                  <c:v>66322.308783043482</c:v>
                </c:pt>
                <c:pt idx="33">
                  <c:v>71816.872323003452</c:v>
                </c:pt>
                <c:pt idx="34">
                  <c:v>77254.937676200614</c:v>
                </c:pt>
                <c:pt idx="35">
                  <c:v>82609.002635470708</c:v>
                </c:pt>
                <c:pt idx="36">
                  <c:v>87854.473063557132</c:v>
                </c:pt>
                <c:pt idx="37">
                  <c:v>92969.748228871089</c:v>
                </c:pt>
                <c:pt idx="38">
                  <c:v>97936.235100482358</c:v>
                </c:pt>
                <c:pt idx="39">
                  <c:v>102738.30219884285</c:v>
                </c:pt>
                <c:pt idx="40">
                  <c:v>107363.18343020865</c:v>
                </c:pt>
                <c:pt idx="41">
                  <c:v>111800.84186159704</c:v>
                </c:pt>
                <c:pt idx="42">
                  <c:v>116043.80270354886</c:v>
                </c:pt>
                <c:pt idx="43">
                  <c:v>120086.96393225896</c:v>
                </c:pt>
                <c:pt idx="44">
                  <c:v>123927.39206134083</c:v>
                </c:pt>
                <c:pt idx="45">
                  <c:v>127564.10961585355</c:v>
                </c:pt>
                <c:pt idx="46">
                  <c:v>130997.87990617071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Cases, Recovered and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4"/>
          <c:order val="12"/>
          <c:tx>
            <c:strRef>
              <c:f>'Cumul_confirmed - ExpPwLaw'!$D$7</c:f>
              <c:strCache>
                <c:ptCount val="1"/>
                <c:pt idx="0">
                  <c:v>Cum_confirmed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ExpPwLaw'!$D$8:$D$78</c:f>
              <c:numCache>
                <c:formatCode>0</c:formatCode>
                <c:ptCount val="7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80-4003-A92A-241054E60060}"/>
            </c:ext>
          </c:extLst>
        </c:ser>
        <c:ser>
          <c:idx val="16"/>
          <c:order val="16"/>
          <c:tx>
            <c:strRef>
              <c:f>'Cumul_confirmed - ExpPwLaw'!$O$7</c:f>
              <c:strCache>
                <c:ptCount val="1"/>
                <c:pt idx="0">
                  <c:v>Cum_recov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ExpPwLaw'!$O$8:$O$78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80-4003-A92A-241054E60060}"/>
            </c:ext>
          </c:extLst>
        </c:ser>
        <c:ser>
          <c:idx val="17"/>
          <c:order val="17"/>
          <c:tx>
            <c:strRef>
              <c:f>'Cumul_confirmed - ExpPwLaw'!$W$7</c:f>
              <c:strCache>
                <c:ptCount val="1"/>
                <c:pt idx="0">
                  <c:v>Cum_deaths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ExpPwLaw'!$W$8:$W$78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80-4003-A92A-241054E6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'New_confirmed - ExpPwLaw'!$E$7</c15:sqref>
                        </c15:formulaRef>
                      </c:ext>
                    </c:extLst>
                    <c:strCache>
                      <c:ptCount val="1"/>
                      <c:pt idx="0">
                        <c:v>New cases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ExpPwLaw'!$E$8:$E$78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221</c:v>
                      </c:pt>
                      <c:pt idx="1">
                        <c:v>93</c:v>
                      </c:pt>
                      <c:pt idx="2">
                        <c:v>78</c:v>
                      </c:pt>
                      <c:pt idx="3">
                        <c:v>250</c:v>
                      </c:pt>
                      <c:pt idx="4">
                        <c:v>238</c:v>
                      </c:pt>
                      <c:pt idx="5">
                        <c:v>240</c:v>
                      </c:pt>
                      <c:pt idx="6">
                        <c:v>566</c:v>
                      </c:pt>
                      <c:pt idx="7">
                        <c:v>342</c:v>
                      </c:pt>
                      <c:pt idx="8">
                        <c:v>466</c:v>
                      </c:pt>
                      <c:pt idx="9">
                        <c:v>587</c:v>
                      </c:pt>
                      <c:pt idx="10">
                        <c:v>769</c:v>
                      </c:pt>
                      <c:pt idx="11">
                        <c:v>778</c:v>
                      </c:pt>
                      <c:pt idx="12">
                        <c:v>1247</c:v>
                      </c:pt>
                      <c:pt idx="13">
                        <c:v>1492</c:v>
                      </c:pt>
                      <c:pt idx="14">
                        <c:v>1797</c:v>
                      </c:pt>
                      <c:pt idx="15">
                        <c:v>977</c:v>
                      </c:pt>
                      <c:pt idx="16">
                        <c:v>2313</c:v>
                      </c:pt>
                      <c:pt idx="17">
                        <c:v>2651</c:v>
                      </c:pt>
                      <c:pt idx="18">
                        <c:v>2547</c:v>
                      </c:pt>
                      <c:pt idx="19">
                        <c:v>3497</c:v>
                      </c:pt>
                      <c:pt idx="20">
                        <c:v>3590</c:v>
                      </c:pt>
                      <c:pt idx="21">
                        <c:v>3233</c:v>
                      </c:pt>
                      <c:pt idx="22">
                        <c:v>3526</c:v>
                      </c:pt>
                      <c:pt idx="23">
                        <c:v>4207</c:v>
                      </c:pt>
                      <c:pt idx="24">
                        <c:v>5322</c:v>
                      </c:pt>
                      <c:pt idx="25">
                        <c:v>5986</c:v>
                      </c:pt>
                      <c:pt idx="26">
                        <c:v>6557</c:v>
                      </c:pt>
                      <c:pt idx="27">
                        <c:v>5560</c:v>
                      </c:pt>
                      <c:pt idx="28">
                        <c:v>4789</c:v>
                      </c:pt>
                      <c:pt idx="29">
                        <c:v>5249</c:v>
                      </c:pt>
                      <c:pt idx="30">
                        <c:v>5210</c:v>
                      </c:pt>
                      <c:pt idx="31">
                        <c:v>6153</c:v>
                      </c:pt>
                      <c:pt idx="32">
                        <c:v>5959</c:v>
                      </c:pt>
                      <c:pt idx="33">
                        <c:v>5974</c:v>
                      </c:pt>
                      <c:pt idx="34">
                        <c:v>5217</c:v>
                      </c:pt>
                      <c:pt idx="35">
                        <c:v>4050</c:v>
                      </c:pt>
                      <c:pt idx="36">
                        <c:v>4053</c:v>
                      </c:pt>
                      <c:pt idx="37">
                        <c:v>4782</c:v>
                      </c:pt>
                      <c:pt idx="38">
                        <c:v>4668</c:v>
                      </c:pt>
                      <c:pt idx="39">
                        <c:v>4585</c:v>
                      </c:pt>
                      <c:pt idx="40">
                        <c:v>4805</c:v>
                      </c:pt>
                      <c:pt idx="41">
                        <c:v>4316</c:v>
                      </c:pt>
                      <c:pt idx="42">
                        <c:v>3599</c:v>
                      </c:pt>
                      <c:pt idx="43">
                        <c:v>3039</c:v>
                      </c:pt>
                      <c:pt idx="44">
                        <c:v>3836</c:v>
                      </c:pt>
                      <c:pt idx="45">
                        <c:v>4204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480-4003-A92A-241054E6006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480-4003-A92A-241054E6006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ExpPwLaw'!$P$7</c15:sqref>
                        </c15:formulaRef>
                      </c:ext>
                    </c:extLst>
                    <c:strCache>
                      <c:ptCount val="1"/>
                      <c:pt idx="0">
                        <c:v>New recovered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B05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0</c:v>
                      </c:pt>
                      <c:pt idx="2">
                        <c:v>2</c:v>
                      </c:pt>
                      <c:pt idx="3">
                        <c:v>42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33</c:v>
                      </c:pt>
                      <c:pt idx="7">
                        <c:v>66</c:v>
                      </c:pt>
                      <c:pt idx="8">
                        <c:v>11</c:v>
                      </c:pt>
                      <c:pt idx="9">
                        <c:v>116</c:v>
                      </c:pt>
                      <c:pt idx="10">
                        <c:v>138</c:v>
                      </c:pt>
                      <c:pt idx="11">
                        <c:v>109</c:v>
                      </c:pt>
                      <c:pt idx="12">
                        <c:v>66</c:v>
                      </c:pt>
                      <c:pt idx="13">
                        <c:v>33</c:v>
                      </c:pt>
                      <c:pt idx="14">
                        <c:v>102</c:v>
                      </c:pt>
                      <c:pt idx="15">
                        <c:v>280</c:v>
                      </c:pt>
                      <c:pt idx="16">
                        <c:v>41</c:v>
                      </c:pt>
                      <c:pt idx="17">
                        <c:v>213</c:v>
                      </c:pt>
                      <c:pt idx="18">
                        <c:v>181</c:v>
                      </c:pt>
                      <c:pt idx="19">
                        <c:v>527</c:v>
                      </c:pt>
                      <c:pt idx="20">
                        <c:v>369</c:v>
                      </c:pt>
                      <c:pt idx="21">
                        <c:v>414</c:v>
                      </c:pt>
                      <c:pt idx="22">
                        <c:v>192</c:v>
                      </c:pt>
                      <c:pt idx="23">
                        <c:v>1084</c:v>
                      </c:pt>
                      <c:pt idx="24">
                        <c:v>415</c:v>
                      </c:pt>
                      <c:pt idx="25">
                        <c:v>689</c:v>
                      </c:pt>
                      <c:pt idx="26">
                        <c:v>943</c:v>
                      </c:pt>
                      <c:pt idx="27">
                        <c:v>952</c:v>
                      </c:pt>
                      <c:pt idx="28">
                        <c:v>408</c:v>
                      </c:pt>
                      <c:pt idx="29">
                        <c:v>894</c:v>
                      </c:pt>
                      <c:pt idx="30">
                        <c:v>1036</c:v>
                      </c:pt>
                      <c:pt idx="31">
                        <c:v>999</c:v>
                      </c:pt>
                      <c:pt idx="32">
                        <c:v>589</c:v>
                      </c:pt>
                      <c:pt idx="33">
                        <c:v>1434</c:v>
                      </c:pt>
                      <c:pt idx="34">
                        <c:v>646</c:v>
                      </c:pt>
                      <c:pt idx="35">
                        <c:v>1590</c:v>
                      </c:pt>
                      <c:pt idx="36">
                        <c:v>1109</c:v>
                      </c:pt>
                      <c:pt idx="37">
                        <c:v>1118</c:v>
                      </c:pt>
                      <c:pt idx="38">
                        <c:v>1431</c:v>
                      </c:pt>
                      <c:pt idx="39">
                        <c:v>1480</c:v>
                      </c:pt>
                      <c:pt idx="40">
                        <c:v>1238</c:v>
                      </c:pt>
                      <c:pt idx="41">
                        <c:v>819</c:v>
                      </c:pt>
                      <c:pt idx="42">
                        <c:v>1022</c:v>
                      </c:pt>
                      <c:pt idx="43">
                        <c:v>1555</c:v>
                      </c:pt>
                      <c:pt idx="44">
                        <c:v>2099</c:v>
                      </c:pt>
                      <c:pt idx="45">
                        <c:v>1979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80-4003-A92A-241054E60060}"/>
                  </c:ext>
                </c:extLst>
              </c15:ser>
            </c15:filteredScatterSeries>
            <c15:filteredScatterSeries>
              <c15:ser>
                <c:idx val="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ExpPwLaw'!$X$7</c15:sqref>
                        </c15:formulaRef>
                      </c:ext>
                    </c:extLst>
                    <c:strCache>
                      <c:ptCount val="1"/>
                      <c:pt idx="0">
                        <c:v>New deaths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FF000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ExpPwLaw'!$X$8:$X$78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  <c:pt idx="4">
                        <c:v>4</c:v>
                      </c:pt>
                      <c:pt idx="5">
                        <c:v>8</c:v>
                      </c:pt>
                      <c:pt idx="6">
                        <c:v>5</c:v>
                      </c:pt>
                      <c:pt idx="7">
                        <c:v>18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41</c:v>
                      </c:pt>
                      <c:pt idx="11">
                        <c:v>49</c:v>
                      </c:pt>
                      <c:pt idx="12">
                        <c:v>36</c:v>
                      </c:pt>
                      <c:pt idx="13">
                        <c:v>133</c:v>
                      </c:pt>
                      <c:pt idx="14">
                        <c:v>97</c:v>
                      </c:pt>
                      <c:pt idx="15">
                        <c:v>168</c:v>
                      </c:pt>
                      <c:pt idx="16">
                        <c:v>196</c:v>
                      </c:pt>
                      <c:pt idx="17">
                        <c:v>189</c:v>
                      </c:pt>
                      <c:pt idx="18">
                        <c:v>250</c:v>
                      </c:pt>
                      <c:pt idx="19">
                        <c:v>175</c:v>
                      </c:pt>
                      <c:pt idx="20">
                        <c:v>368</c:v>
                      </c:pt>
                      <c:pt idx="21">
                        <c:v>349</c:v>
                      </c:pt>
                      <c:pt idx="22">
                        <c:v>345</c:v>
                      </c:pt>
                      <c:pt idx="23">
                        <c:v>475</c:v>
                      </c:pt>
                      <c:pt idx="24">
                        <c:v>427</c:v>
                      </c:pt>
                      <c:pt idx="25">
                        <c:v>627</c:v>
                      </c:pt>
                      <c:pt idx="26">
                        <c:v>793</c:v>
                      </c:pt>
                      <c:pt idx="27">
                        <c:v>651</c:v>
                      </c:pt>
                      <c:pt idx="28">
                        <c:v>601</c:v>
                      </c:pt>
                      <c:pt idx="29">
                        <c:v>743</c:v>
                      </c:pt>
                      <c:pt idx="30">
                        <c:v>683</c:v>
                      </c:pt>
                      <c:pt idx="31">
                        <c:v>662</c:v>
                      </c:pt>
                      <c:pt idx="32">
                        <c:v>969</c:v>
                      </c:pt>
                      <c:pt idx="33">
                        <c:v>889</c:v>
                      </c:pt>
                      <c:pt idx="34">
                        <c:v>756</c:v>
                      </c:pt>
                      <c:pt idx="35">
                        <c:v>812</c:v>
                      </c:pt>
                      <c:pt idx="36">
                        <c:v>837</c:v>
                      </c:pt>
                      <c:pt idx="37">
                        <c:v>727</c:v>
                      </c:pt>
                      <c:pt idx="38">
                        <c:v>760</c:v>
                      </c:pt>
                      <c:pt idx="39">
                        <c:v>766</c:v>
                      </c:pt>
                      <c:pt idx="40">
                        <c:v>681</c:v>
                      </c:pt>
                      <c:pt idx="41">
                        <c:v>525</c:v>
                      </c:pt>
                      <c:pt idx="42">
                        <c:v>636</c:v>
                      </c:pt>
                      <c:pt idx="43">
                        <c:v>604</c:v>
                      </c:pt>
                      <c:pt idx="44">
                        <c:v>542</c:v>
                      </c:pt>
                      <c:pt idx="45">
                        <c:v>610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80-4003-A92A-241054E60060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13"/>
          <c:tx>
            <c:strRef>
              <c:f>'Cumul_confirmed - ExpPwLaw'!$J$7</c:f>
              <c:strCache>
                <c:ptCount val="1"/>
                <c:pt idx="0">
                  <c:v>C_Upper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ExpPwLaw'!$J$8:$J$78</c:f>
              <c:numCache>
                <c:formatCode>0</c:formatCode>
                <c:ptCount val="71"/>
                <c:pt idx="0">
                  <c:v>8470.1213665620362</c:v>
                </c:pt>
                <c:pt idx="1">
                  <c:v>8470.1225787626663</c:v>
                </c:pt>
                <c:pt idx="2">
                  <c:v>8470.2166137474669</c:v>
                </c:pt>
                <c:pt idx="3">
                  <c:v>8471.2675440828589</c:v>
                </c:pt>
                <c:pt idx="4">
                  <c:v>8476.5209610162801</c:v>
                </c:pt>
                <c:pt idx="5">
                  <c:v>8493.5861733786332</c:v>
                </c:pt>
                <c:pt idx="6">
                  <c:v>8536.0763328475896</c:v>
                </c:pt>
                <c:pt idx="7">
                  <c:v>8624.4671341606354</c:v>
                </c:pt>
                <c:pt idx="8">
                  <c:v>8786.0297157774476</c:v>
                </c:pt>
                <c:pt idx="9">
                  <c:v>9053.9080499839492</c:v>
                </c:pt>
                <c:pt idx="10">
                  <c:v>9465.5359137452524</c:v>
                </c:pt>
                <c:pt idx="11">
                  <c:v>10060.639821426166</c:v>
                </c:pt>
                <c:pt idx="12">
                  <c:v>10879.074014410173</c:v>
                </c:pt>
                <c:pt idx="13">
                  <c:v>11958.701795793611</c:v>
                </c:pt>
                <c:pt idx="14">
                  <c:v>13333.48994355528</c:v>
                </c:pt>
                <c:pt idx="15">
                  <c:v>15031.930857400959</c:v>
                </c:pt>
                <c:pt idx="16">
                  <c:v>17075.857755474994</c:v>
                </c:pt>
                <c:pt idx="17">
                  <c:v>19479.675786839125</c:v>
                </c:pt>
                <c:pt idx="18">
                  <c:v>22249.998243534959</c:v>
                </c:pt>
                <c:pt idx="19">
                  <c:v>25385.652478374061</c:v>
                </c:pt>
                <c:pt idx="20">
                  <c:v>28878.00403166646</c:v>
                </c:pt>
                <c:pt idx="21">
                  <c:v>32711.538678188896</c:v>
                </c:pt>
                <c:pt idx="22">
                  <c:v>36864.639232866117</c:v>
                </c:pt>
                <c:pt idx="23">
                  <c:v>41310.49558378131</c:v>
                </c:pt>
                <c:pt idx="24">
                  <c:v>46018.091240115478</c:v>
                </c:pt>
                <c:pt idx="25">
                  <c:v>50953.21654734989</c:v>
                </c:pt>
                <c:pt idx="26">
                  <c:v>56079.466689630957</c:v>
                </c:pt>
                <c:pt idx="27">
                  <c:v>61359.190929456621</c:v>
                </c:pt>
                <c:pt idx="28">
                  <c:v>66754.367676683163</c:v>
                </c:pt>
                <c:pt idx="29">
                  <c:v>72227.387547366277</c:v>
                </c:pt>
                <c:pt idx="30">
                  <c:v>77741.73332270571</c:v>
                </c:pt>
                <c:pt idx="31">
                  <c:v>83262.551516167543</c:v>
                </c:pt>
                <c:pt idx="32">
                  <c:v>88757.115056127514</c:v>
                </c:pt>
                <c:pt idx="33">
                  <c:v>94195.180409324676</c:v>
                </c:pt>
                <c:pt idx="34">
                  <c:v>99549.245368594769</c:v>
                </c:pt>
                <c:pt idx="35">
                  <c:v>104794.71579668119</c:v>
                </c:pt>
                <c:pt idx="36">
                  <c:v>109909.99096199515</c:v>
                </c:pt>
                <c:pt idx="37">
                  <c:v>114876.47783360642</c:v>
                </c:pt>
                <c:pt idx="38">
                  <c:v>119678.54493196691</c:v>
                </c:pt>
                <c:pt idx="39">
                  <c:v>124303.42616333271</c:v>
                </c:pt>
                <c:pt idx="40">
                  <c:v>128741.08459472111</c:v>
                </c:pt>
                <c:pt idx="41">
                  <c:v>132984.04543667292</c:v>
                </c:pt>
                <c:pt idx="42">
                  <c:v>137027.20666538304</c:v>
                </c:pt>
                <c:pt idx="43">
                  <c:v>140867.63479446489</c:v>
                </c:pt>
                <c:pt idx="44">
                  <c:v>144504.35234897761</c:v>
                </c:pt>
                <c:pt idx="45">
                  <c:v>147938.12263929477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6480-4003-A92A-241054E60060}"/>
            </c:ext>
          </c:extLst>
        </c:ser>
        <c:ser>
          <c:idx val="3"/>
          <c:order val="14"/>
          <c:tx>
            <c:strRef>
              <c:f>'Cumul_confirmed - ExpPwLaw'!$K$7</c:f>
              <c:strCache>
                <c:ptCount val="1"/>
                <c:pt idx="0">
                  <c:v>C_Lower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ExpPwLaw'!$K$8:$K$78</c:f>
              <c:numCache>
                <c:formatCode>0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135.61502235091939</c:v>
                </c:pt>
                <c:pt idx="17">
                  <c:v>2539.4330537150527</c:v>
                </c:pt>
                <c:pt idx="18">
                  <c:v>5309.7555104108851</c:v>
                </c:pt>
                <c:pt idx="19">
                  <c:v>8445.40974524999</c:v>
                </c:pt>
                <c:pt idx="20">
                  <c:v>11937.761298542389</c:v>
                </c:pt>
                <c:pt idx="21">
                  <c:v>15771.295945064821</c:v>
                </c:pt>
                <c:pt idx="22">
                  <c:v>19924.396499742048</c:v>
                </c:pt>
                <c:pt idx="23">
                  <c:v>24370.252850657234</c:v>
                </c:pt>
                <c:pt idx="24">
                  <c:v>29077.848506991402</c:v>
                </c:pt>
                <c:pt idx="25">
                  <c:v>34012.973814225814</c:v>
                </c:pt>
                <c:pt idx="26">
                  <c:v>39139.223956506881</c:v>
                </c:pt>
                <c:pt idx="27">
                  <c:v>44418.948196332545</c:v>
                </c:pt>
                <c:pt idx="28">
                  <c:v>49814.124943559087</c:v>
                </c:pt>
                <c:pt idx="29">
                  <c:v>55287.144814242209</c:v>
                </c:pt>
                <c:pt idx="30">
                  <c:v>60801.490589581641</c:v>
                </c:pt>
                <c:pt idx="31">
                  <c:v>66322.308783043482</c:v>
                </c:pt>
                <c:pt idx="32">
                  <c:v>71816.872323003452</c:v>
                </c:pt>
                <c:pt idx="33">
                  <c:v>77254.937676200614</c:v>
                </c:pt>
                <c:pt idx="34">
                  <c:v>82609.002635470708</c:v>
                </c:pt>
                <c:pt idx="35">
                  <c:v>87854.473063557132</c:v>
                </c:pt>
                <c:pt idx="36">
                  <c:v>92969.748228871089</c:v>
                </c:pt>
                <c:pt idx="37">
                  <c:v>97936.235100482358</c:v>
                </c:pt>
                <c:pt idx="38">
                  <c:v>102738.30219884285</c:v>
                </c:pt>
                <c:pt idx="39">
                  <c:v>107363.18343020865</c:v>
                </c:pt>
                <c:pt idx="40">
                  <c:v>111800.84186159704</c:v>
                </c:pt>
                <c:pt idx="41">
                  <c:v>116043.80270354886</c:v>
                </c:pt>
                <c:pt idx="42">
                  <c:v>120086.96393225896</c:v>
                </c:pt>
                <c:pt idx="43">
                  <c:v>123927.39206134083</c:v>
                </c:pt>
                <c:pt idx="44">
                  <c:v>127564.10961585355</c:v>
                </c:pt>
                <c:pt idx="45">
                  <c:v>130997.87990617071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6480-4003-A92A-241054E60060}"/>
            </c:ext>
          </c:extLst>
        </c:ser>
        <c:ser>
          <c:idx val="15"/>
          <c:order val="15"/>
          <c:tx>
            <c:strRef>
              <c:f>'Cumul_confirmed - ExpPwLaw'!$G$7</c:f>
              <c:strCache>
                <c:ptCount val="1"/>
                <c:pt idx="0">
                  <c:v>Cum_fit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ExpPwLaw'!$G$8:$G$78</c:f>
              <c:numCache>
                <c:formatCode>0</c:formatCode>
                <c:ptCount val="71"/>
                <c:pt idx="0">
                  <c:v>0</c:v>
                </c:pt>
                <c:pt idx="1">
                  <c:v>1.2122006292482345E-3</c:v>
                </c:pt>
                <c:pt idx="2">
                  <c:v>9.5247185431279469E-2</c:v>
                </c:pt>
                <c:pt idx="3">
                  <c:v>1.1461775208227214</c:v>
                </c:pt>
                <c:pt idx="4">
                  <c:v>6.3995944542441174</c:v>
                </c:pt>
                <c:pt idx="5">
                  <c:v>23.464806816597722</c:v>
                </c:pt>
                <c:pt idx="6">
                  <c:v>65.954966285553652</c:v>
                </c:pt>
                <c:pt idx="7">
                  <c:v>154.34576759859993</c:v>
                </c:pt>
                <c:pt idx="8">
                  <c:v>315.90834921541176</c:v>
                </c:pt>
                <c:pt idx="9">
                  <c:v>583.78668342191338</c:v>
                </c:pt>
                <c:pt idx="10">
                  <c:v>995.4145471832162</c:v>
                </c:pt>
                <c:pt idx="11">
                  <c:v>1590.5184548641305</c:v>
                </c:pt>
                <c:pt idx="12">
                  <c:v>2408.9526478481371</c:v>
                </c:pt>
                <c:pt idx="13">
                  <c:v>3488.5804292315747</c:v>
                </c:pt>
                <c:pt idx="14">
                  <c:v>4863.3685769932436</c:v>
                </c:pt>
                <c:pt idx="15">
                  <c:v>6561.809490838923</c:v>
                </c:pt>
                <c:pt idx="16">
                  <c:v>8605.7363889129556</c:v>
                </c:pt>
                <c:pt idx="17">
                  <c:v>11009.554420277089</c:v>
                </c:pt>
                <c:pt idx="18">
                  <c:v>13779.876876972921</c:v>
                </c:pt>
                <c:pt idx="19">
                  <c:v>16915.531111812026</c:v>
                </c:pt>
                <c:pt idx="20">
                  <c:v>20407.882665104426</c:v>
                </c:pt>
                <c:pt idx="21">
                  <c:v>24241.417311626858</c:v>
                </c:pt>
                <c:pt idx="22">
                  <c:v>28394.517866304082</c:v>
                </c:pt>
                <c:pt idx="23">
                  <c:v>32840.374217219272</c:v>
                </c:pt>
                <c:pt idx="24">
                  <c:v>37547.96987355344</c:v>
                </c:pt>
                <c:pt idx="25">
                  <c:v>42483.095180787852</c:v>
                </c:pt>
                <c:pt idx="26">
                  <c:v>47609.345323068919</c:v>
                </c:pt>
                <c:pt idx="27">
                  <c:v>52889.069562894583</c:v>
                </c:pt>
                <c:pt idx="28">
                  <c:v>58284.246310121125</c:v>
                </c:pt>
                <c:pt idx="29">
                  <c:v>63757.266180804247</c:v>
                </c:pt>
                <c:pt idx="30">
                  <c:v>69271.611956143679</c:v>
                </c:pt>
                <c:pt idx="31">
                  <c:v>74792.430149605512</c:v>
                </c:pt>
                <c:pt idx="32">
                  <c:v>80286.993689565483</c:v>
                </c:pt>
                <c:pt idx="33">
                  <c:v>85725.059042762645</c:v>
                </c:pt>
                <c:pt idx="34">
                  <c:v>91079.124002032739</c:v>
                </c:pt>
                <c:pt idx="35">
                  <c:v>96324.594430119163</c:v>
                </c:pt>
                <c:pt idx="36">
                  <c:v>101439.86959543312</c:v>
                </c:pt>
                <c:pt idx="37">
                  <c:v>106406.35646704439</c:v>
                </c:pt>
                <c:pt idx="38">
                  <c:v>111208.42356540488</c:v>
                </c:pt>
                <c:pt idx="39">
                  <c:v>115833.30479677068</c:v>
                </c:pt>
                <c:pt idx="40">
                  <c:v>120270.96322815907</c:v>
                </c:pt>
                <c:pt idx="41">
                  <c:v>124513.92407011089</c:v>
                </c:pt>
                <c:pt idx="42">
                  <c:v>128557.085298821</c:v>
                </c:pt>
                <c:pt idx="43">
                  <c:v>132397.51342790286</c:v>
                </c:pt>
                <c:pt idx="44">
                  <c:v>136034.23098241558</c:v>
                </c:pt>
                <c:pt idx="45">
                  <c:v>139468.00127273274</c:v>
                </c:pt>
                <c:pt idx="46">
                  <c:v>142701.11514303577</c:v>
                </c:pt>
                <c:pt idx="47">
                  <c:v>145737.18350026655</c:v>
                </c:pt>
                <c:pt idx="48">
                  <c:v>148580.9386290393</c:v>
                </c:pt>
                <c:pt idx="49">
                  <c:v>151238.04657534629</c:v>
                </c:pt>
                <c:pt idx="50">
                  <c:v>153714.93224136563</c:v>
                </c:pt>
                <c:pt idx="51">
                  <c:v>156018.61827610651</c:v>
                </c:pt>
                <c:pt idx="52">
                  <c:v>158156.57837006962</c:v>
                </c:pt>
                <c:pt idx="53">
                  <c:v>160136.60516256941</c:v>
                </c:pt>
                <c:pt idx="54">
                  <c:v>161966.69264246841</c:v>
                </c:pt>
                <c:pt idx="55">
                  <c:v>163654.93266052066</c:v>
                </c:pt>
                <c:pt idx="56">
                  <c:v>165209.42496753746</c:v>
                </c:pt>
                <c:pt idx="57">
                  <c:v>166638.20004024467</c:v>
                </c:pt>
                <c:pt idx="58">
                  <c:v>167949.15384916725</c:v>
                </c:pt>
                <c:pt idx="59">
                  <c:v>169149.99365359257</c:v>
                </c:pt>
                <c:pt idx="60">
                  <c:v>170248.19387149118</c:v>
                </c:pt>
                <c:pt idx="61">
                  <c:v>171250.96106155706</c:v>
                </c:pt>
                <c:pt idx="62">
                  <c:v>172165.20706515689</c:v>
                </c:pt>
                <c:pt idx="63">
                  <c:v>172997.52938340863</c:v>
                </c:pt>
                <c:pt idx="64">
                  <c:v>173754.19790484375</c:v>
                </c:pt>
                <c:pt idx="65">
                  <c:v>174441.14714870509</c:v>
                </c:pt>
                <c:pt idx="66">
                  <c:v>175063.97324494872</c:v>
                </c:pt>
                <c:pt idx="67">
                  <c:v>175627.9349319897</c:v>
                </c:pt>
                <c:pt idx="68">
                  <c:v>176137.95791512393</c:v>
                </c:pt>
                <c:pt idx="69">
                  <c:v>176598.64199071872</c:v>
                </c:pt>
                <c:pt idx="70">
                  <c:v>177014.27040238903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480-4003-A92A-241054E60060}"/>
            </c:ext>
          </c:extLst>
        </c:ser>
        <c:ser>
          <c:idx val="18"/>
          <c:order val="18"/>
          <c:tx>
            <c:strRef>
              <c:f>'Cumul_confirmed - ExpPwLaw'!$Z$7</c:f>
              <c:strCache>
                <c:ptCount val="1"/>
                <c:pt idx="0">
                  <c:v>Cum_D_fit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ExpPwLaw'!$Z$8:$Z$78</c:f>
              <c:numCache>
                <c:formatCode>0</c:formatCode>
                <c:ptCount val="71"/>
                <c:pt idx="0">
                  <c:v>0</c:v>
                </c:pt>
                <c:pt idx="1">
                  <c:v>1.5507788720226275E-7</c:v>
                </c:pt>
                <c:pt idx="2">
                  <c:v>6.1632703058595454E-5</c:v>
                </c:pt>
                <c:pt idx="3">
                  <c:v>1.8717274310697553E-3</c:v>
                </c:pt>
                <c:pt idx="4">
                  <c:v>1.9840575042095174E-2</c:v>
                </c:pt>
                <c:pt idx="5">
                  <c:v>0.11816728224321933</c:v>
                </c:pt>
                <c:pt idx="6">
                  <c:v>0.48884177812012786</c:v>
                </c:pt>
                <c:pt idx="7">
                  <c:v>1.5728903353200483</c:v>
                </c:pt>
                <c:pt idx="8">
                  <c:v>4.2113164387393835</c:v>
                </c:pt>
                <c:pt idx="9">
                  <c:v>9.8005031285721458</c:v>
                </c:pt>
                <c:pt idx="10">
                  <c:v>20.422670218701882</c:v>
                </c:pt>
                <c:pt idx="11">
                  <c:v>38.9251482267235</c:v>
                </c:pt>
                <c:pt idx="12">
                  <c:v>68.93058027274347</c:v>
                </c:pt>
                <c:pt idx="13">
                  <c:v>114.77092063785612</c:v>
                </c:pt>
                <c:pt idx="14">
                  <c:v>181.3487744152612</c:v>
                </c:pt>
                <c:pt idx="15">
                  <c:v>273.9384418436702</c:v>
                </c:pt>
                <c:pt idx="16">
                  <c:v>397.94502877089354</c:v>
                </c:pt>
                <c:pt idx="17">
                  <c:v>558.642904327054</c:v>
                </c:pt>
                <c:pt idx="18">
                  <c:v>760.91488883855186</c:v>
                </c:pt>
                <c:pt idx="19">
                  <c:v>1009.0114122833246</c:v>
                </c:pt>
                <c:pt idx="20">
                  <c:v>1306.3452030773597</c:v>
                </c:pt>
                <c:pt idx="21">
                  <c:v>1655.3325551602754</c:v>
                </c:pt>
                <c:pt idx="22">
                  <c:v>2057.2874967770758</c:v>
                </c:pt>
                <c:pt idx="23">
                  <c:v>2512.3707313951745</c:v>
                </c:pt>
                <c:pt idx="24">
                  <c:v>3019.5913755932297</c:v>
                </c:pt>
                <c:pt idx="25">
                  <c:v>3576.8564751966892</c:v>
                </c:pt>
                <c:pt idx="26">
                  <c:v>4181.061113744121</c:v>
                </c:pt>
                <c:pt idx="27">
                  <c:v>4828.2106173314496</c:v>
                </c:pt>
                <c:pt idx="28">
                  <c:v>5513.565822072329</c:v>
                </c:pt>
                <c:pt idx="29">
                  <c:v>6231.8024797794196</c:v>
                </c:pt>
                <c:pt idx="30">
                  <c:v>6977.1764903236208</c:v>
                </c:pt>
                <c:pt idx="31">
                  <c:v>7743.6876198157388</c:v>
                </c:pt>
                <c:pt idx="32">
                  <c:v>8525.2355565263988</c:v>
                </c:pt>
                <c:pt idx="33">
                  <c:v>9315.7634530165069</c:v>
                </c:pt>
                <c:pt idx="34">
                  <c:v>10109.38540638548</c:v>
                </c:pt>
                <c:pt idx="35">
                  <c:v>10900.495564503348</c:v>
                </c:pt>
                <c:pt idx="36">
                  <c:v>11683.857661906057</c:v>
                </c:pt>
                <c:pt idx="37">
                  <c:v>12454.674751537059</c:v>
                </c:pt>
                <c:pt idx="38">
                  <c:v>13208.639691118529</c:v>
                </c:pt>
                <c:pt idx="39">
                  <c:v>13941.967562367061</c:v>
                </c:pt>
                <c:pt idx="40">
                  <c:v>14651.411654382944</c:v>
                </c:pt>
                <c:pt idx="41">
                  <c:v>15334.264943324952</c:v>
                </c:pt>
                <c:pt idx="42">
                  <c:v>15988.349167450726</c:v>
                </c:pt>
                <c:pt idx="43">
                  <c:v>16611.993650639732</c:v>
                </c:pt>
                <c:pt idx="44">
                  <c:v>17204.005990142647</c:v>
                </c:pt>
                <c:pt idx="45">
                  <c:v>17763.636616396536</c:v>
                </c:pt>
                <c:pt idx="46">
                  <c:v>18290.539073624535</c:v>
                </c:pt>
                <c:pt idx="47">
                  <c:v>18784.727676787144</c:v>
                </c:pt>
                <c:pt idx="48">
                  <c:v>19246.533988001771</c:v>
                </c:pt>
                <c:pt idx="49">
                  <c:v>19676.563335988241</c:v>
                </c:pt>
                <c:pt idx="50">
                  <c:v>20075.652385128597</c:v>
                </c:pt>
                <c:pt idx="51">
                  <c:v>20444.828553729421</c:v>
                </c:pt>
                <c:pt idx="52">
                  <c:v>20785.271889337626</c:v>
                </c:pt>
                <c:pt idx="53">
                  <c:v>21098.279835975394</c:v>
                </c:pt>
                <c:pt idx="54">
                  <c:v>21385.235175898422</c:v>
                </c:pt>
                <c:pt idx="55">
                  <c:v>21647.577297683285</c:v>
                </c:pt>
                <c:pt idx="56">
                  <c:v>21886.776832891373</c:v>
                </c:pt>
                <c:pt idx="57">
                  <c:v>22104.313614293183</c:v>
                </c:pt>
                <c:pt idx="58">
                  <c:v>22301.657838210358</c:v>
                </c:pt>
                <c:pt idx="59">
                  <c:v>22480.254260158104</c:v>
                </c:pt>
                <c:pt idx="60">
                  <c:v>22641.509214675327</c:v>
                </c:pt>
                <c:pt idx="61">
                  <c:v>22786.780224979044</c:v>
                </c:pt>
                <c:pt idx="62">
                  <c:v>22917.367953861944</c:v>
                </c:pt>
                <c:pt idx="63">
                  <c:v>23034.510242148659</c:v>
                </c:pt>
                <c:pt idx="64">
                  <c:v>23139.377983258073</c:v>
                </c:pt>
                <c:pt idx="65">
                  <c:v>23233.072590372642</c:v>
                </c:pt>
                <c:pt idx="66">
                  <c:v>23316.624824964347</c:v>
                </c:pt>
                <c:pt idx="67">
                  <c:v>23390.994770730209</c:v>
                </c:pt>
                <c:pt idx="68">
                  <c:v>23457.072754294859</c:v>
                </c:pt>
                <c:pt idx="69">
                  <c:v>23515.681032465938</c:v>
                </c:pt>
                <c:pt idx="70">
                  <c:v>23567.576084665699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480-4003-A92A-241054E60060}"/>
            </c:ext>
          </c:extLst>
        </c:ser>
        <c:ser>
          <c:idx val="19"/>
          <c:order val="19"/>
          <c:tx>
            <c:strRef>
              <c:f>'Cumul_confirmed - ExpPwLaw'!$R$7</c:f>
              <c:strCache>
                <c:ptCount val="1"/>
                <c:pt idx="0">
                  <c:v>Cum_R_fit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ExpPwLaw'!$R$8:$R$78</c:f>
              <c:numCache>
                <c:formatCode>0</c:formatCode>
                <c:ptCount val="71"/>
                <c:pt idx="0">
                  <c:v>0</c:v>
                </c:pt>
                <c:pt idx="1">
                  <c:v>0.11344426478295069</c:v>
                </c:pt>
                <c:pt idx="2">
                  <c:v>1.2215253711601863</c:v>
                </c:pt>
                <c:pt idx="3">
                  <c:v>4.8704808829436468</c:v>
                </c:pt>
                <c:pt idx="4">
                  <c:v>12.930055712633489</c:v>
                </c:pt>
                <c:pt idx="5">
                  <c:v>27.468996517321862</c:v>
                </c:pt>
                <c:pt idx="6">
                  <c:v>50.683714903198982</c:v>
                </c:pt>
                <c:pt idx="7">
                  <c:v>84.849863023250023</c:v>
                </c:pt>
                <c:pt idx="8">
                  <c:v>132.28682698891598</c:v>
                </c:pt>
                <c:pt idx="9">
                  <c:v>195.33052216368432</c:v>
                </c:pt>
                <c:pt idx="10">
                  <c:v>276.31197170739944</c:v>
                </c:pt>
                <c:pt idx="11">
                  <c:v>377.54014038237108</c:v>
                </c:pt>
                <c:pt idx="12">
                  <c:v>501.28802487024939</c:v>
                </c:pt>
                <c:pt idx="13">
                  <c:v>649.78131045960731</c:v>
                </c:pt>
                <c:pt idx="14">
                  <c:v>825.18909621737509</c:v>
                </c:pt>
                <c:pt idx="15">
                  <c:v>1029.6163169070887</c:v>
                </c:pt>
                <c:pt idx="16">
                  <c:v>1265.0975762427363</c:v>
                </c:pt>
                <c:pt idx="17">
                  <c:v>1533.5921672285838</c:v>
                </c:pt>
                <c:pt idx="18">
                  <c:v>1836.9800999533693</c:v>
                </c:pt>
                <c:pt idx="19">
                  <c:v>2177.0589905782408</c:v>
                </c:pt>
                <c:pt idx="20">
                  <c:v>2555.5416907597805</c:v>
                </c:pt>
                <c:pt idx="21">
                  <c:v>2974.0545566065925</c:v>
                </c:pt>
                <c:pt idx="22">
                  <c:v>3434.1362719861477</c:v>
                </c:pt>
                <c:pt idx="23">
                  <c:v>3937.2371536227765</c:v>
                </c:pt>
                <c:pt idx="24">
                  <c:v>4484.7188756986661</c:v>
                </c:pt>
                <c:pt idx="25">
                  <c:v>5077.8545601229671</c:v>
                </c:pt>
                <c:pt idx="26">
                  <c:v>5717.8291856636615</c:v>
                </c:pt>
                <c:pt idx="27">
                  <c:v>6405.7402750368055</c:v>
                </c:pt>
                <c:pt idx="28">
                  <c:v>7142.5988240416827</c:v>
                </c:pt>
                <c:pt idx="29">
                  <c:v>7929.3304410890551</c:v>
                </c:pt>
                <c:pt idx="30">
                  <c:v>8766.7766691267625</c:v>
                </c:pt>
                <c:pt idx="31">
                  <c:v>9655.6964651268081</c:v>
                </c:pt>
                <c:pt idx="32">
                  <c:v>10596.767815043837</c:v>
                </c:pt>
                <c:pt idx="33">
                  <c:v>11590.589464553239</c:v>
                </c:pt>
                <c:pt idx="34">
                  <c:v>12637.682747981822</c:v>
                </c:pt>
                <c:pt idx="35">
                  <c:v>13738.49349969877</c:v>
                </c:pt>
                <c:pt idx="36">
                  <c:v>14893.39403387586</c:v>
                </c:pt>
                <c:pt idx="37">
                  <c:v>16102.685179983164</c:v>
                </c:pt>
                <c:pt idx="38">
                  <c:v>17366.598362684224</c:v>
                </c:pt>
                <c:pt idx="39">
                  <c:v>18685.297715954985</c:v>
                </c:pt>
                <c:pt idx="40">
                  <c:v>20058.882222289321</c:v>
                </c:pt>
                <c:pt idx="41">
                  <c:v>21487.387868787388</c:v>
                </c:pt>
                <c:pt idx="42">
                  <c:v>22970.789812762912</c:v>
                </c:pt>
                <c:pt idx="43">
                  <c:v>24509.004550262634</c:v>
                </c:pt>
                <c:pt idx="44">
                  <c:v>26101.892081576352</c:v>
                </c:pt>
                <c:pt idx="45">
                  <c:v>27749.258068434672</c:v>
                </c:pt>
                <c:pt idx="46">
                  <c:v>29450.85597815357</c:v>
                </c:pt>
                <c:pt idx="47">
                  <c:v>31206.389210494406</c:v>
                </c:pt>
                <c:pt idx="48">
                  <c:v>33015.513203471077</c:v>
                </c:pt>
                <c:pt idx="49">
                  <c:v>34877.837514757222</c:v>
                </c:pt>
                <c:pt idx="50">
                  <c:v>36792.927875730129</c:v>
                </c:pt>
                <c:pt idx="51">
                  <c:v>38760.308215537276</c:v>
                </c:pt>
                <c:pt idx="52">
                  <c:v>40779.462652889866</c:v>
                </c:pt>
                <c:pt idx="53">
                  <c:v>42849.837453579188</c:v>
                </c:pt>
                <c:pt idx="54">
                  <c:v>44970.842951975537</c:v>
                </c:pt>
                <c:pt idx="55">
                  <c:v>47141.855435013211</c:v>
                </c:pt>
                <c:pt idx="56">
                  <c:v>49362.218987384404</c:v>
                </c:pt>
                <c:pt idx="57">
                  <c:v>51631.247296868169</c:v>
                </c:pt>
                <c:pt idx="58">
                  <c:v>53948.225418904272</c:v>
                </c:pt>
                <c:pt idx="59">
                  <c:v>56312.41149968942</c:v>
                </c:pt>
                <c:pt idx="60">
                  <c:v>58723.038457228198</c:v>
                </c:pt>
                <c:pt idx="61">
                  <c:v>61179.315619909015</c:v>
                </c:pt>
                <c:pt idx="62">
                  <c:v>63680.430322305903</c:v>
                </c:pt>
                <c:pt idx="63">
                  <c:v>66225.549458020032</c:v>
                </c:pt>
                <c:pt idx="64">
                  <c:v>68813.82098948241</c:v>
                </c:pt>
                <c:pt idx="65">
                  <c:v>71444.375414735157</c:v>
                </c:pt>
                <c:pt idx="66">
                  <c:v>74116.327191296921</c:v>
                </c:pt>
                <c:pt idx="67">
                  <c:v>76828.776117293572</c:v>
                </c:pt>
                <c:pt idx="68">
                  <c:v>79580.80867011263</c:v>
                </c:pt>
                <c:pt idx="69">
                  <c:v>82371.499302899218</c:v>
                </c:pt>
                <c:pt idx="70">
                  <c:v>85199.911699272707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0A-43B7-AE34-095837C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'New_confirmed - ExpPwLaw'!$H$7</c15:sqref>
                        </c15:formulaRef>
                      </c:ext>
                    </c:extLst>
                    <c:strCache>
                      <c:ptCount val="1"/>
                      <c:pt idx="0">
                        <c:v>New_cases_fit</c:v>
                      </c:pt>
                    </c:strCache>
                  </c:strRef>
                </c:tx>
                <c:spPr>
                  <a:ln w="9525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ExpPwLaw'!$H$8:$H$78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7.7164758960758849E-3</c:v>
                      </c:pt>
                      <c:pt idx="2">
                        <c:v>0.29566681926411087</c:v>
                      </c:pt>
                      <c:pt idx="3">
                        <c:v>2.3122721509717667</c:v>
                      </c:pt>
                      <c:pt idx="4">
                        <c:v>9.4344079417322728</c:v>
                      </c:pt>
                      <c:pt idx="5">
                        <c:v>26.950256620018717</c:v>
                      </c:pt>
                      <c:pt idx="6">
                        <c:v>61.444000914164775</c:v>
                      </c:pt>
                      <c:pt idx="7">
                        <c:v>119.89866222003877</c:v>
                      </c:pt>
                      <c:pt idx="8">
                        <c:v>208.7774871058009</c:v>
                      </c:pt>
                      <c:pt idx="9">
                        <c:v>333.25202670335267</c:v>
                      </c:pt>
                      <c:pt idx="10">
                        <c:v>496.66138617386855</c:v>
                      </c:pt>
                      <c:pt idx="11">
                        <c:v>700.22451233090646</c:v>
                      </c:pt>
                      <c:pt idx="12">
                        <c:v>942.98645561112266</c:v>
                      </c:pt>
                      <c:pt idx="13">
                        <c:v>1221.9566869906375</c:v>
                      </c:pt>
                      <c:pt idx="14">
                        <c:v>1532.3881393924614</c:v>
                      </c:pt>
                      <c:pt idx="15">
                        <c:v>1868.1453433483396</c:v>
                      </c:pt>
                      <c:pt idx="16">
                        <c:v>2222.1152864381188</c:v>
                      </c:pt>
                      <c:pt idx="17">
                        <c:v>2586.6227674729244</c:v>
                      </c:pt>
                      <c:pt idx="18">
                        <c:v>2953.8211567144863</c:v>
                      </c:pt>
                      <c:pt idx="19">
                        <c:v>3316.0383834025865</c:v>
                      </c:pt>
                      <c:pt idx="20">
                        <c:v>3666.065924461172</c:v>
                      </c:pt>
                      <c:pt idx="21">
                        <c:v>3997.3852013611013</c:v>
                      </c:pt>
                      <c:pt idx="22">
                        <c:v>4304.3309944338198</c:v>
                      </c:pt>
                      <c:pt idx="23">
                        <c:v>4582.1953054953592</c:v>
                      </c:pt>
                      <c:pt idx="24">
                        <c:v>4827.2776849200145</c:v>
                      </c:pt>
                      <c:pt idx="25">
                        <c:v>5036.8895793207357</c:v>
                      </c:pt>
                      <c:pt idx="26">
                        <c:v>5209.3209556989568</c:v>
                      </c:pt>
                      <c:pt idx="27">
                        <c:v>5343.7775152609256</c:v>
                      </c:pt>
                      <c:pt idx="28">
                        <c:v>5440.2964036867024</c:v>
                      </c:pt>
                      <c:pt idx="29">
                        <c:v>5499.6476076470344</c:v>
                      </c:pt>
                      <c:pt idx="30">
                        <c:v>5523.2273255164155</c:v>
                      </c:pt>
                      <c:pt idx="31">
                        <c:v>5512.9486125604508</c:v>
                      </c:pt>
                      <c:pt idx="32">
                        <c:v>5471.1336020506551</c:v>
                      </c:pt>
                      <c:pt idx="33">
                        <c:v>5400.4106472717085</c:v>
                      </c:pt>
                      <c:pt idx="34">
                        <c:v>5303.6188510124994</c:v>
                      </c:pt>
                      <c:pt idx="35">
                        <c:v>5183.721670365946</c:v>
                      </c:pt>
                      <c:pt idx="36">
                        <c:v>5043.7306158760566</c:v>
                      </c:pt>
                      <c:pt idx="37">
                        <c:v>4886.6395073072954</c:v>
                      </c:pt>
                      <c:pt idx="38">
                        <c:v>4715.3692996624841</c:v>
                      </c:pt>
                      <c:pt idx="39">
                        <c:v>4532.7231446341684</c:v>
                      </c:pt>
                      <c:pt idx="40">
                        <c:v>4341.3510940926071</c:v>
                      </c:pt>
                      <c:pt idx="41">
                        <c:v>4143.7236719139046</c:v>
                      </c:pt>
                      <c:pt idx="42">
                        <c:v>3942.1134265221945</c:v>
                      </c:pt>
                      <c:pt idx="43">
                        <c:v>3738.5835173621804</c:v>
                      </c:pt>
                      <c:pt idx="44">
                        <c:v>3534.9823732845712</c:v>
                      </c:pt>
                      <c:pt idx="45">
                        <c:v>3332.9434796889386</c:v>
                      </c:pt>
                      <c:pt idx="46">
                        <c:v>3133.8893955613089</c:v>
                      </c:pt>
                      <c:pt idx="47">
                        <c:v>2939.0391638180076</c:v>
                      </c:pt>
                      <c:pt idx="48">
                        <c:v>2749.4183523631232</c:v>
                      </c:pt>
                      <c:pt idx="49">
                        <c:v>2565.871043853826</c:v>
                      </c:pt>
                      <c:pt idx="50">
                        <c:v>2389.0731752436877</c:v>
                      </c:pt>
                      <c:pt idx="51">
                        <c:v>2219.546710556283</c:v>
                      </c:pt>
                      <c:pt idx="52">
                        <c:v>2057.6742096444837</c:v>
                      </c:pt>
                      <c:pt idx="53">
                        <c:v>1903.7134302112145</c:v>
                      </c:pt>
                      <c:pt idx="54">
                        <c:v>1757.8116689677706</c:v>
                      </c:pt>
                      <c:pt idx="55">
                        <c:v>1620.0196098123886</c:v>
                      </c:pt>
                      <c:pt idx="56">
                        <c:v>1490.3045020196262</c:v>
                      </c:pt>
                      <c:pt idx="57">
                        <c:v>1368.5625396221637</c:v>
                      </c:pt>
                      <c:pt idx="58">
                        <c:v>1254.6303546379622</c:v>
                      </c:pt>
                      <c:pt idx="59">
                        <c:v>1148.2955718999003</c:v>
                      </c:pt>
                      <c:pt idx="60">
                        <c:v>1049.3064024402872</c:v>
                      </c:pt>
                      <c:pt idx="61">
                        <c:v>957.38027619154821</c:v>
                      </c:pt>
                      <c:pt idx="62">
                        <c:v>872.21153374295136</c:v>
                      </c:pt>
                      <c:pt idx="63">
                        <c:v>793.47821160469312</c:v>
                      </c:pt>
                      <c:pt idx="64">
                        <c:v>720.84796642678043</c:v>
                      </c:pt>
                      <c:pt idx="65">
                        <c:v>653.98319142829826</c:v>
                      </c:pt>
                      <c:pt idx="66">
                        <c:v>592.54538340507133</c:v>
                      </c:pt>
                      <c:pt idx="67">
                        <c:v>536.19882155294283</c:v>
                      </c:pt>
                      <c:pt idx="68">
                        <c:v>484.61362037801428</c:v>
                      </c:pt>
                      <c:pt idx="69">
                        <c:v>437.46821852819113</c:v>
                      </c:pt>
                      <c:pt idx="70">
                        <c:v>394.45136379165587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480-4003-A92A-241054E6006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ExpPwLaw'!$N$7</c15:sqref>
                        </c15:formulaRef>
                      </c:ext>
                    </c:extLst>
                    <c:strCache>
                      <c:ptCount val="1"/>
                      <c:pt idx="0">
                        <c:v>New_positive_fit</c:v>
                      </c:pt>
                    </c:strCache>
                  </c:strRef>
                </c:tx>
                <c:spPr>
                  <a:ln w="9525" cap="rnd">
                    <a:solidFill>
                      <a:schemeClr val="tx2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ExpPwLaw'!$N$8:$N$78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-0.38210284863937366</c:v>
                      </c:pt>
                      <c:pt idx="2">
                        <c:v>-1.7928502623888709</c:v>
                      </c:pt>
                      <c:pt idx="3">
                        <c:v>-3.2160539639465351</c:v>
                      </c:pt>
                      <c:pt idx="4">
                        <c:v>-1.5476879140371924</c:v>
                      </c:pt>
                      <c:pt idx="5">
                        <c:v>8.2610188524364734</c:v>
                      </c:pt>
                      <c:pt idx="6">
                        <c:v>32.511670419696081</c:v>
                      </c:pt>
                      <c:pt idx="7">
                        <c:v>77.806083086977807</c:v>
                      </c:pt>
                      <c:pt idx="8">
                        <c:v>150.09912167110201</c:v>
                      </c:pt>
                      <c:pt idx="9">
                        <c:v>253.93016886133017</c:v>
                      </c:pt>
                      <c:pt idx="10">
                        <c:v>391.91658489616185</c:v>
                      </c:pt>
                      <c:pt idx="11">
                        <c:v>564.52411645354289</c:v>
                      </c:pt>
                      <c:pt idx="12">
                        <c:v>770.08478316730589</c:v>
                      </c:pt>
                      <c:pt idx="13">
                        <c:v>1005.0090036296175</c:v>
                      </c:pt>
                      <c:pt idx="14">
                        <c:v>1264.1305022961637</c:v>
                      </c:pt>
                      <c:pt idx="15">
                        <c:v>1541.1247591932711</c:v>
                      </c:pt>
                      <c:pt idx="16">
                        <c:v>1828.9501085656132</c:v>
                      </c:pt>
                      <c:pt idx="17">
                        <c:v>2120.2717708981918</c:v>
                      </c:pt>
                      <c:pt idx="18">
                        <c:v>2407.8408236232772</c:v>
                      </c:pt>
                      <c:pt idx="19">
                        <c:v>2684.8109358744914</c:v>
                      </c:pt>
                      <c:pt idx="20">
                        <c:v>2944.9848275346712</c:v>
                      </c:pt>
                      <c:pt idx="21">
                        <c:v>3182.9895530203803</c:v>
                      </c:pt>
                      <c:pt idx="22">
                        <c:v>3394.3848622228597</c:v>
                      </c:pt>
                      <c:pt idx="23">
                        <c:v>3575.7122510753011</c:v>
                      </c:pt>
                      <c:pt idx="24">
                        <c:v>3724.4941747644889</c:v>
                      </c:pt>
                      <c:pt idx="25">
                        <c:v>3839.1935810874602</c:v>
                      </c:pt>
                      <c:pt idx="26">
                        <c:v>3919.143742420797</c:v>
                      </c:pt>
                      <c:pt idx="27">
                        <c:v>3964.457599716558</c:v>
                      </c:pt>
                      <c:pt idx="28">
                        <c:v>3975.9247118977446</c:v>
                      </c:pt>
                      <c:pt idx="29">
                        <c:v>3954.9026108154458</c:v>
                      </c:pt>
                      <c:pt idx="30">
                        <c:v>3903.2080307841261</c:v>
                      </c:pt>
                      <c:pt idx="31">
                        <c:v>3823.0122069466024</c:v>
                      </c:pt>
                      <c:pt idx="32">
                        <c:v>3716.7432786827376</c:v>
                      </c:pt>
                      <c:pt idx="33">
                        <c:v>3586.9978265164282</c:v>
                      </c:pt>
                      <c:pt idx="34">
                        <c:v>3436.4627269120656</c:v>
                      </c:pt>
                      <c:pt idx="35">
                        <c:v>3267.8478280931377</c:v>
                      </c:pt>
                      <c:pt idx="36">
                        <c:v>3083.8294211771818</c:v>
                      </c:pt>
                      <c:pt idx="37">
                        <c:v>2887.0040884310029</c:v>
                      </c:pt>
                      <c:pt idx="38">
                        <c:v>2679.8522354341549</c:v>
                      </c:pt>
                      <c:pt idx="39">
                        <c:v>2464.7104367957827</c:v>
                      </c:pt>
                      <c:pt idx="40">
                        <c:v>2243.7516268845334</c:v>
                      </c:pt>
                      <c:pt idx="41">
                        <c:v>2018.972130462668</c:v>
                      </c:pt>
                      <c:pt idx="42">
                        <c:v>1792.1845378826579</c:v>
                      </c:pt>
                      <c:pt idx="43">
                        <c:v>1565.0154725806433</c:v>
                      </c:pt>
                      <c:pt idx="44">
                        <c:v>1338.9073642113822</c:v>
                      </c:pt>
                      <c:pt idx="45">
                        <c:v>1115.1234202483679</c:v>
                      </c:pt>
                      <c:pt idx="46">
                        <c:v>894.75507545414212</c:v>
                      </c:pt>
                      <c:pt idx="47">
                        <c:v>678.73128719179283</c:v>
                      </c:pt>
                      <c:pt idx="48">
                        <c:v>467.82913136817575</c:v>
                      </c:pt>
                      <c:pt idx="49">
                        <c:v>262.68523628154321</c:v>
                      </c:pt>
                      <c:pt idx="50">
                        <c:v>63.807668109925885</c:v>
                      </c:pt>
                      <c:pt idx="51">
                        <c:v>-128.41204874986539</c:v>
                      </c:pt>
                      <c:pt idx="52">
                        <c:v>-313.68703123500063</c:v>
                      </c:pt>
                      <c:pt idx="53">
                        <c:v>-491.82345722273203</c:v>
                      </c:pt>
                      <c:pt idx="54">
                        <c:v>-662.70945800260915</c:v>
                      </c:pt>
                      <c:pt idx="55">
                        <c:v>-826.30459589016937</c:v>
                      </c:pt>
                      <c:pt idx="56">
                        <c:v>-982.63000499826614</c:v>
                      </c:pt>
                      <c:pt idx="57">
                        <c:v>-1131.759244607962</c:v>
                      </c:pt>
                      <c:pt idx="58">
                        <c:v>-1273.8098910790725</c:v>
                      </c:pt>
                      <c:pt idx="59">
                        <c:v>-1408.9358752061282</c:v>
                      </c:pt>
                      <c:pt idx="60">
                        <c:v>-1537.3205567807991</c:v>
                      </c:pt>
                      <c:pt idx="61">
                        <c:v>-1659.170516328084</c:v>
                      </c:pt>
                      <c:pt idx="62">
                        <c:v>-1774.7100350472231</c:v>
                      </c:pt>
                      <c:pt idx="63">
                        <c:v>-1884.1762274644498</c:v>
                      </c:pt>
                      <c:pt idx="64">
                        <c:v>-1987.814786797326</c:v>
                      </c:pt>
                      <c:pt idx="65">
                        <c:v>-2085.8763001902048</c:v>
                      </c:pt>
                      <c:pt idx="66">
                        <c:v>-2178.6130895027177</c:v>
                      </c:pt>
                      <c:pt idx="67">
                        <c:v>-2266.2765329538838</c:v>
                      </c:pt>
                      <c:pt idx="68">
                        <c:v>-2349.1148234171146</c:v>
                      </c:pt>
                      <c:pt idx="69">
                        <c:v>-2427.3711203323655</c:v>
                      </c:pt>
                      <c:pt idx="70">
                        <c:v>-2501.2820538872438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480-4003-A92A-241054E60060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ExpPwLaw'!$S$7</c15:sqref>
                        </c15:formulaRef>
                      </c:ext>
                    </c:extLst>
                    <c:strCache>
                      <c:ptCount val="1"/>
                      <c:pt idx="0">
                        <c:v>New_Recovered_fit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ExpPwLaw'!$S$8:$S$78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0.38981797097388843</c:v>
                      </c:pt>
                      <c:pt idx="2">
                        <c:v>2.0882546257848849</c:v>
                      </c:pt>
                      <c:pt idx="3">
                        <c:v>5.5231437406420802</c:v>
                      </c:pt>
                      <c:pt idx="4">
                        <c:v>10.94193411966069</c:v>
                      </c:pt>
                      <c:pt idx="5">
                        <c:v>18.502802775863262</c:v>
                      </c:pt>
                      <c:pt idx="6">
                        <c:v>28.306491121754703</c:v>
                      </c:pt>
                      <c:pt idx="7">
                        <c:v>40.412817251165542</c:v>
                      </c:pt>
                      <c:pt idx="8">
                        <c:v>54.850783454526201</c:v>
                      </c:pt>
                      <c:pt idx="9">
                        <c:v>71.625394559724967</c:v>
                      </c:pt>
                      <c:pt idx="10">
                        <c:v>90.722562215783199</c:v>
                      </c:pt>
                      <c:pt idx="11">
                        <c:v>112.11279580889735</c:v>
                      </c:pt>
                      <c:pt idx="12">
                        <c:v>135.75407442538619</c:v>
                      </c:pt>
                      <c:pt idx="13">
                        <c:v>161.59413889588097</c:v>
                      </c:pt>
                      <c:pt idx="14">
                        <c:v>189.57235733175966</c:v>
                      </c:pt>
                      <c:pt idx="15">
                        <c:v>219.62126723764101</c:v>
                      </c:pt>
                      <c:pt idx="16">
                        <c:v>251.66786612593276</c:v>
                      </c:pt>
                      <c:pt idx="17">
                        <c:v>285.63470242542348</c:v>
                      </c:pt>
                      <c:pt idx="18">
                        <c:v>321.4408049886585</c:v>
                      </c:pt>
                      <c:pt idx="19">
                        <c:v>359.00248018629469</c:v>
                      </c:pt>
                      <c:pt idx="20">
                        <c:v>398.23399896793069</c:v>
                      </c:pt>
                      <c:pt idx="21">
                        <c:v>439.04819147104371</c:v>
                      </c:pt>
                      <c:pt idx="22">
                        <c:v>481.35696320448329</c:v>
                      </c:pt>
                      <c:pt idx="23">
                        <c:v>525.07174415032227</c:v>
                      </c:pt>
                      <c:pt idx="24">
                        <c:v>570.10388007041479</c:v>
                      </c:pt>
                      <c:pt idx="25">
                        <c:v>616.36497370282132</c:v>
                      </c:pt>
                      <c:pt idx="26">
                        <c:v>663.76718227052822</c:v>
                      </c:pt>
                      <c:pt idx="27">
                        <c:v>712.22347671703801</c:v>
                      </c:pt>
                      <c:pt idx="28">
                        <c:v>761.64786727011381</c:v>
                      </c:pt>
                      <c:pt idx="29">
                        <c:v>811.95559927202885</c:v>
                      </c:pt>
                      <c:pt idx="30">
                        <c:v>863.0633226693102</c:v>
                      </c:pt>
                      <c:pt idx="31">
                        <c:v>914.88923810247854</c:v>
                      </c:pt>
                      <c:pt idx="32">
                        <c:v>967.35322215792621</c:v>
                      </c:pt>
                      <c:pt idx="33">
                        <c:v>1020.376934025359</c:v>
                      </c:pt>
                      <c:pt idx="34">
                        <c:v>1073.8839055339824</c:v>
                      </c:pt>
                      <c:pt idx="35">
                        <c:v>1127.7996163100026</c:v>
                      </c:pt>
                      <c:pt idx="36">
                        <c:v>1182.0515556000985</c:v>
                      </c:pt>
                      <c:pt idx="37">
                        <c:v>1236.5692721347402</c:v>
                      </c:pt>
                      <c:pt idx="38">
                        <c:v>1291.2844132571186</c:v>
                      </c:pt>
                      <c:pt idx="39">
                        <c:v>1346.1307544144054</c:v>
                      </c:pt>
                      <c:pt idx="40">
                        <c:v>1401.0442199951337</c:v>
                      </c:pt>
                      <c:pt idx="41">
                        <c:v>1455.9628963972434</c:v>
                      </c:pt>
                      <c:pt idx="42">
                        <c:v>1510.8270381238146</c:v>
                      </c:pt>
                      <c:pt idx="43">
                        <c:v>1565.5790676260242</c:v>
                      </c:pt>
                      <c:pt idx="44">
                        <c:v>1620.1635695440459</c:v>
                      </c:pt>
                      <c:pt idx="45">
                        <c:v>1674.5272799352961</c:v>
                      </c:pt>
                      <c:pt idx="46">
                        <c:v>1728.6190710246515</c:v>
                      </c:pt>
                      <c:pt idx="47">
                        <c:v>1782.3899319621773</c:v>
                      </c:pt>
                      <c:pt idx="48">
                        <c:v>1835.7929460298162</c:v>
                      </c:pt>
                      <c:pt idx="49">
                        <c:v>1888.7832646987877</c:v>
                      </c:pt>
                      <c:pt idx="50">
                        <c:v>1941.318078903633</c:v>
                      </c:pt>
                      <c:pt idx="51">
                        <c:v>1993.3565878664392</c:v>
                      </c:pt>
                      <c:pt idx="52">
                        <c:v>2044.8599657754289</c:v>
                      </c:pt>
                      <c:pt idx="53">
                        <c:v>2095.7913265954758</c:v>
                      </c:pt>
                      <c:pt idx="54">
                        <c:v>2146.1156872638667</c:v>
                      </c:pt>
                      <c:pt idx="55">
                        <c:v>2195.799929502592</c:v>
                      </c:pt>
                      <c:pt idx="56">
                        <c:v>2244.812760458326</c:v>
                      </c:pt>
                      <c:pt idx="57">
                        <c:v>2293.1246723628983</c:v>
                      </c:pt>
                      <c:pt idx="58">
                        <c:v>2340.7079013902548</c:v>
                      </c:pt>
                      <c:pt idx="59">
                        <c:v>2387.5363858705373</c:v>
                      </c:pt>
                      <c:pt idx="60">
                        <c:v>2433.5857240078353</c:v>
                      </c:pt>
                      <c:pt idx="61">
                        <c:v>2478.8331312352243</c:v>
                      </c:pt>
                      <c:pt idx="62">
                        <c:v>2523.2573973288368</c:v>
                      </c:pt>
                      <c:pt idx="63">
                        <c:v>2566.8388433918512</c:v>
                      </c:pt>
                      <c:pt idx="64">
                        <c:v>2609.5592788091958</c:v>
                      </c:pt>
                      <c:pt idx="65">
                        <c:v>2651.4019582645947</c:v>
                      </c:pt>
                      <c:pt idx="66">
                        <c:v>2692.351538903064</c:v>
                      </c:pt>
                      <c:pt idx="67">
                        <c:v>2732.3940377141425</c:v>
                      </c:pt>
                      <c:pt idx="68">
                        <c:v>2771.516789203934</c:v>
                      </c:pt>
                      <c:pt idx="69">
                        <c:v>2809.7084034173931</c:v>
                      </c:pt>
                      <c:pt idx="70">
                        <c:v>2846.9587243661499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80-4003-A92A-241054E60060}"/>
                  </c:ext>
                </c:extLst>
              </c15:ser>
            </c15:filteredScatterSeries>
            <c15:filteredScatterSeries>
              <c15:ser>
                <c:idx val="1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505.10658424425429</c:v>
                      </c:pt>
                      <c:pt idx="1">
                        <c:v>505.49640221522816</c:v>
                      </c:pt>
                      <c:pt idx="2">
                        <c:v>507.19483887003918</c:v>
                      </c:pt>
                      <c:pt idx="3">
                        <c:v>510.62972798489636</c:v>
                      </c:pt>
                      <c:pt idx="4">
                        <c:v>516.04851836391504</c:v>
                      </c:pt>
                      <c:pt idx="5">
                        <c:v>523.60938702011754</c:v>
                      </c:pt>
                      <c:pt idx="6">
                        <c:v>533.41307536600902</c:v>
                      </c:pt>
                      <c:pt idx="7">
                        <c:v>545.51940149541986</c:v>
                      </c:pt>
                      <c:pt idx="8">
                        <c:v>559.95736769878044</c:v>
                      </c:pt>
                      <c:pt idx="9">
                        <c:v>576.73197880397925</c:v>
                      </c:pt>
                      <c:pt idx="10">
                        <c:v>595.82914646003746</c:v>
                      </c:pt>
                      <c:pt idx="11">
                        <c:v>617.21938005315167</c:v>
                      </c:pt>
                      <c:pt idx="12">
                        <c:v>640.86065866964054</c:v>
                      </c:pt>
                      <c:pt idx="13">
                        <c:v>666.70072314013532</c:v>
                      </c:pt>
                      <c:pt idx="14">
                        <c:v>694.67894157601393</c:v>
                      </c:pt>
                      <c:pt idx="15">
                        <c:v>724.7278514818953</c:v>
                      </c:pt>
                      <c:pt idx="16">
                        <c:v>756.77445037018708</c:v>
                      </c:pt>
                      <c:pt idx="17">
                        <c:v>790.74128666967772</c:v>
                      </c:pt>
                      <c:pt idx="18">
                        <c:v>826.54738923291279</c:v>
                      </c:pt>
                      <c:pt idx="19">
                        <c:v>864.10906443054898</c:v>
                      </c:pt>
                      <c:pt idx="20">
                        <c:v>903.34058321218504</c:v>
                      </c:pt>
                      <c:pt idx="21">
                        <c:v>944.154775715298</c:v>
                      </c:pt>
                      <c:pt idx="22">
                        <c:v>986.46354744873759</c:v>
                      </c:pt>
                      <c:pt idx="23">
                        <c:v>1030.1783283945765</c:v>
                      </c:pt>
                      <c:pt idx="24">
                        <c:v>1075.210464314669</c:v>
                      </c:pt>
                      <c:pt idx="25">
                        <c:v>1121.4715579470756</c:v>
                      </c:pt>
                      <c:pt idx="26">
                        <c:v>1168.8737665147826</c:v>
                      </c:pt>
                      <c:pt idx="27">
                        <c:v>1217.3300609612922</c:v>
                      </c:pt>
                      <c:pt idx="28">
                        <c:v>1266.7544515143682</c:v>
                      </c:pt>
                      <c:pt idx="29">
                        <c:v>1317.0621835162831</c:v>
                      </c:pt>
                      <c:pt idx="30">
                        <c:v>1368.1699069135645</c:v>
                      </c:pt>
                      <c:pt idx="31">
                        <c:v>1419.9958223467329</c:v>
                      </c:pt>
                      <c:pt idx="32">
                        <c:v>1472.4598064021804</c:v>
                      </c:pt>
                      <c:pt idx="33">
                        <c:v>1525.4835182696133</c:v>
                      </c:pt>
                      <c:pt idx="34">
                        <c:v>1578.9904897782367</c:v>
                      </c:pt>
                      <c:pt idx="35">
                        <c:v>1632.9062005542569</c:v>
                      </c:pt>
                      <c:pt idx="36">
                        <c:v>1687.1581398443527</c:v>
                      </c:pt>
                      <c:pt idx="37">
                        <c:v>1741.6758563789945</c:v>
                      </c:pt>
                      <c:pt idx="38">
                        <c:v>1796.3909975013728</c:v>
                      </c:pt>
                      <c:pt idx="39">
                        <c:v>1851.2373386586596</c:v>
                      </c:pt>
                      <c:pt idx="40">
                        <c:v>1906.150804239388</c:v>
                      </c:pt>
                      <c:pt idx="41">
                        <c:v>1961.0694806414976</c:v>
                      </c:pt>
                      <c:pt idx="42">
                        <c:v>2015.9336223680689</c:v>
                      </c:pt>
                      <c:pt idx="43">
                        <c:v>2070.6856518702784</c:v>
                      </c:pt>
                      <c:pt idx="44">
                        <c:v>2125.2701537883004</c:v>
                      </c:pt>
                      <c:pt idx="45">
                        <c:v>2179.6338641795505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480-4003-A92A-241054E60060}"/>
                  </c:ext>
                </c:extLst>
              </c15:ser>
            </c15:filteredScatterSeries>
            <c15:filteredScatterSeries>
              <c15:ser>
                <c:idx val="1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19.965159906067981</c:v>
                      </c:pt>
                      <c:pt idx="24">
                        <c:v>64.997295826160496</c:v>
                      </c:pt>
                      <c:pt idx="25">
                        <c:v>111.25838945856702</c:v>
                      </c:pt>
                      <c:pt idx="26">
                        <c:v>158.66059802627393</c:v>
                      </c:pt>
                      <c:pt idx="27">
                        <c:v>207.11689247278372</c:v>
                      </c:pt>
                      <c:pt idx="28">
                        <c:v>256.54128302585951</c:v>
                      </c:pt>
                      <c:pt idx="29">
                        <c:v>306.84901502777456</c:v>
                      </c:pt>
                      <c:pt idx="30">
                        <c:v>357.9567384250559</c:v>
                      </c:pt>
                      <c:pt idx="31">
                        <c:v>409.78265385822425</c:v>
                      </c:pt>
                      <c:pt idx="32">
                        <c:v>462.24663791367192</c:v>
                      </c:pt>
                      <c:pt idx="33">
                        <c:v>515.27034978110464</c:v>
                      </c:pt>
                      <c:pt idx="34">
                        <c:v>568.77732128972821</c:v>
                      </c:pt>
                      <c:pt idx="35">
                        <c:v>622.69303206574841</c:v>
                      </c:pt>
                      <c:pt idx="36">
                        <c:v>676.94497135584425</c:v>
                      </c:pt>
                      <c:pt idx="37">
                        <c:v>731.462687890486</c:v>
                      </c:pt>
                      <c:pt idx="38">
                        <c:v>786.17782901286432</c:v>
                      </c:pt>
                      <c:pt idx="39">
                        <c:v>841.02417017015114</c:v>
                      </c:pt>
                      <c:pt idx="40">
                        <c:v>895.93763575087951</c:v>
                      </c:pt>
                      <c:pt idx="41">
                        <c:v>950.85631215298918</c:v>
                      </c:pt>
                      <c:pt idx="42">
                        <c:v>1005.7204538795604</c:v>
                      </c:pt>
                      <c:pt idx="43">
                        <c:v>1060.47248338177</c:v>
                      </c:pt>
                      <c:pt idx="44">
                        <c:v>1115.0569852997917</c:v>
                      </c:pt>
                      <c:pt idx="45">
                        <c:v>1169.4206956910418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480-4003-A92A-241054E60060}"/>
                  </c:ext>
                </c:extLst>
              </c15:ser>
            </c15:filteredScatterSeries>
            <c15:filteredScatterSeries>
              <c15:ser>
                <c:idx val="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ExpPwLaw'!$AA$7</c15:sqref>
                        </c15:formulaRef>
                      </c:ext>
                    </c:extLst>
                    <c:strCache>
                      <c:ptCount val="1"/>
                      <c:pt idx="0">
                        <c:v>New_Deaths_fit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ExpPwLaw'!$AA$8:$AA$78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1.353561561120374E-6</c:v>
                      </c:pt>
                      <c:pt idx="2">
                        <c:v>2.6245586809707668E-4</c:v>
                      </c:pt>
                      <c:pt idx="3">
                        <c:v>5.1823742762216896E-3</c:v>
                      </c:pt>
                      <c:pt idx="4">
                        <c:v>4.0161736108775097E-2</c:v>
                      </c:pt>
                      <c:pt idx="5">
                        <c:v>0.1864349917189812</c:v>
                      </c:pt>
                      <c:pt idx="6">
                        <c:v>0.62583937271398815</c:v>
                      </c:pt>
                      <c:pt idx="7">
                        <c:v>1.6797618818954332</c:v>
                      </c:pt>
                      <c:pt idx="8">
                        <c:v>3.827581980172674</c:v>
                      </c:pt>
                      <c:pt idx="9">
                        <c:v>7.6964632822975352</c:v>
                      </c:pt>
                      <c:pt idx="10">
                        <c:v>14.02223906192345</c:v>
                      </c:pt>
                      <c:pt idx="11">
                        <c:v>23.587600068466266</c:v>
                      </c:pt>
                      <c:pt idx="12">
                        <c:v>37.147598018430557</c:v>
                      </c:pt>
                      <c:pt idx="13">
                        <c:v>55.353544465139201</c:v>
                      </c:pt>
                      <c:pt idx="14">
                        <c:v>78.685279764538208</c:v>
                      </c:pt>
                      <c:pt idx="15">
                        <c:v>107.39931691742756</c:v>
                      </c:pt>
                      <c:pt idx="16">
                        <c:v>141.4973117465729</c:v>
                      </c:pt>
                      <c:pt idx="17">
                        <c:v>180.71629414930865</c:v>
                      </c:pt>
                      <c:pt idx="18">
                        <c:v>224.53952810255055</c:v>
                      </c:pt>
                      <c:pt idx="19">
                        <c:v>272.22496734180072</c:v>
                      </c:pt>
                      <c:pt idx="20">
                        <c:v>322.84709795857003</c:v>
                      </c:pt>
                      <c:pt idx="21">
                        <c:v>375.34745686967744</c:v>
                      </c:pt>
                      <c:pt idx="22">
                        <c:v>428.5891690064766</c:v>
                      </c:pt>
                      <c:pt idx="23">
                        <c:v>481.41131026973591</c:v>
                      </c:pt>
                      <c:pt idx="24">
                        <c:v>532.67963008511117</c:v>
                      </c:pt>
                      <c:pt idx="25">
                        <c:v>581.33102453045444</c:v>
                      </c:pt>
                      <c:pt idx="26">
                        <c:v>626.41003100763214</c:v>
                      </c:pt>
                      <c:pt idx="27">
                        <c:v>667.09643882732928</c:v>
                      </c:pt>
                      <c:pt idx="28">
                        <c:v>702.72382451884391</c:v>
                      </c:pt>
                      <c:pt idx="29">
                        <c:v>732.7893975595598</c:v>
                      </c:pt>
                      <c:pt idx="30">
                        <c:v>756.95597206297953</c:v>
                      </c:pt>
                      <c:pt idx="31">
                        <c:v>775.04716751136937</c:v>
                      </c:pt>
                      <c:pt idx="32">
                        <c:v>787.03710120999108</c:v>
                      </c:pt>
                      <c:pt idx="33">
                        <c:v>793.03588672992089</c:v>
                      </c:pt>
                      <c:pt idx="34">
                        <c:v>793.27221856645133</c:v>
                      </c:pt>
                      <c:pt idx="35">
                        <c:v>788.07422596280583</c:v>
                      </c:pt>
                      <c:pt idx="36">
                        <c:v>777.84963909877672</c:v>
                      </c:pt>
                      <c:pt idx="37">
                        <c:v>763.06614674155219</c:v>
                      </c:pt>
                      <c:pt idx="38">
                        <c:v>744.23265097121089</c:v>
                      </c:pt>
                      <c:pt idx="39">
                        <c:v>721.88195342398035</c:v>
                      </c:pt>
                      <c:pt idx="40">
                        <c:v>696.55524721293989</c:v>
                      </c:pt>
                      <c:pt idx="41">
                        <c:v>668.78864505399292</c:v>
                      </c:pt>
                      <c:pt idx="42">
                        <c:v>639.10185051572216</c:v>
                      </c:pt>
                      <c:pt idx="43">
                        <c:v>607.98897715551254</c:v>
                      </c:pt>
                      <c:pt idx="44">
                        <c:v>575.91143952914319</c:v>
                      </c:pt>
                      <c:pt idx="45">
                        <c:v>543.29277950527455</c:v>
                      </c:pt>
                      <c:pt idx="46">
                        <c:v>510.51524908251525</c:v>
                      </c:pt>
                      <c:pt idx="47">
                        <c:v>477.91794466403746</c:v>
                      </c:pt>
                      <c:pt idx="48">
                        <c:v>445.7962749651312</c:v>
                      </c:pt>
                      <c:pt idx="49">
                        <c:v>414.40254287349512</c:v>
                      </c:pt>
                      <c:pt idx="50">
                        <c:v>383.94742823012882</c:v>
                      </c:pt>
                      <c:pt idx="51">
                        <c:v>354.60217143970914</c:v>
                      </c:pt>
                      <c:pt idx="52">
                        <c:v>326.50127510405537</c:v>
                      </c:pt>
                      <c:pt idx="53">
                        <c:v>299.74556083847074</c:v>
                      </c:pt>
                      <c:pt idx="54">
                        <c:v>274.40543970651311</c:v>
                      </c:pt>
                      <c:pt idx="55">
                        <c:v>250.52427619996587</c:v>
                      </c:pt>
                      <c:pt idx="56">
                        <c:v>228.1217465595663</c:v>
                      </c:pt>
                      <c:pt idx="57">
                        <c:v>207.19711186722759</c:v>
                      </c:pt>
                      <c:pt idx="58">
                        <c:v>187.73234432677995</c:v>
                      </c:pt>
                      <c:pt idx="59">
                        <c:v>169.69506123549129</c:v>
                      </c:pt>
                      <c:pt idx="60">
                        <c:v>153.04123521325101</c:v>
                      </c:pt>
                      <c:pt idx="61">
                        <c:v>137.71766128440785</c:v>
                      </c:pt>
                      <c:pt idx="62">
                        <c:v>123.6641714613376</c:v>
                      </c:pt>
                      <c:pt idx="63">
                        <c:v>110.81559567729171</c:v>
                      </c:pt>
                      <c:pt idx="64">
                        <c:v>99.103474414910607</c:v>
                      </c:pt>
                      <c:pt idx="65">
                        <c:v>88.457533353908488</c:v>
                      </c:pt>
                      <c:pt idx="66">
                        <c:v>78.806934004725093</c:v>
                      </c:pt>
                      <c:pt idx="67">
                        <c:v>70.081316792683978</c:v>
                      </c:pt>
                      <c:pt idx="68">
                        <c:v>62.211654591195099</c:v>
                      </c:pt>
                      <c:pt idx="69">
                        <c:v>55.130935443163636</c:v>
                      </c:pt>
                      <c:pt idx="70">
                        <c:v>48.774693312749534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80-4003-A92A-241054E60060}"/>
                  </c:ext>
                </c:extLst>
              </c15:ser>
            </c15:filteredScatterSeries>
            <c15:filteredScatterSeries>
              <c15:ser>
                <c:idx val="6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ExpPwLaw'!$AC$7</c15:sqref>
                        </c15:formulaRef>
                      </c:ext>
                    </c:extLst>
                    <c:strCache>
                      <c:ptCount val="1"/>
                      <c:pt idx="0">
                        <c:v>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979.8272439353417</c:v>
                      </c:pt>
                      <c:pt idx="1">
                        <c:v>979.82724409041964</c:v>
                      </c:pt>
                      <c:pt idx="2">
                        <c:v>979.82730556804472</c:v>
                      </c:pt>
                      <c:pt idx="3">
                        <c:v>979.82911566277278</c:v>
                      </c:pt>
                      <c:pt idx="4">
                        <c:v>979.84708451038375</c:v>
                      </c:pt>
                      <c:pt idx="5">
                        <c:v>979.94541121758493</c:v>
                      </c:pt>
                      <c:pt idx="6">
                        <c:v>980.3160857134618</c:v>
                      </c:pt>
                      <c:pt idx="7">
                        <c:v>981.40013427066174</c:v>
                      </c:pt>
                      <c:pt idx="8">
                        <c:v>984.03856037408104</c:v>
                      </c:pt>
                      <c:pt idx="9">
                        <c:v>989.62774706391383</c:v>
                      </c:pt>
                      <c:pt idx="10">
                        <c:v>1000.2499141540436</c:v>
                      </c:pt>
                      <c:pt idx="11">
                        <c:v>1018.7523921620652</c:v>
                      </c:pt>
                      <c:pt idx="12">
                        <c:v>1048.7578242080851</c:v>
                      </c:pt>
                      <c:pt idx="13">
                        <c:v>1094.5981645731979</c:v>
                      </c:pt>
                      <c:pt idx="14">
                        <c:v>1161.1760183506028</c:v>
                      </c:pt>
                      <c:pt idx="15">
                        <c:v>1253.7656857790118</c:v>
                      </c:pt>
                      <c:pt idx="16">
                        <c:v>1377.7722727062353</c:v>
                      </c:pt>
                      <c:pt idx="17">
                        <c:v>1538.4701482623957</c:v>
                      </c:pt>
                      <c:pt idx="18">
                        <c:v>1740.7421327738934</c:v>
                      </c:pt>
                      <c:pt idx="19">
                        <c:v>1988.8386562186663</c:v>
                      </c:pt>
                      <c:pt idx="20">
                        <c:v>2286.1724470127015</c:v>
                      </c:pt>
                      <c:pt idx="21">
                        <c:v>2635.159799095617</c:v>
                      </c:pt>
                      <c:pt idx="22">
                        <c:v>3037.1147407124176</c:v>
                      </c:pt>
                      <c:pt idx="23">
                        <c:v>3492.1979753305163</c:v>
                      </c:pt>
                      <c:pt idx="24">
                        <c:v>3999.4186195285715</c:v>
                      </c:pt>
                      <c:pt idx="25">
                        <c:v>4556.683719132031</c:v>
                      </c:pt>
                      <c:pt idx="26">
                        <c:v>5160.8883576794624</c:v>
                      </c:pt>
                      <c:pt idx="27">
                        <c:v>5808.037861266791</c:v>
                      </c:pt>
                      <c:pt idx="28">
                        <c:v>6493.3930660076703</c:v>
                      </c:pt>
                      <c:pt idx="29">
                        <c:v>7211.629723714761</c:v>
                      </c:pt>
                      <c:pt idx="30">
                        <c:v>7957.0037342589621</c:v>
                      </c:pt>
                      <c:pt idx="31">
                        <c:v>8723.5148637510811</c:v>
                      </c:pt>
                      <c:pt idx="32">
                        <c:v>9505.0628004617411</c:v>
                      </c:pt>
                      <c:pt idx="33">
                        <c:v>10295.590696951849</c:v>
                      </c:pt>
                      <c:pt idx="34">
                        <c:v>11089.212650320822</c:v>
                      </c:pt>
                      <c:pt idx="35">
                        <c:v>11880.32280843869</c:v>
                      </c:pt>
                      <c:pt idx="36">
                        <c:v>12663.684905841399</c:v>
                      </c:pt>
                      <c:pt idx="37">
                        <c:v>13434.501995472401</c:v>
                      </c:pt>
                      <c:pt idx="38">
                        <c:v>14188.466935053872</c:v>
                      </c:pt>
                      <c:pt idx="39">
                        <c:v>14921.794806302403</c:v>
                      </c:pt>
                      <c:pt idx="40">
                        <c:v>15631.238898318286</c:v>
                      </c:pt>
                      <c:pt idx="41">
                        <c:v>16314.092187260294</c:v>
                      </c:pt>
                      <c:pt idx="42">
                        <c:v>16968.176411386066</c:v>
                      </c:pt>
                      <c:pt idx="43">
                        <c:v>17591.820894575074</c:v>
                      </c:pt>
                      <c:pt idx="44">
                        <c:v>18183.833234077989</c:v>
                      </c:pt>
                      <c:pt idx="45">
                        <c:v>18743.463860331878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480-4003-A92A-241054E60060}"/>
                  </c:ext>
                </c:extLst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ExpPwLaw'!$AD$7</c15:sqref>
                        </c15:formulaRef>
                      </c:ext>
                    </c:extLst>
                    <c:strCache>
                      <c:ptCount val="1"/>
                      <c:pt idx="0">
                        <c:v>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29.184168347982904</c:v>
                      </c:pt>
                      <c:pt idx="20">
                        <c:v>326.51795914201796</c:v>
                      </c:pt>
                      <c:pt idx="21">
                        <c:v>675.50531122493373</c:v>
                      </c:pt>
                      <c:pt idx="22">
                        <c:v>1077.460252841734</c:v>
                      </c:pt>
                      <c:pt idx="23">
                        <c:v>1532.5434874598327</c:v>
                      </c:pt>
                      <c:pt idx="24">
                        <c:v>2039.7641316578879</c:v>
                      </c:pt>
                      <c:pt idx="25">
                        <c:v>2597.0292312613474</c:v>
                      </c:pt>
                      <c:pt idx="26">
                        <c:v>3201.2338698087792</c:v>
                      </c:pt>
                      <c:pt idx="27">
                        <c:v>3848.3833733961078</c:v>
                      </c:pt>
                      <c:pt idx="28">
                        <c:v>4533.7385781369876</c:v>
                      </c:pt>
                      <c:pt idx="29">
                        <c:v>5251.9752358440783</c:v>
                      </c:pt>
                      <c:pt idx="30">
                        <c:v>5997.3492463882794</c:v>
                      </c:pt>
                      <c:pt idx="31">
                        <c:v>6763.8603758803974</c:v>
                      </c:pt>
                      <c:pt idx="32">
                        <c:v>7545.4083125910574</c:v>
                      </c:pt>
                      <c:pt idx="33">
                        <c:v>8335.9362090811646</c:v>
                      </c:pt>
                      <c:pt idx="34">
                        <c:v>9129.5581624501374</c:v>
                      </c:pt>
                      <c:pt idx="35">
                        <c:v>9920.6683205680056</c:v>
                      </c:pt>
                      <c:pt idx="36">
                        <c:v>10704.030417970715</c:v>
                      </c:pt>
                      <c:pt idx="37">
                        <c:v>11474.847507601717</c:v>
                      </c:pt>
                      <c:pt idx="38">
                        <c:v>12228.812447183187</c:v>
                      </c:pt>
                      <c:pt idx="39">
                        <c:v>12962.140318431719</c:v>
                      </c:pt>
                      <c:pt idx="40">
                        <c:v>13671.584410447602</c:v>
                      </c:pt>
                      <c:pt idx="41">
                        <c:v>14354.437699389609</c:v>
                      </c:pt>
                      <c:pt idx="42">
                        <c:v>15008.521923515384</c:v>
                      </c:pt>
                      <c:pt idx="43">
                        <c:v>15632.166406704389</c:v>
                      </c:pt>
                      <c:pt idx="44">
                        <c:v>16224.178746207304</c:v>
                      </c:pt>
                      <c:pt idx="45">
                        <c:v>16783.809372461194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480-4003-A92A-241054E60060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ExpPwLaw'!$AF$31</c:f>
              <c:strCache>
                <c:ptCount val="1"/>
                <c:pt idx="0">
                  <c:v>Deaths</c:v>
                </c:pt>
              </c:strCache>
            </c:strRef>
          </c:cat>
          <c:val>
            <c:numRef>
              <c:f>'Cumul_confirmed - ExpPwLaw'!$AG$38</c:f>
              <c:numCache>
                <c:formatCode>0.0000</c:formatCode>
                <c:ptCount val="1"/>
                <c:pt idx="0">
                  <c:v>0.99597510648956522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5-45B8-B127-BD941090783B}"/>
            </c:ext>
          </c:extLst>
        </c:ser>
        <c:ser>
          <c:idx val="1"/>
          <c:order val="1"/>
          <c:tx>
            <c:strRef>
              <c:f>'Cumul_confirmed - ExpPwLaw'!$AF$40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ExpPwLaw'!$AG$40</c:f>
              <c:numCache>
                <c:formatCode>0</c:formatCode>
                <c:ptCount val="1"/>
                <c:pt idx="0">
                  <c:v>979.8272439353417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4-4ED5-A028-64FF1F9E9F9D}"/>
            </c:ext>
          </c:extLst>
        </c:ser>
        <c:ser>
          <c:idx val="2"/>
          <c:order val="2"/>
          <c:tx>
            <c:strRef>
              <c:f>'Cumul_confirmed - ExpPwLaw'!$AF$41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ExpPwLaw'!$AG$41</c:f>
              <c:numCache>
                <c:formatCode>0</c:formatCode>
                <c:ptCount val="1"/>
                <c:pt idx="0">
                  <c:v>23934.130980508802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4-4ED5-A028-64FF1F9E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ExpPwLaw'!$AF$19</c:f>
              <c:strCache>
                <c:ptCount val="1"/>
                <c:pt idx="0">
                  <c:v>Recovered</c:v>
                </c:pt>
              </c:strCache>
            </c:strRef>
          </c:cat>
          <c:val>
            <c:numRef>
              <c:f>'Cumul_confirmed - ExpPwLaw'!$AG$26</c:f>
              <c:numCache>
                <c:formatCode>0.0000</c:formatCode>
                <c:ptCount val="1"/>
                <c:pt idx="0">
                  <c:v>0.99811779742838358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4-46E1-B41A-8365D5B6ADB2}"/>
            </c:ext>
          </c:extLst>
        </c:ser>
        <c:ser>
          <c:idx val="1"/>
          <c:order val="1"/>
          <c:tx>
            <c:strRef>
              <c:f>'Cumul_confirmed - ExpPwLaw'!$AF$28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ExpPwLaw'!$AG$28</c:f>
              <c:numCache>
                <c:formatCode>0</c:formatCode>
                <c:ptCount val="1"/>
                <c:pt idx="0">
                  <c:v>920.81072326325341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F-49DE-A4D6-700CB0C04F71}"/>
            </c:ext>
          </c:extLst>
        </c:ser>
        <c:ser>
          <c:idx val="2"/>
          <c:order val="2"/>
          <c:tx>
            <c:strRef>
              <c:f>'Cumul_confirmed - ExpPwLaw'!$AF$29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ExpPwLaw'!$AG$29</c:f>
              <c:numCache>
                <c:formatCode>0</c:formatCode>
                <c:ptCount val="1"/>
                <c:pt idx="0">
                  <c:v>653456.27188937424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F-49DE-A4D6-700CB0C0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ExpPwLaw'!$AF$7</c:f>
              <c:strCache>
                <c:ptCount val="1"/>
                <c:pt idx="0">
                  <c:v>Confirmed</c:v>
                </c:pt>
              </c:strCache>
            </c:strRef>
          </c:cat>
          <c:val>
            <c:numRef>
              <c:f>'Cumul_confirmed - ExpPwLaw'!$AG$14</c:f>
              <c:numCache>
                <c:formatCode>0.0000</c:formatCode>
                <c:ptCount val="1"/>
                <c:pt idx="0">
                  <c:v>0.99569054363530474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8-4A43-A86B-11A7BEE81EBD}"/>
            </c:ext>
          </c:extLst>
        </c:ser>
        <c:ser>
          <c:idx val="1"/>
          <c:order val="1"/>
          <c:tx>
            <c:strRef>
              <c:f>'Cumul_confirmed - ExpPwLaw'!$AF$16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ExpPwLaw'!$AG$16</c:f>
              <c:numCache>
                <c:formatCode>0</c:formatCode>
                <c:ptCount val="1"/>
                <c:pt idx="0">
                  <c:v>8470.1213665620362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A-4902-BFCA-FD5EB3CA0030}"/>
            </c:ext>
          </c:extLst>
        </c:ser>
        <c:ser>
          <c:idx val="2"/>
          <c:order val="2"/>
          <c:tx>
            <c:strRef>
              <c:f>'Cumul_confirmed - ExpPwLaw'!$AF$17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ExpPwLaw'!$AG$17</c:f>
              <c:numCache>
                <c:formatCode>0</c:formatCode>
                <c:ptCount val="1"/>
                <c:pt idx="0">
                  <c:v>180538.05218633058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A-4902-BFCA-FD5EB3CA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solidFill>
            <a:srgbClr val="0070C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emf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3.emf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859971</xdr:colOff>
      <xdr:row>2</xdr:row>
      <xdr:rowOff>185057</xdr:rowOff>
    </xdr:from>
    <xdr:ext cx="1099456" cy="4136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4898571" y="664028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4898571" y="664028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〖𝑘(𝑡/𝑡_0 )〗^𝑤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</xdr:col>
      <xdr:colOff>819695</xdr:colOff>
      <xdr:row>29</xdr:row>
      <xdr:rowOff>54429</xdr:rowOff>
    </xdr:from>
    <xdr:to>
      <xdr:col>5</xdr:col>
      <xdr:colOff>678180</xdr:colOff>
      <xdr:row>30</xdr:row>
      <xdr:rowOff>76200</xdr:rowOff>
    </xdr:to>
    <xdr:sp macro="" textlink="B8">
      <xdr:nvSpPr>
        <xdr:cNvPr id="3" name="CasellaDiTesto 2">
          <a:extLst>
            <a:ext uri="{FF2B5EF4-FFF2-40B4-BE49-F238E27FC236}">
              <a16:creationId xmlns:a16="http://schemas.microsoft.com/office/drawing/2014/main" id="{F59F73D6-4BA0-4B34-8FB8-C9F488D9CFF9}"/>
            </a:ext>
          </a:extLst>
        </xdr:cNvPr>
        <xdr:cNvSpPr txBox="1"/>
      </xdr:nvSpPr>
      <xdr:spPr>
        <a:xfrm>
          <a:off x="3203666" y="6052458"/>
          <a:ext cx="685800" cy="206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45D5262-0BAC-46B5-80DC-680C0C6DA885}" type="TxLink">
            <a:rPr lang="en-US" sz="1100" b="0" i="0" u="none" strike="noStrike">
              <a:ln>
                <a:noFill/>
              </a:ln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>
            <a:ln>
              <a:noFill/>
            </a:ln>
          </a:endParaRPr>
        </a:p>
      </xdr:txBody>
    </xdr:sp>
    <xdr:clientData/>
  </xdr:two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C38719AA-89BB-413C-B474-4D6F4534DDA6}"/>
            </a:ext>
          </a:extLst>
        </xdr:cNvPr>
        <xdr:cNvGrpSpPr/>
      </xdr:nvGrpSpPr>
      <xdr:grpSpPr>
        <a:xfrm>
          <a:off x="29744670" y="1466850"/>
          <a:ext cx="6949440" cy="6488430"/>
          <a:chOff x="29739475" y="1440873"/>
          <a:chExt cx="6935585" cy="629619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20" name="Grafico 19">
            <a:extLst>
              <a:ext uri="{FF2B5EF4-FFF2-40B4-BE49-F238E27FC236}">
                <a16:creationId xmlns:a16="http://schemas.microsoft.com/office/drawing/2014/main" id="{972049CD-4752-4595-84C5-C19A2B85FFFF}"/>
              </a:ext>
            </a:extLst>
          </xdr:cNvPr>
          <xdr:cNvGraphicFramePr>
            <a:graphicFrameLocks/>
          </xdr:cNvGraphicFramePr>
        </xdr:nvGraphicFramePr>
        <xdr:xfrm>
          <a:off x="35058927" y="6178298"/>
          <a:ext cx="1550037" cy="12224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Grafico 20">
            <a:extLst>
              <a:ext uri="{FF2B5EF4-FFF2-40B4-BE49-F238E27FC236}">
                <a16:creationId xmlns:a16="http://schemas.microsoft.com/office/drawing/2014/main" id="{0E00F1BC-6DC3-463A-9828-19B565C65D04}"/>
              </a:ext>
            </a:extLst>
          </xdr:cNvPr>
          <xdr:cNvGraphicFramePr>
            <a:graphicFrameLocks/>
          </xdr:cNvGraphicFramePr>
        </xdr:nvGraphicFramePr>
        <xdr:xfrm>
          <a:off x="31120280" y="6067193"/>
          <a:ext cx="1549082" cy="12696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2" name="Grafico 21">
            <a:extLst>
              <a:ext uri="{FF2B5EF4-FFF2-40B4-BE49-F238E27FC236}">
                <a16:creationId xmlns:a16="http://schemas.microsoft.com/office/drawing/2014/main" id="{DA6A5183-FA01-4C8B-BE7D-4A16AB61894C}"/>
              </a:ext>
            </a:extLst>
          </xdr:cNvPr>
          <xdr:cNvGraphicFramePr>
            <a:graphicFrameLocks/>
          </xdr:cNvGraphicFramePr>
        </xdr:nvGraphicFramePr>
        <xdr:xfrm>
          <a:off x="32414340" y="2355273"/>
          <a:ext cx="1558636" cy="12128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pic>
            <xdr:nvPicPr>
              <xdr:cNvPr id="28" name="Immagine 27">
                <a:extLst>
                  <a:ext uri="{FF2B5EF4-FFF2-40B4-BE49-F238E27FC236}">
                    <a16:creationId xmlns:a16="http://schemas.microsoft.com/office/drawing/2014/main" id="{3A828359-39A2-46B9-A588-3A9930CAB4D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$H$3" spid="_x0000_s2070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35218255" y="3103417"/>
                <a:ext cx="1112520" cy="953886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  <cdr:relSizeAnchor xmlns:cdr="http://schemas.openxmlformats.org/drawingml/2006/chartDrawing">
    <cdr:from>
      <cdr:x>0.46643</cdr:x>
      <cdr:y>0.9418</cdr:y>
    </cdr:from>
    <cdr:to>
      <cdr:x>0.56527</cdr:x>
      <cdr:y>0.97404</cdr:y>
    </cdr:to>
    <cdr:sp macro="" textlink="'New_confirmed - ExpPwLaw'!$B$8">
      <cdr:nvSpPr>
        <cdr:cNvPr id="3" name="CasellaDiTesto 2">
          <a:extLst xmlns:a="http://schemas.openxmlformats.org/drawingml/2006/main">
            <a:ext uri="{FF2B5EF4-FFF2-40B4-BE49-F238E27FC236}">
              <a16:creationId xmlns:a16="http://schemas.microsoft.com/office/drawing/2014/main" id="{F02AC9EE-EA13-4B9B-8B99-5CB130773528}"/>
            </a:ext>
          </a:extLst>
        </cdr:cNvPr>
        <cdr:cNvSpPr txBox="1"/>
      </cdr:nvSpPr>
      <cdr:spPr>
        <a:xfrm xmlns:a="http://schemas.openxmlformats.org/drawingml/2006/main">
          <a:off x="3236323" y="6041573"/>
          <a:ext cx="685800" cy="206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CE163D0-8013-48D6-8901-ABF3CECE0A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24-feb</a:t>
          </a:fld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94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97</xdr:row>
      <xdr:rowOff>0</xdr:rowOff>
    </xdr:from>
    <xdr:to>
      <xdr:col>25</xdr:col>
      <xdr:colOff>99060</xdr:colOff>
      <xdr:row>129</xdr:row>
      <xdr:rowOff>144781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5770A6B3-15CD-428E-8F1C-342C7379080D}"/>
            </a:ext>
          </a:extLst>
        </xdr:cNvPr>
        <xdr:cNvGrpSpPr/>
      </xdr:nvGrpSpPr>
      <xdr:grpSpPr>
        <a:xfrm>
          <a:off x="11570970" y="22421850"/>
          <a:ext cx="6949440" cy="6450331"/>
          <a:chOff x="10022477" y="1284513"/>
          <a:chExt cx="6938554" cy="6131923"/>
        </a:xfrm>
      </xdr:grpSpPr>
      <xdr:grpSp>
        <xdr:nvGrpSpPr>
          <xdr:cNvPr id="22" name="Gruppo 21">
            <a:extLst>
              <a:ext uri="{FF2B5EF4-FFF2-40B4-BE49-F238E27FC236}">
                <a16:creationId xmlns:a16="http://schemas.microsoft.com/office/drawing/2014/main" id="{64ECC0A6-45B9-43C3-B1AC-B2BAE1D0FC29}"/>
              </a:ext>
            </a:extLst>
          </xdr:cNvPr>
          <xdr:cNvGrpSpPr/>
        </xdr:nvGrpSpPr>
        <xdr:grpSpPr>
          <a:xfrm>
            <a:off x="10022477" y="1284513"/>
            <a:ext cx="6938554" cy="6131923"/>
            <a:chOff x="10022477" y="1284513"/>
            <a:chExt cx="6938554" cy="6131923"/>
          </a:xfrm>
        </xdr:grpSpPr>
        <xdr:grpSp>
          <xdr:nvGrpSpPr>
            <xdr:cNvPr id="24" name="Gruppo 23">
              <a:extLst>
                <a:ext uri="{FF2B5EF4-FFF2-40B4-BE49-F238E27FC236}">
                  <a16:creationId xmlns:a16="http://schemas.microsoft.com/office/drawing/2014/main" id="{C45029CB-5366-409E-9899-17597D680053}"/>
                </a:ext>
              </a:extLst>
            </xdr:cNvPr>
            <xdr:cNvGrpSpPr/>
          </xdr:nvGrpSpPr>
          <xdr:grpSpPr>
            <a:xfrm>
              <a:off x="10022477" y="1284513"/>
              <a:ext cx="6938554" cy="6131923"/>
              <a:chOff x="6629400" y="1287779"/>
              <a:chExt cx="6941820" cy="5303520"/>
            </a:xfrm>
          </xdr:grpSpPr>
          <xdr:graphicFrame macro="">
            <xdr:nvGraphicFramePr>
              <xdr:cNvPr id="28" name="Grafico 27">
                <a:extLst>
                  <a:ext uri="{FF2B5EF4-FFF2-40B4-BE49-F238E27FC236}">
                    <a16:creationId xmlns:a16="http://schemas.microsoft.com/office/drawing/2014/main" id="{0B44271A-ADFF-4ADC-927B-8F92BA44ADCC}"/>
                  </a:ext>
                </a:extLst>
              </xdr:cNvPr>
              <xdr:cNvGraphicFramePr/>
            </xdr:nvGraphicFramePr>
            <xdr:xfrm>
              <a:off x="6629400" y="1287779"/>
              <a:ext cx="6941820" cy="530352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29" name="CasellaDiTesto 28">
                <a:extLst>
                  <a:ext uri="{FF2B5EF4-FFF2-40B4-BE49-F238E27FC236}">
                    <a16:creationId xmlns:a16="http://schemas.microsoft.com/office/drawing/2014/main" id="{E5E40F1B-B0F1-4A3A-817D-EDB9D1B7B865}"/>
                  </a:ext>
                </a:extLst>
              </xdr:cNvPr>
              <xdr:cNvSpPr txBox="1"/>
            </xdr:nvSpPr>
            <xdr:spPr>
              <a:xfrm>
                <a:off x="7508828" y="3697344"/>
                <a:ext cx="1828800" cy="11681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4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Total cases detected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K= 168279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</a:t>
                </a:r>
                <a:r>
                  <a:rPr lang="it-IT" sz="1100" b="1" i="1" u="none" strike="noStrike" baseline="-2500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0</a:t>
                </a:r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4.23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w=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7.99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>
                    <a:solidFill>
                      <a:srgbClr val="0070C0"/>
                    </a:solidFill>
                  </a:rPr>
                  <a:t>R</a:t>
                </a:r>
                <a:r>
                  <a:rPr lang="it-IT" sz="1100" b="1" i="1" baseline="30000">
                    <a:solidFill>
                      <a:srgbClr val="0070C0"/>
                    </a:solidFill>
                  </a:rPr>
                  <a:t>2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0.9992</a:t>
                </a:r>
              </a:p>
              <a:p>
                <a:r>
                  <a:rPr lang="it-IT" sz="1100" b="1" i="1" baseline="0">
                    <a:solidFill>
                      <a:srgbClr val="0070C0"/>
                    </a:solidFill>
                  </a:rPr>
                  <a:t>CI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2351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 i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(day</a:t>
                </a:r>
                <a:r>
                  <a:rPr lang="it-IT" sz="1100" b="1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1</a:t>
                </a:r>
                <a:r>
                  <a:rPr lang="it-IT" sz="1100" b="1" baseline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= Feb 20th)</a:t>
                </a:r>
                <a:endParaRPr lang="it-IT" b="1">
                  <a:solidFill>
                    <a:srgbClr val="0070C0"/>
                  </a:solidFill>
                  <a:effectLst/>
                </a:endParaRPr>
              </a:p>
              <a:p>
                <a:endParaRPr lang="it-IT" sz="1100" baseline="30000"/>
              </a:p>
            </xdr:txBody>
          </xdr:sp>
        </xdr:grpSp>
        <xdr:grpSp>
          <xdr:nvGrpSpPr>
            <xdr:cNvPr id="25" name="Gruppo 24">
              <a:extLst>
                <a:ext uri="{FF2B5EF4-FFF2-40B4-BE49-F238E27FC236}">
                  <a16:creationId xmlns:a16="http://schemas.microsoft.com/office/drawing/2014/main" id="{5A608BE6-C591-4A01-A8DF-CD3872509963}"/>
                </a:ext>
              </a:extLst>
            </xdr:cNvPr>
            <xdr:cNvGrpSpPr/>
          </xdr:nvGrpSpPr>
          <xdr:grpSpPr>
            <a:xfrm>
              <a:off x="10809514" y="2775861"/>
              <a:ext cx="3135086" cy="838201"/>
              <a:chOff x="10809514" y="2775861"/>
              <a:chExt cx="3135086" cy="838201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14:m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;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</m:d>
                          </m:e>
                        </m:nary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+1,</m:t>
                                </m:r>
                                <m:f>
                                  <m:f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oMath>
                    </a14:m>
                    <a:endParaRPr lang="it-IT" sz="1100"/>
                  </a:p>
                </xdr:txBody>
              </xdr:sp>
            </mc:Choice>
            <mc:Fallback xmlns="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:r>
                      <a:rPr lang="it-IT" sz="1100" i="0">
                        <a:latin typeface="Cambria Math" panose="02040503050406030204" pitchFamily="18" charset="0"/>
                      </a:rPr>
                      <a:t>∑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_1^𝑡▒𝑃(𝑡;𝑡_0,𝑤) 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𝑡_0 [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𝑤+1)−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𝑤+1,𝑡/𝑡_0 )]</a:t>
                    </a:r>
                    <a:endParaRPr lang="it-IT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  <m:d>
                            <m:d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;</m:t>
                              </m:r>
                              <m:sSub>
                                <m:sSubPr>
                                  <m:ctrlP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e>
                          </m:d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sup>
                          </m:sSup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box>
                            </m:sup>
                          </m:sSup>
                        </m:oMath>
                      </m:oMathPara>
                    </a14:m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𝑃(𝑡;𝑡_0,𝑤)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=</a:t>
                    </a:r>
                    <a:r>
                      <a:rPr lang="it-IT" sz="11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(𝑡/𝑡_0 )^𝑤 𝑒^(− □(64&amp;𝑡/𝑡_0 ))</a:t>
                    </a:r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  <xdr:oneCellAnchor>
    <xdr:from>
      <xdr:col>6</xdr:col>
      <xdr:colOff>859971</xdr:colOff>
      <xdr:row>2</xdr:row>
      <xdr:rowOff>185057</xdr:rowOff>
    </xdr:from>
    <xdr:ext cx="1099456" cy="4136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69DCC3CC-59D1-4935-B588-D69EE355F09A}"/>
                </a:ext>
              </a:extLst>
            </xdr:cNvPr>
            <xdr:cNvSpPr txBox="1"/>
          </xdr:nvSpPr>
          <xdr:spPr>
            <a:xfrm>
              <a:off x="4898571" y="665117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69DCC3CC-59D1-4935-B588-D69EE355F09A}"/>
                </a:ext>
              </a:extLst>
            </xdr:cNvPr>
            <xdr:cNvSpPr txBox="1"/>
          </xdr:nvSpPr>
          <xdr:spPr>
            <a:xfrm>
              <a:off x="4898571" y="665117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〖𝑘(𝑡/𝑡_0 )〗^𝑤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2" name="Gruppo 1">
          <a:extLst>
            <a:ext uri="{FF2B5EF4-FFF2-40B4-BE49-F238E27FC236}">
              <a16:creationId xmlns:a16="http://schemas.microsoft.com/office/drawing/2014/main" id="{93229E7A-238C-4644-B5CB-6494B67703B3}"/>
            </a:ext>
          </a:extLst>
        </xdr:cNvPr>
        <xdr:cNvGrpSpPr/>
      </xdr:nvGrpSpPr>
      <xdr:grpSpPr>
        <a:xfrm>
          <a:off x="23591520" y="1466850"/>
          <a:ext cx="6797040" cy="6564630"/>
          <a:chOff x="23532638" y="1440873"/>
          <a:chExt cx="6797040" cy="6379325"/>
        </a:xfrm>
      </xdr:grpSpPr>
      <xdr:grpSp>
        <xdr:nvGrpSpPr>
          <xdr:cNvPr id="31" name="Gruppo 30">
            <a:extLst>
              <a:ext uri="{FF2B5EF4-FFF2-40B4-BE49-F238E27FC236}">
                <a16:creationId xmlns:a16="http://schemas.microsoft.com/office/drawing/2014/main" id="{B57A70EB-05F2-43B2-A20E-677507A1A2BC}"/>
              </a:ext>
            </a:extLst>
          </xdr:cNvPr>
          <xdr:cNvGrpSpPr/>
        </xdr:nvGrpSpPr>
        <xdr:grpSpPr>
          <a:xfrm>
            <a:off x="23532638" y="1440873"/>
            <a:ext cx="6797040" cy="6379325"/>
            <a:chOff x="29739475" y="1440873"/>
            <a:chExt cx="6935585" cy="6296198"/>
          </a:xfrm>
        </xdr:grpSpPr>
        <xdr:graphicFrame macro="">
          <xdr:nvGraphicFramePr>
            <xdr:cNvPr id="32" name="Grafico 31">
              <a:extLst>
                <a:ext uri="{FF2B5EF4-FFF2-40B4-BE49-F238E27FC236}">
                  <a16:creationId xmlns:a16="http://schemas.microsoft.com/office/drawing/2014/main" id="{BBD4254D-3BE4-4697-819B-C838F05A34E9}"/>
                </a:ext>
              </a:extLst>
            </xdr:cNvPr>
            <xdr:cNvGraphicFramePr>
              <a:graphicFrameLocks/>
            </xdr:cNvGraphicFramePr>
          </xdr:nvGraphicFramePr>
          <xdr:xfrm>
            <a:off x="29739475" y="1440873"/>
            <a:ext cx="6935585" cy="629619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B8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CD5A74C9-CD9C-4528-B079-1488F676FCE7}"/>
                </a:ext>
              </a:extLst>
            </xdr:cNvPr>
            <xdr:cNvSpPr txBox="1"/>
          </xdr:nvSpPr>
          <xdr:spPr>
            <a:xfrm>
              <a:off x="33049029" y="7384473"/>
              <a:ext cx="587829" cy="2404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D45D5262-0BAC-46B5-80DC-680C0C6DA885}" type="TxLink">
                <a:rPr lang="en-US" sz="1100" b="0" i="0" u="none" strike="noStrike">
                  <a:ln>
                    <a:noFill/>
                  </a:ln>
                  <a:solidFill>
                    <a:srgbClr val="000000"/>
                  </a:solidFill>
                  <a:latin typeface="Calibri"/>
                  <a:cs typeface="Calibri"/>
                </a:rPr>
                <a:pPr/>
                <a:t>24-feb</a:t>
              </a:fld>
              <a:endParaRPr lang="it-IT" sz="1100">
                <a:ln>
                  <a:noFill/>
                </a:ln>
              </a:endParaRPr>
            </a:p>
          </xdr:txBody>
        </xdr:sp>
        <xdr:graphicFrame macro="">
          <xdr:nvGraphicFramePr>
            <xdr:cNvPr id="35" name="Grafico 34">
              <a:extLst>
                <a:ext uri="{FF2B5EF4-FFF2-40B4-BE49-F238E27FC236}">
                  <a16:creationId xmlns:a16="http://schemas.microsoft.com/office/drawing/2014/main" id="{13BD03EE-302E-450A-8189-549E378AC614}"/>
                </a:ext>
              </a:extLst>
            </xdr:cNvPr>
            <xdr:cNvGraphicFramePr>
              <a:graphicFrameLocks/>
            </xdr:cNvGraphicFramePr>
          </xdr:nvGraphicFramePr>
          <xdr:xfrm>
            <a:off x="35270982" y="6007994"/>
            <a:ext cx="1359548" cy="10235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36" name="Grafico 35">
              <a:extLst>
                <a:ext uri="{FF2B5EF4-FFF2-40B4-BE49-F238E27FC236}">
                  <a16:creationId xmlns:a16="http://schemas.microsoft.com/office/drawing/2014/main" id="{C69E4C5D-8BF8-41F5-A847-FCA9A16F63C8}"/>
                </a:ext>
              </a:extLst>
            </xdr:cNvPr>
            <xdr:cNvGraphicFramePr>
              <a:graphicFrameLocks/>
            </xdr:cNvGraphicFramePr>
          </xdr:nvGraphicFramePr>
          <xdr:xfrm>
            <a:off x="33551041" y="4011587"/>
            <a:ext cx="1549082" cy="100183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37" name="Grafico 36">
              <a:extLst>
                <a:ext uri="{FF2B5EF4-FFF2-40B4-BE49-F238E27FC236}">
                  <a16:creationId xmlns:a16="http://schemas.microsoft.com/office/drawing/2014/main" id="{55A99F2A-C875-4AC3-84F4-7692E0485EC1}"/>
                </a:ext>
              </a:extLst>
            </xdr:cNvPr>
            <xdr:cNvGraphicFramePr>
              <a:graphicFrameLocks/>
            </xdr:cNvGraphicFramePr>
          </xdr:nvGraphicFramePr>
          <xdr:xfrm>
            <a:off x="30792631" y="3218494"/>
            <a:ext cx="1558636" cy="95353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mc:AlternateContent xmlns:mc="http://schemas.openxmlformats.org/markup-compatibility/2006">
        <mc:Choice xmlns:a14="http://schemas.microsoft.com/office/drawing/2010/main" Requires="a14">
          <xdr:pic>
            <xdr:nvPicPr>
              <xdr:cNvPr id="39" name="Immagine 38">
                <a:extLst>
                  <a:ext uri="{FF2B5EF4-FFF2-40B4-BE49-F238E27FC236}">
                    <a16:creationId xmlns:a16="http://schemas.microsoft.com/office/drawing/2014/main" id="{9A02B777-1951-4727-80FF-FA94675069A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$H$3" spid="_x0000_s1058"/>
                  </a:ext>
                </a:extLst>
              </xdr:cNvPicPr>
            </xdr:nvPicPr>
            <xdr:blipFill>
              <a:blip xmlns:r="http://schemas.openxmlformats.org/officeDocument/2006/relationships" r:embed="rId6"/>
              <a:srcRect/>
              <a:stretch>
                <a:fillRect/>
              </a:stretch>
            </xdr:blipFill>
            <xdr:spPr bwMode="auto">
              <a:xfrm>
                <a:off x="29052982" y="3061855"/>
                <a:ext cx="1165860" cy="953885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34821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7.06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0.9995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212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20D777A-6D44-4F04-A6AC-B7900E85883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F65A5-B7DD-4DA5-8FB6-9B5B1284DB6D}" name="dpc_covid19_ita_andamento_nazionale__9" displayName="dpc_covid19_ita_andamento_nazionale__9" ref="A1:O47" tableType="queryTable" totalsRowShown="0">
  <autoFilter ref="A1:O47" xr:uid="{EAFD7DE5-C4A1-4C49-95BD-BF222027DF39}"/>
  <tableColumns count="15">
    <tableColumn id="1" xr3:uid="{643499DD-A92D-42E1-8C92-5126B9AB48FF}" uniqueName="1" name="data" queryTableFieldId="1" dataDxfId="15"/>
    <tableColumn id="2" xr3:uid="{FFFA4220-F53F-4BDD-BE4D-57574B5FC724}" uniqueName="2" name="stato" queryTableFieldId="2" dataDxfId="14"/>
    <tableColumn id="3" xr3:uid="{BD12986A-F50F-4CE3-AAAC-13CF95D8C23A}" uniqueName="3" name="ricoverati_con_sintomi" queryTableFieldId="3"/>
    <tableColumn id="4" xr3:uid="{0B5C2611-F726-4535-8781-278455BB001C}" uniqueName="4" name="terapia_intensiva" queryTableFieldId="4"/>
    <tableColumn id="5" xr3:uid="{C2C9D361-A9B4-45F7-90AD-053196712A4D}" uniqueName="5" name="totale_ospedalizzati" queryTableFieldId="5"/>
    <tableColumn id="6" xr3:uid="{B5561AC4-19A2-45C0-AAA2-60A1E73B9981}" uniqueName="6" name="isolamento_domiciliare" queryTableFieldId="6"/>
    <tableColumn id="7" xr3:uid="{6D57734A-C2E7-40B3-A7E1-759A03F7ED11}" uniqueName="7" name="totale_positivi" queryTableFieldId="7"/>
    <tableColumn id="8" xr3:uid="{7B1CDE87-AD16-4C3F-8048-BFA9B6FA3351}" uniqueName="8" name="variazione_totale_positivi" queryTableFieldId="8"/>
    <tableColumn id="9" xr3:uid="{6E3860E2-A9E9-449F-8FDB-3E148F374799}" uniqueName="9" name="nuovi_positivi" queryTableFieldId="9"/>
    <tableColumn id="10" xr3:uid="{7CCE1EA2-E009-4C8E-9F56-997DD0A0672B}" uniqueName="10" name="dimessi_guariti" queryTableFieldId="10"/>
    <tableColumn id="11" xr3:uid="{2EFDD238-C5D8-402F-93CC-B92148EA6DB2}" uniqueName="11" name="deceduti" queryTableFieldId="11"/>
    <tableColumn id="12" xr3:uid="{1D61061E-BCD9-41B0-98A5-ECA85065E67D}" uniqueName="12" name="totale_casi" queryTableFieldId="12"/>
    <tableColumn id="13" xr3:uid="{3F6A2F47-86E6-4DA5-A36D-1D972D8DA77B}" uniqueName="13" name="tamponi" queryTableFieldId="13"/>
    <tableColumn id="14" xr3:uid="{DBFC075B-E589-4F56-B2BE-7FABCD154906}" uniqueName="14" name="note_it" queryTableFieldId="14" dataDxfId="13"/>
    <tableColumn id="15" xr3:uid="{76DCAC03-6858-4071-83F0-4242CF5951AF}" uniqueName="15" name="note_en" queryTableFieldId="15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2CD3E-B2FE-40FD-A821-EC2433F236C4}" name="Tabella2" displayName="Tabella2" ref="B7:AD78" totalsRowShown="0" headerRowDxfId="65">
  <autoFilter ref="B7:AD78" xr:uid="{18B9BA29-5254-4957-B1CE-C36E82E90972}"/>
  <tableColumns count="29">
    <tableColumn id="1" xr3:uid="{320CFB16-AFF6-4BFA-BDC8-DA7062BA9B2B}" name="Date" dataDxfId="64"/>
    <tableColumn id="2" xr3:uid="{A9C7A420-022C-4606-A5DD-BCEEC11E3690}" name="Day" dataDxfId="63">
      <calculatedColumnFormula>C7+1</calculatedColumnFormula>
    </tableColumn>
    <tableColumn id="3" xr3:uid="{E319BAF5-A1CD-4309-8BEF-9217F065E0C1}" name="Cum_confirmed"/>
    <tableColumn id="4" xr3:uid="{2925A627-44DD-47CD-BE58-2415E5D9D142}" name="New cases"/>
    <tableColumn id="23" xr3:uid="{9F3BE538-EBBB-402A-8DFD-01C2B7F0673C}" name="Colonna1" dataDxfId="62" dataCellStyle="20% - Colore 1">
      <calculatedColumnFormula>Tabella2[[#This Row],[New cases]]*NOT(ISBLANK(Tabella2[[#This Row],[New cases]]))</calculatedColumnFormula>
    </tableColumn>
    <tableColumn id="5" xr3:uid="{DC39629B-42C4-4FAD-8071-7786B69E6DB6}" name="Cum_fit" dataDxfId="11">
      <calculatedColumnFormula>Kn*t0n*_xlfn.GAMMA.DIST(Tabella2[[#This Row],[Day]]/t0n,wn+1,1,1)*_xlfn.GAMMA(wn+1)</calculatedColumnFormula>
    </tableColumn>
    <tableColumn id="6" xr3:uid="{81317C98-2D23-428D-B512-65EE9F90D2C5}" name="New_cases_fit" dataDxfId="10">
      <calculatedColumnFormula>Kn*((Tabella2[[#This Row],[Day]]/t0n)^wn)*EXP(-(Tabella2[[#This Row],[Day]]/t0n))</calculatedColumnFormula>
    </tableColumn>
    <tableColumn id="24" xr3:uid="{E19855DE-078A-43E1-B0FD-DC571168496B}" name="Colonna2" dataDxfId="61" dataCellStyle="20% - Colore 1">
      <calculatedColumnFormula>Tabella2[[#This Row],[New_cases_fit]]*NOT(ISBLANK(Tabella2[[#This Row],[New cases]]))</calculatedColumnFormula>
    </tableColumn>
    <tableColumn id="7" xr3:uid="{139E32A4-201F-4B05-BBCA-387D2B0D0D28}" name="C_Upper CI"/>
    <tableColumn id="8" xr3:uid="{728DDB53-5896-497E-B4D6-CC620AB661A7}" name="C_Lower CI"/>
    <tableColumn id="9" xr3:uid="{0BB446C3-A826-4ED5-9CC4-02B346DDBDF8}" name="Curr_positive" dataDxfId="60"/>
    <tableColumn id="10" xr3:uid="{AF8778A9-44F4-4E92-AF1C-71D0E6DD9311}" name="New_positive" dataDxfId="59"/>
    <tableColumn id="29" xr3:uid="{E9F0C073-162C-4409-91D6-E25F8BA6E7D8}" name="New_positive_fit" dataDxfId="58">
      <calculatedColumnFormula>Tabella2[[#This Row],[New_cases_fit]]-Tabella2[[#This Row],[New_Recovered_fit]]-Tabella2[[#This Row],[New_Deaths_fit]]</calculatedColumnFormula>
    </tableColumn>
    <tableColumn id="11" xr3:uid="{6E583CD0-8DDF-495D-98BF-63B34D34CA97}" name="Cum_recov"/>
    <tableColumn id="12" xr3:uid="{70FBE6BB-2C7F-4438-8516-0196CF286B6C}" name="New recovered" dataDxfId="57"/>
    <tableColumn id="25" xr3:uid="{94ABBBBE-8B3C-4B6A-ABCE-1319FE6754D6}" name="Colonna3" dataDxfId="56" dataCellStyle="20% - Colore 6">
      <calculatedColumnFormula>Tabella2[[#This Row],[New recovered]]*NOT(ISBLANK(Tabella2[[#This Row],[New recovered]]))</calculatedColumnFormula>
    </tableColumn>
    <tableColumn id="13" xr3:uid="{AF9590E9-078F-4BBF-ADA2-E67A9E280FA7}" name="Cum_R_fit" dataDxfId="9">
      <calculatedColumnFormula>Kd*t0d*_xlfn.GAMMA.DIST(Tabella2[[#This Row],[Day]]/t0d,wd+1,1,1)*_xlfn.GAMMA(wd+1)</calculatedColumnFormula>
    </tableColumn>
    <tableColumn id="14" xr3:uid="{B1E5A58D-5A14-46E7-9BCC-394A8142E86B}" name="New_Recovered_fit" dataDxfId="8">
      <calculatedColumnFormula>Kd*((Tabella2[[#This Row],[Day]]/t0d)^wd)*EXP(-(Tabella2[[#This Row],[Day]]/t0d))</calculatedColumnFormula>
    </tableColumn>
    <tableColumn id="26" xr3:uid="{5A014E51-4816-44C8-A2D1-AFE9233ECB28}" name="Colonna4" dataDxfId="55" dataCellStyle="20% - Colore 6">
      <calculatedColumnFormula>Tabella2[[#This Row],[New_Recovered_fit]]*NOT(ISBLANK(Tabella2[[#This Row],[New recovered]]))</calculatedColumnFormula>
    </tableColumn>
    <tableColumn id="15" xr3:uid="{7CF23E8E-FAC6-4962-834F-6449CE08AA9D}" name="NR_Upper CI"/>
    <tableColumn id="16" xr3:uid="{45AD79A3-FE78-4941-85F9-AC6BA2C65759}" name="NR_Lower CI"/>
    <tableColumn id="17" xr3:uid="{07FBF947-33DA-4E8D-9DFA-DC6BF2C48145}" name="Cum_deaths"/>
    <tableColumn id="18" xr3:uid="{56E6C91D-1690-43B5-AB65-65D1F130EBBB}" name="New deaths" dataDxfId="54"/>
    <tableColumn id="27" xr3:uid="{5FAA9F04-20D5-4AF2-A858-A7CC7E685C22}" name="Colonna5" dataDxfId="53" dataCellStyle="20% - Colore 2">
      <calculatedColumnFormula>Tabella2[[#This Row],[New deaths]]*NOT(ISBLANK(Tabella2[[#This Row],[New deaths]]))</calculatedColumnFormula>
    </tableColumn>
    <tableColumn id="19" xr3:uid="{10A7808B-0A2B-44A5-8D38-81200D48D97C}" name="Cum_D_fit" dataDxfId="7">
      <calculatedColumnFormula>kt*t0t*_xlfn.GAMMA.DIST(Tabella2[[#This Row],[Day]]/t0t,wt+1,1,1)*_xlfn.GAMMA(wt+1)</calculatedColumnFormula>
    </tableColumn>
    <tableColumn id="20" xr3:uid="{909CD4CA-9439-448B-ADE6-23709E8F3117}" name="New_Deaths_fit" dataDxfId="6">
      <calculatedColumnFormula>kt*((Tabella2[[#This Row],[Day]]/t0t)^wt)*EXP(-(Tabella2[[#This Row],[Day]]/t0t))</calculatedColumnFormula>
    </tableColumn>
    <tableColumn id="28" xr3:uid="{4ACECA7F-F765-4B32-9A87-B72CF4C593B7}" name="Colonna6" dataDxfId="52" dataCellStyle="20% - Colore 2">
      <calculatedColumnFormula>Tabella2[[#This Row],[New_Deaths_fit]]*NOT(ISBLANK(Tabella2[[#This Row],[New deaths]]))</calculatedColumnFormula>
    </tableColumn>
    <tableColumn id="21" xr3:uid="{B8829FED-3ABB-4B20-B51F-F9132ECBB20B}" name="ND_Upper CI"/>
    <tableColumn id="22" xr3:uid="{42F0328C-C791-4167-9344-F96768A9E39C}" name="ND_Lower C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048BD-5CDC-42B1-B8A6-C2D1F0C0F75F}" name="Tabella3" displayName="Tabella3" ref="AF7:AG18" totalsRowShown="0" headerRowDxfId="51" dataDxfId="50">
  <autoFilter ref="AF7:AG18" xr:uid="{1C0A8599-2DC9-45B2-A640-9B64AE029280}"/>
  <tableColumns count="2">
    <tableColumn id="1" xr3:uid="{C78B678A-DF99-4D71-9DCA-538EBE002474}" name="Confirmed" dataDxfId="49"/>
    <tableColumn id="2" xr3:uid="{FD00BEDE-26C5-4882-A08D-7A3A81D737EC}" name="New cases fit" dataDxfId="4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B879F8-CCD4-4350-A437-AD67030C47E4}" name="Tabella4" displayName="Tabella4" ref="AF19:AG30" totalsRowShown="0" dataDxfId="47">
  <autoFilter ref="AF19:AG30" xr:uid="{EEF2A1A0-4A08-497E-A79F-5A35691071BA}"/>
  <tableColumns count="2">
    <tableColumn id="1" xr3:uid="{604E3049-AE60-4912-86E2-C58A4706242A}" name="Recovered" dataDxfId="46"/>
    <tableColumn id="2" xr3:uid="{109EDCEC-3FF1-4CB5-A224-FFEEA35FA41C}" name="New recovered fit" dataDxfId="45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627ECF-5D8A-447B-AC66-68900E40C78B}" name="Tabella5" displayName="Tabella5" ref="AF31:AG42" totalsRowShown="0" headerRowDxfId="44" dataDxfId="43">
  <autoFilter ref="AF31:AG42" xr:uid="{61401F20-3088-4299-A30C-162117992087}"/>
  <tableColumns count="2">
    <tableColumn id="1" xr3:uid="{E0943324-D586-453F-96DB-1069E398D242}" name="Deaths" dataDxfId="42"/>
    <tableColumn id="2" xr3:uid="{66FF7AC8-7F99-4215-A97C-F9D3F4B5C74C}" name="New deaths fit" dataDxfId="41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19BCC8-A4BE-4CC7-B6B5-07F5ABF1C4B0}" name="Tabella211" displayName="Tabella211" ref="B7:AD78" totalsRowShown="0" headerRowDxfId="40">
  <autoFilter ref="B7:AD78" xr:uid="{B8C71372-AF1E-49D4-8457-F67D9BE771EB}"/>
  <tableColumns count="29">
    <tableColumn id="1" xr3:uid="{F109A47B-C010-45B9-B2B7-92F08B4181E1}" name="Date" dataDxfId="39"/>
    <tableColumn id="2" xr3:uid="{E6397626-D4E9-41D2-8D66-D6F816FA7AF9}" name="Day" dataDxfId="38">
      <calculatedColumnFormula>C7+1</calculatedColumnFormula>
    </tableColumn>
    <tableColumn id="3" xr3:uid="{19FE4D53-DC8D-48FD-BC6F-945771BA9C90}" name="Cum_confirmed"/>
    <tableColumn id="4" xr3:uid="{069D8645-44F5-40DB-9FF8-97ACE6FD9389}" name="New cases"/>
    <tableColumn id="23" xr3:uid="{BB0BF4F8-A1B7-49F7-8912-AB4E82E4BE47}" name="Colonna1" dataDxfId="37" dataCellStyle="20% - Colore 1">
      <calculatedColumnFormula>Tabella211[[#This Row],[Cum_confirmed]]*NOT(ISBLANK(Tabella211[[#This Row],[Cum_confirmed]]))</calculatedColumnFormula>
    </tableColumn>
    <tableColumn id="5" xr3:uid="{906AC7F4-1EA1-4AA4-96BF-364D104327B0}" name="Cum_fit" dataDxfId="5">
      <calculatedColumnFormula>k*t0*_xlfn.GAMMA.DIST(Tabella211[[#This Row],[Day]]/t0,w+1,1,1)*_xlfn.GAMMA(w+1)</calculatedColumnFormula>
    </tableColumn>
    <tableColumn id="6" xr3:uid="{59DF212F-AD93-4F67-9314-22ED4BD2C67F}" name="New_cases_fit" dataDxfId="4">
      <calculatedColumnFormula>k*((Tabella211[[#This Row],[Day]]/t0)^w)*EXP(-(Tabella211[[#This Row],[Day]]/t0))</calculatedColumnFormula>
    </tableColumn>
    <tableColumn id="24" xr3:uid="{631432D1-6CBF-44AE-AA24-22DC16561674}" name="Colonna2" dataDxfId="36" dataCellStyle="20% - Colore 1">
      <calculatedColumnFormula>Tabella211[[#This Row],[Cum_fit]]*NOT(ISBLANK(Tabella211[[#This Row],[Cum_confirmed]]))</calculatedColumnFormula>
    </tableColumn>
    <tableColumn id="7" xr3:uid="{C98EB7A4-F307-4996-9CA2-73BF58F659AA}" name="C_Upper CI"/>
    <tableColumn id="8" xr3:uid="{067E9744-A836-4005-9752-A7F84EC7CCC5}" name="C_Lower CI"/>
    <tableColumn id="9" xr3:uid="{E7705F1B-E211-4D2F-B47C-BFEBA87EB026}" name="Curr_positive" dataDxfId="35"/>
    <tableColumn id="10" xr3:uid="{26C08828-5C73-4184-BE03-FCB7AE457636}" name="New_positive" dataDxfId="34"/>
    <tableColumn id="29" xr3:uid="{B8AFAB82-B960-4EE1-B026-1E99DA3B9FA5}" name="New_positive_fit" dataDxfId="33">
      <calculatedColumnFormula>Tabella211[[#This Row],[New_cases_fit]]-Tabella211[[#This Row],[New_Recovered_fit]]-Tabella211[[#This Row],[New_Deaths_fit]]</calculatedColumnFormula>
    </tableColumn>
    <tableColumn id="11" xr3:uid="{663A1341-0F3E-49C3-A573-7EF5984D6980}" name="Cum_recov"/>
    <tableColumn id="12" xr3:uid="{5D5B7C77-9671-471E-ACEB-1F251509ADC2}" name="New recovered" dataDxfId="32"/>
    <tableColumn id="25" xr3:uid="{B5764F16-3F23-4441-85C0-396F3C7F466C}" name="Colonna3" dataDxfId="31" dataCellStyle="20% - Colore 6">
      <calculatedColumnFormula>Tabella211[[#This Row],[Cum_recov]]*NOT(ISBLANK(Tabella211[[#This Row],[Cum_recov]]))</calculatedColumnFormula>
    </tableColumn>
    <tableColumn id="13" xr3:uid="{557B6BBE-A4D1-4664-AFDE-AE352576A3DE}" name="Cum_R_fit" dataDxfId="3">
      <calculatedColumnFormula>kr*t0r*_xlfn.GAMMA.DIST(Tabella211[[#This Row],[Day]]/t0r,wr+1,1,1)*_xlfn.GAMMA(wr+1)</calculatedColumnFormula>
    </tableColumn>
    <tableColumn id="14" xr3:uid="{242586ED-2947-45C8-9CE5-E7AB9A72B118}" name="New_Recovered_fit" dataDxfId="2">
      <calculatedColumnFormula>kr*((Tabella211[[#This Row],[Day]]/t0r)^wr)*EXP(-(Tabella211[[#This Row],[Day]]/t0r))</calculatedColumnFormula>
    </tableColumn>
    <tableColumn id="26" xr3:uid="{C0BDC4F9-7346-4F1A-B352-EC468DCD9624}" name="Colonna4" dataDxfId="30" dataCellStyle="20% - Colore 6">
      <calculatedColumnFormula>Tabella211[[#This Row],[Cum_R_fit]]*NOT(ISBLANK(Tabella211[[#This Row],[Cum_recov]]))</calculatedColumnFormula>
    </tableColumn>
    <tableColumn id="15" xr3:uid="{82AB8F81-3E3B-4A2C-A4FC-C7148CACBBA0}" name="R_Upper CI"/>
    <tableColumn id="16" xr3:uid="{6894D638-FDAD-4888-952D-20D45890DE99}" name="R_Lower CI"/>
    <tableColumn id="17" xr3:uid="{3332BBE6-8382-4DB6-8DBA-F839E04AE286}" name="Cum_deaths"/>
    <tableColumn id="18" xr3:uid="{52C908F0-93E0-49C7-83B9-E0DFDC028E89}" name="New deaths" dataDxfId="29"/>
    <tableColumn id="27" xr3:uid="{962B7882-CED2-46E8-894C-11D4E492CF90}" name="Colonna5" dataDxfId="28" dataCellStyle="20% - Colore 2">
      <calculatedColumnFormula>Tabella211[[#This Row],[Cum_deaths]]*NOT(ISBLANK(Tabella211[[#This Row],[Cum_deaths]]))</calculatedColumnFormula>
    </tableColumn>
    <tableColumn id="19" xr3:uid="{02D66957-737F-4C9C-8C68-15E04D1E5C80}" name="Cum_D_fit" dataDxfId="0">
      <calculatedColumnFormula>kh*t0h*_xlfn.GAMMA.DIST(Tabella211[[#This Row],[Day]]/t0h,wh+1,1,1)*_xlfn.GAMMA(wh+1)</calculatedColumnFormula>
    </tableColumn>
    <tableColumn id="20" xr3:uid="{39D1356E-7799-4ABA-8D46-4BA48A94A90A}" name="New_Deaths_fit" dataDxfId="1">
      <calculatedColumnFormula>kh*((Tabella211[[#This Row],[Day]]/t0h)^wh)*EXP(-(Tabella211[[#This Row],[Day]]/t0h))</calculatedColumnFormula>
    </tableColumn>
    <tableColumn id="28" xr3:uid="{84B03305-1467-48F7-81BE-927A7C3D8C98}" name="Colonna6" dataDxfId="27" dataCellStyle="20% - Colore 2">
      <calculatedColumnFormula>Tabella211[[#This Row],[Cum_D_fit]]*NOT(ISBLANK(Tabella211[[#This Row],[Cum_deaths]]))</calculatedColumnFormula>
    </tableColumn>
    <tableColumn id="21" xr3:uid="{9E7E013F-C805-4007-9015-5950CEDBC33D}" name="D_Upper CI"/>
    <tableColumn id="22" xr3:uid="{869D4223-5F79-4962-8B64-19F2D58547BD}" name="D_Lower C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ABAEAB-E516-4F4B-B47D-D4D1C4903D9B}" name="Tabella312" displayName="Tabella312" ref="AF7:AG18" totalsRowShown="0" headerRowDxfId="26" dataDxfId="25">
  <autoFilter ref="AF7:AG18" xr:uid="{407C54E5-E440-4537-8E2D-1DD13C000E48}"/>
  <tableColumns count="2">
    <tableColumn id="1" xr3:uid="{52B0120A-043A-4EF7-B804-054502154853}" name="Confirmed" dataDxfId="24"/>
    <tableColumn id="2" xr3:uid="{BBD62E85-33F5-4BF1-A3AE-7B88D2DD93AA}" name="Confirmed fit" dataDxfId="23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FC3B07-4E56-4CC4-A00C-EEC43969F07C}" name="Tabella413" displayName="Tabella413" ref="AF19:AG30" totalsRowShown="0" dataDxfId="22">
  <autoFilter ref="AF19:AG30" xr:uid="{CB9D1A18-DA45-4DE8-9D1A-421A0BAF60FC}"/>
  <tableColumns count="2">
    <tableColumn id="1" xr3:uid="{775DA299-347C-4244-9FD8-E27BF59FECEC}" name="Recovered" dataDxfId="21"/>
    <tableColumn id="2" xr3:uid="{2C633A4A-885C-4119-9E86-E6A0CC694C9C}" name="Recovered fit" dataDxfId="20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E3162F-97BC-489C-A178-22384E6BB5EF}" name="Tabella514" displayName="Tabella514" ref="AF31:AG42" totalsRowShown="0" headerRowDxfId="19" dataDxfId="18">
  <autoFilter ref="AF31:AG42" xr:uid="{4866098F-838C-4EFF-B7EC-009C5776DD93}"/>
  <tableColumns count="2">
    <tableColumn id="1" xr3:uid="{80725BB4-06C2-4468-BF34-2E7CFE4745BB}" name="Deaths" dataDxfId="17"/>
    <tableColumn id="2" xr3:uid="{36C77133-0452-4171-BD17-066E8059C73B}" name="Deaths fit" dataDxfId="16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5FD8839A-74E9-44C2-B5F2-F977D0EA3D98}">
    <text>first red zones (north)</text>
  </threadedComment>
  <threadedComment ref="B14" dT="2020-03-21T22:12:51.46" personId="{46504131-ADD3-4530-BCC7-16E4FED1C2C4}" id="{95B83D2D-5EDB-4C8F-91A8-36D622D74B5B}">
    <text>partial lockdown (north)</text>
  </threadedComment>
  <threadedComment ref="B18" dT="2020-03-21T22:13:52.19" personId="{46504131-ADD3-4530-BCC7-16E4FED1C2C4}" id="{FB6547ED-429A-49D7-8367-DE2107BFB931}">
    <text>school closure (Italy)</text>
  </threadedComment>
  <threadedComment ref="B21" dT="2020-03-21T22:14:24.84" personId="{46504131-ADD3-4530-BCC7-16E4FED1C2C4}" id="{18DCC697-BA7F-479A-8641-1D7FCDC0672D}">
    <text>full lockdown (north)</text>
  </threadedComment>
  <threadedComment ref="B23" dT="2020-03-21T22:14:52.14" personId="{46504131-ADD3-4530-BCC7-16E4FED1C2C4}" id="{5FB23112-C2D9-44D1-9DAD-0448A5341B10}">
    <text>partial lockdown (Italy)</text>
  </threadedComment>
  <threadedComment ref="B25" dT="2020-03-21T22:15:16.77" personId="{46504131-ADD3-4530-BCC7-16E4FED1C2C4}" id="{90A59D2F-F1E2-4415-85BD-E03CA55CB6FA}">
    <text>full lockdown (Italy)</text>
  </threadedComment>
  <threadedComment ref="B36" dT="2020-03-23T21:41:16.67" personId="{46504131-ADD3-4530-BCC7-16E4FED1C2C4}" id="{0E1A0D26-B3B0-42D1-A5BA-750B79DBB49F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92ED0BA3-CD99-4B8E-BFDD-0EEF8E782638}">
    <text>first red zones (north)</text>
  </threadedComment>
  <threadedComment ref="B14" dT="2020-03-21T22:12:51.46" personId="{46504131-ADD3-4530-BCC7-16E4FED1C2C4}" id="{4409B014-A5A7-4F76-9492-F48BE71B769B}">
    <text>partial lockdown (north)</text>
  </threadedComment>
  <threadedComment ref="B18" dT="2020-03-21T22:13:52.19" personId="{46504131-ADD3-4530-BCC7-16E4FED1C2C4}" id="{81FAFA63-54C6-45CC-9070-46D07C730098}">
    <text>school closure (Italy)</text>
  </threadedComment>
  <threadedComment ref="B21" dT="2020-03-21T22:14:24.84" personId="{46504131-ADD3-4530-BCC7-16E4FED1C2C4}" id="{4BF89DC0-3592-4FA2-8435-6F54BA02BC15}">
    <text>full lockdown (north)</text>
  </threadedComment>
  <threadedComment ref="B23" dT="2020-03-21T22:14:52.14" personId="{46504131-ADD3-4530-BCC7-16E4FED1C2C4}" id="{98C3BF07-CEF3-412D-B8D1-2942AE2470B6}">
    <text>partial lockdown (Italy)</text>
  </threadedComment>
  <threadedComment ref="B25" dT="2020-03-21T22:15:16.77" personId="{46504131-ADD3-4530-BCC7-16E4FED1C2C4}" id="{21624EEB-6D22-429B-8E98-279137BB6058}">
    <text>full lockdown (Italy)</text>
  </threadedComment>
  <threadedComment ref="B36" dT="2020-03-23T21:41:16.67" personId="{46504131-ADD3-4530-BCC7-16E4FED1C2C4}" id="{0E29A1A8-955C-48A8-BB66-F9B1A9E97908}">
    <text>reinforced lockdown (Italy)</text>
  </threadedComment>
  <threadedComment ref="B103" dT="2020-03-21T22:11:56.31" personId="{46504131-ADD3-4530-BCC7-16E4FED1C2C4}" id="{08774897-7F0B-4B4B-AF46-93FF194A769D}">
    <text>red zone</text>
  </threadedComment>
  <threadedComment ref="B109" dT="2020-03-21T22:12:51.46" personId="{46504131-ADD3-4530-BCC7-16E4FED1C2C4}" id="{85C09E34-A5EC-4346-8195-06EE393D72DF}">
    <text>partial lockdown (north)</text>
  </threadedComment>
  <threadedComment ref="B113" dT="2020-03-21T22:13:52.19" personId="{46504131-ADD3-4530-BCC7-16E4FED1C2C4}" id="{B76B2E5A-CC8C-4D5D-883C-4881C14D6A49}">
    <text>school closure (Italy)</text>
  </threadedComment>
  <threadedComment ref="B116" dT="2020-03-21T22:14:24.84" personId="{46504131-ADD3-4530-BCC7-16E4FED1C2C4}" id="{422813AA-7B17-475A-BC56-7328C0D1FD19}">
    <text>lockdown (north)</text>
  </threadedComment>
  <threadedComment ref="B118" dT="2020-03-21T22:14:52.14" personId="{46504131-ADD3-4530-BCC7-16E4FED1C2C4}" id="{DF686F86-B428-4733-B393-4D0F0A4D84F3}">
    <text>partial lockdown (Italy)</text>
  </threadedComment>
  <threadedComment ref="B120" dT="2020-03-21T22:15:16.77" personId="{46504131-ADD3-4530-BCC7-16E4FED1C2C4}" id="{23B8A78F-4853-446A-8154-8529F1B769CC}">
    <text>lockdown (Italy)</text>
  </threadedComment>
  <threadedComment ref="B131" dT="2020-03-23T21:41:16.67" personId="{46504131-ADD3-4530-BCC7-16E4FED1C2C4}" id="{52BC14E3-58A2-47FD-AA97-3E562BB3003C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table" Target="../tables/table6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7"/>
  <sheetViews>
    <sheetView topLeftCell="A28" workbookViewId="0">
      <selection activeCell="H3" activeCellId="1" sqref="G2 H3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  <row r="41" spans="1:15" x14ac:dyDescent="0.3">
      <c r="A41" s="18">
        <v>43924.708333333336</v>
      </c>
      <c r="B41" s="17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29</v>
      </c>
      <c r="O41" s="17" t="s">
        <v>29</v>
      </c>
    </row>
    <row r="42" spans="1:15" x14ac:dyDescent="0.3">
      <c r="A42" s="18">
        <v>43925.708333333336</v>
      </c>
      <c r="B42" s="17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29</v>
      </c>
      <c r="O42" s="17" t="s">
        <v>29</v>
      </c>
    </row>
    <row r="43" spans="1:15" x14ac:dyDescent="0.3">
      <c r="A43" s="18">
        <v>43926.708333333336</v>
      </c>
      <c r="B43" s="17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7" t="s">
        <v>29</v>
      </c>
      <c r="O43" s="17" t="s">
        <v>29</v>
      </c>
    </row>
    <row r="44" spans="1:15" x14ac:dyDescent="0.3">
      <c r="A44" s="18">
        <v>43927.708333333336</v>
      </c>
      <c r="B44" s="17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7" t="s">
        <v>29</v>
      </c>
      <c r="O44" s="17" t="s">
        <v>29</v>
      </c>
    </row>
    <row r="45" spans="1:15" x14ac:dyDescent="0.3">
      <c r="A45" s="18">
        <v>43928.708333333336</v>
      </c>
      <c r="B45" s="17" t="s">
        <v>22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7" t="s">
        <v>29</v>
      </c>
      <c r="O45" s="17" t="s">
        <v>29</v>
      </c>
    </row>
    <row r="46" spans="1:15" x14ac:dyDescent="0.3">
      <c r="A46" s="18">
        <v>43929.708333333336</v>
      </c>
      <c r="B46" s="17" t="s">
        <v>22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7" t="s">
        <v>29</v>
      </c>
      <c r="O46" s="17" t="s">
        <v>29</v>
      </c>
    </row>
    <row r="47" spans="1:15" x14ac:dyDescent="0.3">
      <c r="A47" s="18">
        <v>43930.708333333336</v>
      </c>
      <c r="B47" s="17" t="s">
        <v>22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7" t="s">
        <v>29</v>
      </c>
      <c r="O47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AT78"/>
  <sheetViews>
    <sheetView zoomScale="40" zoomScaleNormal="40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6.6640625" style="2" customWidth="1"/>
    <col min="5" max="6" width="12.109375" style="2" customWidth="1"/>
    <col min="7" max="7" width="12.6640625" style="2" bestFit="1" customWidth="1"/>
    <col min="8" max="8" width="16.109375" style="2" bestFit="1" customWidth="1"/>
    <col min="9" max="9" width="15.5546875" style="2" bestFit="1" customWidth="1"/>
    <col min="10" max="10" width="12.5546875" style="2" customWidth="1"/>
    <col min="11" max="11" width="12.33203125" style="2" customWidth="1"/>
    <col min="12" max="12" width="14.77734375" style="2" customWidth="1"/>
    <col min="13" max="14" width="14.5546875" style="2" customWidth="1"/>
    <col min="15" max="15" width="14.88671875" style="2" bestFit="1" customWidth="1"/>
    <col min="16" max="16" width="11.88671875" style="2" customWidth="1"/>
    <col min="17" max="17" width="15.5546875" style="2" bestFit="1" customWidth="1"/>
    <col min="18" max="18" width="12.6640625" style="2" bestFit="1" customWidth="1"/>
    <col min="19" max="19" width="16.109375" style="2" bestFit="1" customWidth="1"/>
    <col min="20" max="20" width="15.5546875" style="2" bestFit="1" customWidth="1"/>
    <col min="21" max="21" width="13.77734375" style="2" customWidth="1"/>
    <col min="22" max="22" width="13.6640625" style="2" customWidth="1"/>
    <col min="23" max="23" width="14.88671875" style="2" bestFit="1" customWidth="1"/>
    <col min="24" max="25" width="13" style="2" customWidth="1"/>
    <col min="26" max="26" width="12.6640625" style="2" bestFit="1" customWidth="1"/>
    <col min="27" max="27" width="16.109375" style="2" bestFit="1" customWidth="1"/>
    <col min="28" max="28" width="16.109375" style="2" customWidth="1"/>
    <col min="29" max="29" width="14" style="2" customWidth="1"/>
    <col min="30" max="30" width="13.77734375" style="2" customWidth="1"/>
    <col min="31" max="31" width="1.77734375" style="2" customWidth="1"/>
    <col min="32" max="32" width="12.21875" style="2" customWidth="1"/>
    <col min="33" max="33" width="19.33203125" style="2" bestFit="1" customWidth="1"/>
    <col min="34" max="37" width="8.88671875" style="2"/>
    <col min="38" max="38" width="11" style="2" bestFit="1" customWidth="1"/>
    <col min="39" max="45" width="8.88671875" style="2"/>
    <col min="46" max="46" width="9.5546875" style="2" bestFit="1" customWidth="1"/>
    <col min="47" max="16384" width="8.88671875" style="2"/>
  </cols>
  <sheetData>
    <row r="2" spans="2:46" ht="23.4" x14ac:dyDescent="0.45">
      <c r="B2" s="99" t="s">
        <v>11</v>
      </c>
      <c r="C2" s="99"/>
      <c r="D2" s="99"/>
      <c r="E2" s="99"/>
      <c r="F2" s="99"/>
      <c r="G2" s="99"/>
      <c r="H2" s="99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03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79" t="s">
        <v>108</v>
      </c>
      <c r="AI3" s="102" t="s">
        <v>71</v>
      </c>
      <c r="AJ3" s="102"/>
      <c r="AK3" s="102"/>
      <c r="AL3" s="102"/>
    </row>
    <row r="4" spans="2:46" ht="20.399999999999999" thickBot="1" x14ac:dyDescent="0.45">
      <c r="B4" s="100" t="s">
        <v>49</v>
      </c>
      <c r="C4" s="100"/>
      <c r="D4" s="100"/>
      <c r="E4" s="100"/>
      <c r="F4" s="100"/>
      <c r="G4" s="100"/>
      <c r="H4" s="103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78" t="s">
        <v>93</v>
      </c>
      <c r="AI4" s="102" t="s">
        <v>71</v>
      </c>
      <c r="AJ4" s="102"/>
      <c r="AK4" s="102"/>
      <c r="AL4" s="102"/>
    </row>
    <row r="5" spans="2:46" ht="18.600000000000001" thickTop="1" thickBot="1" x14ac:dyDescent="0.4">
      <c r="B5" s="101" t="s">
        <v>58</v>
      </c>
      <c r="C5" s="101"/>
      <c r="D5" s="101"/>
      <c r="E5" s="101"/>
      <c r="F5" s="101"/>
      <c r="G5" s="101"/>
      <c r="H5" s="103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78" t="s">
        <v>1</v>
      </c>
      <c r="AI5" s="102" t="s">
        <v>71</v>
      </c>
      <c r="AJ5" s="102"/>
      <c r="AK5" s="102"/>
      <c r="AL5" s="102"/>
    </row>
    <row r="6" spans="2:46" ht="19.2" thickTop="1" thickBot="1" x14ac:dyDescent="0.4">
      <c r="B6" s="27"/>
      <c r="C6" s="13"/>
      <c r="D6" s="13"/>
      <c r="E6" s="13"/>
      <c r="F6" s="13"/>
      <c r="G6" s="13"/>
      <c r="H6" s="103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8.8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75</v>
      </c>
      <c r="V7" s="8" t="s">
        <v>76</v>
      </c>
      <c r="W7" s="4" t="s">
        <v>62</v>
      </c>
      <c r="X7" s="53" t="s">
        <v>63</v>
      </c>
      <c r="Y7" s="64" t="s">
        <v>84</v>
      </c>
      <c r="Z7" s="8" t="s">
        <v>64</v>
      </c>
      <c r="AA7" s="8" t="s">
        <v>91</v>
      </c>
      <c r="AB7" s="64" t="s">
        <v>85</v>
      </c>
      <c r="AC7" s="8" t="s">
        <v>65</v>
      </c>
      <c r="AD7" s="8" t="s">
        <v>66</v>
      </c>
      <c r="AE7" s="8"/>
      <c r="AF7" s="66" t="s">
        <v>46</v>
      </c>
      <c r="AG7" s="67" t="s">
        <v>94</v>
      </c>
      <c r="AH7" s="3"/>
      <c r="AT7" s="38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Tabella2[[#This Row],[New cases]]*NOT(ISBLANK(Tabella2[[#This Row],[New cases]]))</f>
        <v>221</v>
      </c>
      <c r="G8" s="50">
        <f>Kn*t0n*_xlfn.GAMMA.DIST(Tabella2[[#This Row],[Day]]/t0n,wn+1,1,1)*_xlfn.GAMMA(wn+1)</f>
        <v>0</v>
      </c>
      <c r="H8" s="10">
        <f>Kn*((Tabella2[[#This Row],[Day]]/t0n)^wn)*EXP(-(Tabella2[[#This Row],[Day]]/t0n))</f>
        <v>0</v>
      </c>
      <c r="I8" s="56">
        <f>Tabella2[[#This Row],[New_cases_fit]]*NOT(ISBLANK(Tabella2[[#This Row],[New cases]]))</f>
        <v>0</v>
      </c>
      <c r="J8" s="10">
        <f>Tabella2[[#This Row],[New_cases_fit]]+CIn</f>
        <v>1059.8310696250608</v>
      </c>
      <c r="K8" s="10">
        <f>MAX(Tabella2[[#This Row],[New_cases_fit]]-CIn,0)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Tabella2[[#This Row],[New_cases_fit]]-Tabella2[[#This Row],[New_Recovered_fit]]-Tabella2[[#This Row],[New_Deaths_fit]]</f>
        <v>0</v>
      </c>
      <c r="O8" s="10">
        <f>'dpc-covid19-ita-andamento-naz'!J2</f>
        <v>1</v>
      </c>
      <c r="P8" s="52"/>
      <c r="Q8" s="60">
        <f>Tabella2[[#This Row],[New recovered]]*NOT(ISBLANK(Tabella2[[#This Row],[New recovered]]))</f>
        <v>0</v>
      </c>
      <c r="R8" s="50">
        <f>Kd*t0d*_xlfn.GAMMA.DIST(Tabella2[[#This Row],[Day]]/t0d,wd+1,1,1)*_xlfn.GAMMA(wd+1)</f>
        <v>0</v>
      </c>
      <c r="S8" s="10">
        <f>Kd*((Tabella2[[#This Row],[Day]]/t0d)^wd)*EXP(-(Tabella2[[#This Row],[Day]]/t0d))</f>
        <v>0</v>
      </c>
      <c r="T8" s="60">
        <f>Tabella2[[#This Row],[New_Recovered_fit]]*NOT(ISBLANK(Tabella2[[#This Row],[New recovered]]))</f>
        <v>0</v>
      </c>
      <c r="U8" s="10">
        <f>Tabella2[[#This Row],[New_Recovered_fit]]+CId</f>
        <v>505.10658424425429</v>
      </c>
      <c r="V8" s="10">
        <f>MAX(Tabella2[[#This Row],[New_Recovered_fit]]-CId,0)</f>
        <v>0</v>
      </c>
      <c r="W8" s="10">
        <f>'dpc-covid19-ita-andamento-naz'!K2</f>
        <v>7</v>
      </c>
      <c r="X8" s="63"/>
      <c r="Y8" s="65">
        <f>Tabella2[[#This Row],[New deaths]]*NOT(ISBLANK(Tabella2[[#This Row],[New deaths]]))</f>
        <v>0</v>
      </c>
      <c r="Z8" s="50">
        <f>kt*t0t*_xlfn.GAMMA.DIST(Tabella2[[#This Row],[Day]]/t0t,wt+1,1,1)*_xlfn.GAMMA(wt+1)</f>
        <v>0</v>
      </c>
      <c r="AA8" s="10">
        <f>kt*((Tabella2[[#This Row],[Day]]/t0t)^wt)*EXP(-(Tabella2[[#This Row],[Day]]/t0t))</f>
        <v>0</v>
      </c>
      <c r="AB8" s="65">
        <f>Tabella2[[#This Row],[New_Deaths_fit]]*NOT(ISBLANK(Tabella2[[#This Row],[New deaths]]))</f>
        <v>0</v>
      </c>
      <c r="AC8" s="10">
        <f>Tabella2[[#This Row],[New_Deaths_fit]]+CIt</f>
        <v>133.37347309011378</v>
      </c>
      <c r="AD8" s="10">
        <f>MAX(Tabella2[[#This Row],[New_Deaths_fit]]-CIt,0)</f>
        <v>0</v>
      </c>
      <c r="AE8" s="8"/>
      <c r="AF8" s="91" t="s">
        <v>108</v>
      </c>
      <c r="AG8" s="92">
        <v>109.9405181680571</v>
      </c>
      <c r="AH8" s="3"/>
      <c r="AT8" s="39">
        <f>MAX($AG$14)</f>
        <v>0.97282653346045256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Tabella2[[#This Row],[New cases]]*NOT(ISBLANK(Tabella2[[#This Row],[New cases]]))</f>
        <v>93</v>
      </c>
      <c r="G9" s="50">
        <f>Kn*t0n*_xlfn.GAMMA.DIST(Tabella2[[#This Row],[Day]]/t0n,wn+1,1,1)*_xlfn.GAMMA(wn+1)</f>
        <v>1.2122006292482345E-3</v>
      </c>
      <c r="H9" s="10">
        <f>Kn*((Tabella2[[#This Row],[Day]]/t0n)^wn)*EXP(-(Tabella2[[#This Row],[Day]]/t0n))</f>
        <v>7.7164758960758849E-3</v>
      </c>
      <c r="I9" s="56">
        <f>Tabella2[[#This Row],[New_cases_fit]]*NOT(ISBLANK(Tabella2[[#This Row],[New cases]]))</f>
        <v>7.7164758960758849E-3</v>
      </c>
      <c r="J9" s="10">
        <f>Tabella2[[#This Row],[New_cases_fit]]+CIn</f>
        <v>1059.8387861009569</v>
      </c>
      <c r="K9" s="10">
        <f>MAX(Tabella2[[#This Row],[New_cases_fit]]-CIn,0)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Tabella2[[#This Row],[New_cases_fit]]-Tabella2[[#This Row],[New_Recovered_fit]]-Tabella2[[#This Row],[New_Deaths_fit]]</f>
        <v>-0.38210284863937366</v>
      </c>
      <c r="O9" s="10">
        <f>'dpc-covid19-ita-andamento-naz'!J3</f>
        <v>1</v>
      </c>
      <c r="P9" s="48">
        <f>Tabella2[[#This Row],[Cum_recov]]-O8</f>
        <v>0</v>
      </c>
      <c r="Q9" s="60">
        <f>Tabella2[[#This Row],[New recovered]]*NOT(ISBLANK(Tabella2[[#This Row],[New recovered]]))</f>
        <v>0</v>
      </c>
      <c r="R9" s="50">
        <f>Kd*t0d*_xlfn.GAMMA.DIST(Tabella2[[#This Row],[Day]]/t0d,wd+1,1,1)*_xlfn.GAMMA(wd+1)</f>
        <v>0.11344426478295069</v>
      </c>
      <c r="S9" s="10">
        <f>Kd*((Tabella2[[#This Row],[Day]]/t0d)^wd)*EXP(-(Tabella2[[#This Row],[Day]]/t0d))</f>
        <v>0.38981797097388843</v>
      </c>
      <c r="T9" s="60">
        <f>Tabella2[[#This Row],[New_Recovered_fit]]*NOT(ISBLANK(Tabella2[[#This Row],[New recovered]]))</f>
        <v>0.38981797097388843</v>
      </c>
      <c r="U9" s="10">
        <f>Tabella2[[#This Row],[New_Recovered_fit]]+CId</f>
        <v>505.49640221522816</v>
      </c>
      <c r="V9" s="10">
        <f>MAX(Tabella2[[#This Row],[New_Recovered_fit]]-CId,0)</f>
        <v>0</v>
      </c>
      <c r="W9" s="10">
        <f>'dpc-covid19-ita-andamento-naz'!K3</f>
        <v>10</v>
      </c>
      <c r="X9" s="26">
        <f>Tabella2[[#This Row],[Cum_deaths]]-W8</f>
        <v>3</v>
      </c>
      <c r="Y9" s="65">
        <f>Tabella2[[#This Row],[New deaths]]*NOT(ISBLANK(Tabella2[[#This Row],[New deaths]]))</f>
        <v>3</v>
      </c>
      <c r="Z9" s="50">
        <f>kt*t0t*_xlfn.GAMMA.DIST(Tabella2[[#This Row],[Day]]/t0t,wt+1,1,1)*_xlfn.GAMMA(wt+1)</f>
        <v>1.5507788720226275E-7</v>
      </c>
      <c r="AA9" s="10">
        <f>kt*((Tabella2[[#This Row],[Day]]/t0t)^wt)*EXP(-(Tabella2[[#This Row],[Day]]/t0t))</f>
        <v>1.353561561120374E-6</v>
      </c>
      <c r="AB9" s="65">
        <f>Tabella2[[#This Row],[New_Deaths_fit]]*NOT(ISBLANK(Tabella2[[#This Row],[New deaths]]))</f>
        <v>1.353561561120374E-6</v>
      </c>
      <c r="AC9" s="10">
        <f>Tabella2[[#This Row],[New_Deaths_fit]]+CIt</f>
        <v>133.37347444367535</v>
      </c>
      <c r="AD9" s="10">
        <f>MAX(Tabella2[[#This Row],[New_Deaths_fit]]-CIt,0)</f>
        <v>0</v>
      </c>
      <c r="AE9" s="8"/>
      <c r="AF9" s="91" t="s">
        <v>106</v>
      </c>
      <c r="AG9" s="92">
        <v>5.4647811302597225</v>
      </c>
      <c r="AH9" s="3"/>
      <c r="AT9" s="40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Tabella2[[#This Row],[New cases]]*NOT(ISBLANK(Tabella2[[#This Row],[New cases]]))</f>
        <v>78</v>
      </c>
      <c r="G10" s="50">
        <f>Kn*t0n*_xlfn.GAMMA.DIST(Tabella2[[#This Row],[Day]]/t0n,wn+1,1,1)*_xlfn.GAMMA(wn+1)</f>
        <v>9.5247185431279469E-2</v>
      </c>
      <c r="H10" s="10">
        <f>Kn*((Tabella2[[#This Row],[Day]]/t0n)^wn)*EXP(-(Tabella2[[#This Row],[Day]]/t0n))</f>
        <v>0.29566681926411087</v>
      </c>
      <c r="I10" s="56">
        <f>Tabella2[[#This Row],[New_cases_fit]]*NOT(ISBLANK(Tabella2[[#This Row],[New cases]]))</f>
        <v>0.29566681926411087</v>
      </c>
      <c r="J10" s="10">
        <f>Tabella2[[#This Row],[New_cases_fit]]+CIn</f>
        <v>1060.1267364443249</v>
      </c>
      <c r="K10" s="10">
        <f>MAX(Tabella2[[#This Row],[New_cases_fit]]-CIn,0)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Tabella2[[#This Row],[New_cases_fit]]-Tabella2[[#This Row],[New_Recovered_fit]]-Tabella2[[#This Row],[New_Deaths_fit]]</f>
        <v>-1.7928502623888709</v>
      </c>
      <c r="O10" s="10">
        <f>'dpc-covid19-ita-andamento-naz'!J4</f>
        <v>3</v>
      </c>
      <c r="P10" s="48">
        <f>Tabella2[[#This Row],[Cum_recov]]-O9</f>
        <v>2</v>
      </c>
      <c r="Q10" s="60">
        <f>Tabella2[[#This Row],[New recovered]]*NOT(ISBLANK(Tabella2[[#This Row],[New recovered]]))</f>
        <v>2</v>
      </c>
      <c r="R10" s="50">
        <f>Kd*t0d*_xlfn.GAMMA.DIST(Tabella2[[#This Row],[Day]]/t0d,wd+1,1,1)*_xlfn.GAMMA(wd+1)</f>
        <v>1.2215253711601863</v>
      </c>
      <c r="S10" s="10">
        <f>Kd*((Tabella2[[#This Row],[Day]]/t0d)^wd)*EXP(-(Tabella2[[#This Row],[Day]]/t0d))</f>
        <v>2.0882546257848849</v>
      </c>
      <c r="T10" s="60">
        <f>Tabella2[[#This Row],[New_Recovered_fit]]*NOT(ISBLANK(Tabella2[[#This Row],[New recovered]]))</f>
        <v>2.0882546257848849</v>
      </c>
      <c r="U10" s="10">
        <f>Tabella2[[#This Row],[New_Recovered_fit]]+CId</f>
        <v>507.19483887003918</v>
      </c>
      <c r="V10" s="10">
        <f>MAX(Tabella2[[#This Row],[New_Recovered_fit]]-CId,0)</f>
        <v>0</v>
      </c>
      <c r="W10" s="10">
        <f>'dpc-covid19-ita-andamento-naz'!K4</f>
        <v>12</v>
      </c>
      <c r="X10" s="26">
        <f>Tabella2[[#This Row],[Cum_deaths]]-W9</f>
        <v>2</v>
      </c>
      <c r="Y10" s="65">
        <f>Tabella2[[#This Row],[New deaths]]*NOT(ISBLANK(Tabella2[[#This Row],[New deaths]]))</f>
        <v>2</v>
      </c>
      <c r="Z10" s="50">
        <f>kt*t0t*_xlfn.GAMMA.DIST(Tabella2[[#This Row],[Day]]/t0t,wt+1,1,1)*_xlfn.GAMMA(wt+1)</f>
        <v>6.1632703058595454E-5</v>
      </c>
      <c r="AA10" s="10">
        <f>kt*((Tabella2[[#This Row],[Day]]/t0t)^wt)*EXP(-(Tabella2[[#This Row],[Day]]/t0t))</f>
        <v>2.6245586809707668E-4</v>
      </c>
      <c r="AB10" s="65">
        <f>Tabella2[[#This Row],[New_Deaths_fit]]*NOT(ISBLANK(Tabella2[[#This Row],[New deaths]]))</f>
        <v>2.6245586809707668E-4</v>
      </c>
      <c r="AC10" s="10">
        <f>Tabella2[[#This Row],[New_Deaths_fit]]+CIt</f>
        <v>133.37373554598187</v>
      </c>
      <c r="AD10" s="10">
        <f>MAX(Tabella2[[#This Row],[New_Deaths_fit]]-CIt,0)</f>
        <v>0</v>
      </c>
      <c r="AE10" s="8"/>
      <c r="AF10" s="91" t="s">
        <v>1</v>
      </c>
      <c r="AG10" s="92">
        <v>5.5238851037017227</v>
      </c>
      <c r="AH10" s="3"/>
      <c r="AT10" s="40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Tabella2[[#This Row],[New cases]]*NOT(ISBLANK(Tabella2[[#This Row],[New cases]]))</f>
        <v>250</v>
      </c>
      <c r="G11" s="50">
        <f>Kn*t0n*_xlfn.GAMMA.DIST(Tabella2[[#This Row],[Day]]/t0n,wn+1,1,1)*_xlfn.GAMMA(wn+1)</f>
        <v>1.1461775208227214</v>
      </c>
      <c r="H11" s="10">
        <f>Kn*((Tabella2[[#This Row],[Day]]/t0n)^wn)*EXP(-(Tabella2[[#This Row],[Day]]/t0n))</f>
        <v>2.3122721509717667</v>
      </c>
      <c r="I11" s="56">
        <f>Tabella2[[#This Row],[New_cases_fit]]*NOT(ISBLANK(Tabella2[[#This Row],[New cases]]))</f>
        <v>2.3122721509717667</v>
      </c>
      <c r="J11" s="10">
        <f>Tabella2[[#This Row],[New_cases_fit]]+CIn</f>
        <v>1062.1433417760325</v>
      </c>
      <c r="K11" s="10">
        <f>MAX(Tabella2[[#This Row],[New_cases_fit]]-CIn,0)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Tabella2[[#This Row],[New_cases_fit]]-Tabella2[[#This Row],[New_Recovered_fit]]-Tabella2[[#This Row],[New_Deaths_fit]]</f>
        <v>-3.2160539639465351</v>
      </c>
      <c r="O11" s="10">
        <f>'dpc-covid19-ita-andamento-naz'!J5</f>
        <v>45</v>
      </c>
      <c r="P11" s="48">
        <f>Tabella2[[#This Row],[Cum_recov]]-O10</f>
        <v>42</v>
      </c>
      <c r="Q11" s="60">
        <f>Tabella2[[#This Row],[New recovered]]*NOT(ISBLANK(Tabella2[[#This Row],[New recovered]]))</f>
        <v>42</v>
      </c>
      <c r="R11" s="50">
        <f>Kd*t0d*_xlfn.GAMMA.DIST(Tabella2[[#This Row],[Day]]/t0d,wd+1,1,1)*_xlfn.GAMMA(wd+1)</f>
        <v>4.8704808829436468</v>
      </c>
      <c r="S11" s="10">
        <f>Kd*((Tabella2[[#This Row],[Day]]/t0d)^wd)*EXP(-(Tabella2[[#This Row],[Day]]/t0d))</f>
        <v>5.5231437406420802</v>
      </c>
      <c r="T11" s="60">
        <f>Tabella2[[#This Row],[New_Recovered_fit]]*NOT(ISBLANK(Tabella2[[#This Row],[New recovered]]))</f>
        <v>5.5231437406420802</v>
      </c>
      <c r="U11" s="10">
        <f>Tabella2[[#This Row],[New_Recovered_fit]]+CId</f>
        <v>510.62972798489636</v>
      </c>
      <c r="V11" s="10">
        <f>MAX(Tabella2[[#This Row],[New_Recovered_fit]]-CId,0)</f>
        <v>0</v>
      </c>
      <c r="W11" s="10">
        <f>'dpc-covid19-ita-andamento-naz'!K5</f>
        <v>17</v>
      </c>
      <c r="X11" s="26">
        <f>Tabella2[[#This Row],[Cum_deaths]]-W10</f>
        <v>5</v>
      </c>
      <c r="Y11" s="65">
        <f>Tabella2[[#This Row],[New deaths]]*NOT(ISBLANK(Tabella2[[#This Row],[New deaths]]))</f>
        <v>5</v>
      </c>
      <c r="Z11" s="50">
        <f>kt*t0t*_xlfn.GAMMA.DIST(Tabella2[[#This Row],[Day]]/t0t,wt+1,1,1)*_xlfn.GAMMA(wt+1)</f>
        <v>1.8717274310697553E-3</v>
      </c>
      <c r="AA11" s="10">
        <f>kt*((Tabella2[[#This Row],[Day]]/t0t)^wt)*EXP(-(Tabella2[[#This Row],[Day]]/t0t))</f>
        <v>5.1823742762216896E-3</v>
      </c>
      <c r="AB11" s="65">
        <f>Tabella2[[#This Row],[New_Deaths_fit]]*NOT(ISBLANK(Tabella2[[#This Row],[New deaths]]))</f>
        <v>5.1823742762216896E-3</v>
      </c>
      <c r="AC11" s="10">
        <f>Tabella2[[#This Row],[New_Deaths_fit]]+CIt</f>
        <v>133.37865546438999</v>
      </c>
      <c r="AD11" s="10">
        <f>MAX(Tabella2[[#This Row],[New_Deaths_fit]]-CIt,0)</f>
        <v>0</v>
      </c>
      <c r="AE11" s="8"/>
      <c r="AF11" s="93" t="s">
        <v>2</v>
      </c>
      <c r="AG11" s="94">
        <f>AVERAGE(Tabella2[New cases])</f>
        <v>3122.1304347826085</v>
      </c>
      <c r="AH11" s="3"/>
      <c r="AT11" s="40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Tabella2[[#This Row],[New cases]]*NOT(ISBLANK(Tabella2[[#This Row],[New cases]]))</f>
        <v>238</v>
      </c>
      <c r="G12" s="50">
        <f>Kn*t0n*_xlfn.GAMMA.DIST(Tabella2[[#This Row],[Day]]/t0n,wn+1,1,1)*_xlfn.GAMMA(wn+1)</f>
        <v>6.3995944542441174</v>
      </c>
      <c r="H12" s="10">
        <f>Kn*((Tabella2[[#This Row],[Day]]/t0n)^wn)*EXP(-(Tabella2[[#This Row],[Day]]/t0n))</f>
        <v>9.4344079417322728</v>
      </c>
      <c r="I12" s="56">
        <f>Tabella2[[#This Row],[New_cases_fit]]*NOT(ISBLANK(Tabella2[[#This Row],[New cases]]))</f>
        <v>9.4344079417322728</v>
      </c>
      <c r="J12" s="10">
        <f>Tabella2[[#This Row],[New_cases_fit]]+CIn</f>
        <v>1069.2654775667929</v>
      </c>
      <c r="K12" s="10">
        <f>MAX(Tabella2[[#This Row],[New_cases_fit]]-CIn,0)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Tabella2[[#This Row],[New_cases_fit]]-Tabella2[[#This Row],[New_Recovered_fit]]-Tabella2[[#This Row],[New_Deaths_fit]]</f>
        <v>-1.5476879140371924</v>
      </c>
      <c r="O12" s="10">
        <f>'dpc-covid19-ita-andamento-naz'!J6</f>
        <v>46</v>
      </c>
      <c r="P12" s="48">
        <f>Tabella2[[#This Row],[Cum_recov]]-O11</f>
        <v>1</v>
      </c>
      <c r="Q12" s="60">
        <f>Tabella2[[#This Row],[New recovered]]*NOT(ISBLANK(Tabella2[[#This Row],[New recovered]]))</f>
        <v>1</v>
      </c>
      <c r="R12" s="50">
        <f>Kd*t0d*_xlfn.GAMMA.DIST(Tabella2[[#This Row],[Day]]/t0d,wd+1,1,1)*_xlfn.GAMMA(wd+1)</f>
        <v>12.930055712633489</v>
      </c>
      <c r="S12" s="10">
        <f>Kd*((Tabella2[[#This Row],[Day]]/t0d)^wd)*EXP(-(Tabella2[[#This Row],[Day]]/t0d))</f>
        <v>10.94193411966069</v>
      </c>
      <c r="T12" s="60">
        <f>Tabella2[[#This Row],[New_Recovered_fit]]*NOT(ISBLANK(Tabella2[[#This Row],[New recovered]]))</f>
        <v>10.94193411966069</v>
      </c>
      <c r="U12" s="10">
        <f>Tabella2[[#This Row],[New_Recovered_fit]]+CId</f>
        <v>516.04851836391504</v>
      </c>
      <c r="V12" s="10">
        <f>MAX(Tabella2[[#This Row],[New_Recovered_fit]]-CId,0)</f>
        <v>0</v>
      </c>
      <c r="W12" s="10">
        <f>'dpc-covid19-ita-andamento-naz'!K6</f>
        <v>21</v>
      </c>
      <c r="X12" s="26">
        <f>Tabella2[[#This Row],[Cum_deaths]]-W11</f>
        <v>4</v>
      </c>
      <c r="Y12" s="65">
        <f>Tabella2[[#This Row],[New deaths]]*NOT(ISBLANK(Tabella2[[#This Row],[New deaths]]))</f>
        <v>4</v>
      </c>
      <c r="Z12" s="50">
        <f>kt*t0t*_xlfn.GAMMA.DIST(Tabella2[[#This Row],[Day]]/t0t,wt+1,1,1)*_xlfn.GAMMA(wt+1)</f>
        <v>1.9840575042095174E-2</v>
      </c>
      <c r="AA12" s="10">
        <f>kt*((Tabella2[[#This Row],[Day]]/t0t)^wt)*EXP(-(Tabella2[[#This Row],[Day]]/t0t))</f>
        <v>4.0161736108775097E-2</v>
      </c>
      <c r="AB12" s="65">
        <f>Tabella2[[#This Row],[New_Deaths_fit]]*NOT(ISBLANK(Tabella2[[#This Row],[New deaths]]))</f>
        <v>4.0161736108775097E-2</v>
      </c>
      <c r="AC12" s="10">
        <f>Tabella2[[#This Row],[New_Deaths_fit]]+CIt</f>
        <v>133.41363482622256</v>
      </c>
      <c r="AD12" s="10">
        <f>MAX(Tabella2[[#This Row],[New_Deaths_fit]]-CIt,0)</f>
        <v>0</v>
      </c>
      <c r="AE12" s="1"/>
      <c r="AF12" s="93" t="s">
        <v>3</v>
      </c>
      <c r="AG12" s="94">
        <f>COUNT(Tabella2[New cases])-COUNT(AG8:AG10)</f>
        <v>43</v>
      </c>
      <c r="AT12" s="40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Tabella2[[#This Row],[New cases]]*NOT(ISBLANK(Tabella2[[#This Row],[New cases]]))</f>
        <v>240</v>
      </c>
      <c r="G13" s="50">
        <f>Kn*t0n*_xlfn.GAMMA.DIST(Tabella2[[#This Row],[Day]]/t0n,wn+1,1,1)*_xlfn.GAMMA(wn+1)</f>
        <v>23.464806816597722</v>
      </c>
      <c r="H13" s="10">
        <f>Kn*((Tabella2[[#This Row],[Day]]/t0n)^wn)*EXP(-(Tabella2[[#This Row],[Day]]/t0n))</f>
        <v>26.950256620018717</v>
      </c>
      <c r="I13" s="56">
        <f>Tabella2[[#This Row],[New_cases_fit]]*NOT(ISBLANK(Tabella2[[#This Row],[New cases]]))</f>
        <v>26.950256620018717</v>
      </c>
      <c r="J13" s="10">
        <f>Tabella2[[#This Row],[New_cases_fit]]+CIn</f>
        <v>1086.7813262450795</v>
      </c>
      <c r="K13" s="10">
        <f>MAX(Tabella2[[#This Row],[New_cases_fit]]-CIn,0)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Tabella2[[#This Row],[New_cases_fit]]-Tabella2[[#This Row],[New_Recovered_fit]]-Tabella2[[#This Row],[New_Deaths_fit]]</f>
        <v>8.2610188524364734</v>
      </c>
      <c r="O13" s="10">
        <f>'dpc-covid19-ita-andamento-naz'!J7</f>
        <v>50</v>
      </c>
      <c r="P13" s="48">
        <f>Tabella2[[#This Row],[Cum_recov]]-O12</f>
        <v>4</v>
      </c>
      <c r="Q13" s="60">
        <f>Tabella2[[#This Row],[New recovered]]*NOT(ISBLANK(Tabella2[[#This Row],[New recovered]]))</f>
        <v>4</v>
      </c>
      <c r="R13" s="50">
        <f>Kd*t0d*_xlfn.GAMMA.DIST(Tabella2[[#This Row],[Day]]/t0d,wd+1,1,1)*_xlfn.GAMMA(wd+1)</f>
        <v>27.468996517321862</v>
      </c>
      <c r="S13" s="10">
        <f>Kd*((Tabella2[[#This Row],[Day]]/t0d)^wd)*EXP(-(Tabella2[[#This Row],[Day]]/t0d))</f>
        <v>18.502802775863262</v>
      </c>
      <c r="T13" s="60">
        <f>Tabella2[[#This Row],[New_Recovered_fit]]*NOT(ISBLANK(Tabella2[[#This Row],[New recovered]]))</f>
        <v>18.502802775863262</v>
      </c>
      <c r="U13" s="10">
        <f>Tabella2[[#This Row],[New_Recovered_fit]]+CId</f>
        <v>523.60938702011754</v>
      </c>
      <c r="V13" s="10">
        <f>MAX(Tabella2[[#This Row],[New_Recovered_fit]]-CId,0)</f>
        <v>0</v>
      </c>
      <c r="W13" s="10">
        <f>'dpc-covid19-ita-andamento-naz'!K7</f>
        <v>29</v>
      </c>
      <c r="X13" s="26">
        <f>Tabella2[[#This Row],[Cum_deaths]]-W12</f>
        <v>8</v>
      </c>
      <c r="Y13" s="65">
        <f>Tabella2[[#This Row],[New deaths]]*NOT(ISBLANK(Tabella2[[#This Row],[New deaths]]))</f>
        <v>8</v>
      </c>
      <c r="Z13" s="50">
        <f>kt*t0t*_xlfn.GAMMA.DIST(Tabella2[[#This Row],[Day]]/t0t,wt+1,1,1)*_xlfn.GAMMA(wt+1)</f>
        <v>0.11816728224321933</v>
      </c>
      <c r="AA13" s="10">
        <f>kt*((Tabella2[[#This Row],[Day]]/t0t)^wt)*EXP(-(Tabella2[[#This Row],[Day]]/t0t))</f>
        <v>0.1864349917189812</v>
      </c>
      <c r="AB13" s="65">
        <f>Tabella2[[#This Row],[New_Deaths_fit]]*NOT(ISBLANK(Tabella2[[#This Row],[New deaths]]))</f>
        <v>0.1864349917189812</v>
      </c>
      <c r="AC13" s="10">
        <f>Tabella2[[#This Row],[New_Deaths_fit]]+CIt</f>
        <v>133.55990808183276</v>
      </c>
      <c r="AD13" s="10">
        <f>MAX(Tabella2[[#This Row],[New_Deaths_fit]]-CIt,0)</f>
        <v>0</v>
      </c>
      <c r="AE13" s="1"/>
      <c r="AF13" s="93" t="s">
        <v>4</v>
      </c>
      <c r="AG13" s="95" cm="1">
        <f t="array" ref="AG13">SQRT(SUM((Tabella2[Colonna1]-Tabella2[Colonna2])^2)/dfn)</f>
        <v>525.52941397346683</v>
      </c>
      <c r="AT13" s="41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Tabella2[[#This Row],[New cases]]*NOT(ISBLANK(Tabella2[[#This Row],[New cases]]))</f>
        <v>566</v>
      </c>
      <c r="G14" s="50">
        <f>Kn*t0n*_xlfn.GAMMA.DIST(Tabella2[[#This Row],[Day]]/t0n,wn+1,1,1)*_xlfn.GAMMA(wn+1)</f>
        <v>65.954966285553652</v>
      </c>
      <c r="H14" s="10">
        <f>Kn*((Tabella2[[#This Row],[Day]]/t0n)^wn)*EXP(-(Tabella2[[#This Row],[Day]]/t0n))</f>
        <v>61.444000914164775</v>
      </c>
      <c r="I14" s="56">
        <f>Tabella2[[#This Row],[New_cases_fit]]*NOT(ISBLANK(Tabella2[[#This Row],[New cases]]))</f>
        <v>61.444000914164775</v>
      </c>
      <c r="J14" s="10">
        <f>Tabella2[[#This Row],[New_cases_fit]]+CIn</f>
        <v>1121.2750705392255</v>
      </c>
      <c r="K14" s="10">
        <f>MAX(Tabella2[[#This Row],[New_cases_fit]]-CIn,0)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Tabella2[[#This Row],[New_cases_fit]]-Tabella2[[#This Row],[New_Recovered_fit]]-Tabella2[[#This Row],[New_Deaths_fit]]</f>
        <v>32.511670419696081</v>
      </c>
      <c r="O14" s="10">
        <f>'dpc-covid19-ita-andamento-naz'!J8</f>
        <v>83</v>
      </c>
      <c r="P14" s="48">
        <f>Tabella2[[#This Row],[Cum_recov]]-O13</f>
        <v>33</v>
      </c>
      <c r="Q14" s="60">
        <f>Tabella2[[#This Row],[New recovered]]*NOT(ISBLANK(Tabella2[[#This Row],[New recovered]]))</f>
        <v>33</v>
      </c>
      <c r="R14" s="50">
        <f>Kd*t0d*_xlfn.GAMMA.DIST(Tabella2[[#This Row],[Day]]/t0d,wd+1,1,1)*_xlfn.GAMMA(wd+1)</f>
        <v>50.683714903198982</v>
      </c>
      <c r="S14" s="10">
        <f>Kd*((Tabella2[[#This Row],[Day]]/t0d)^wd)*EXP(-(Tabella2[[#This Row],[Day]]/t0d))</f>
        <v>28.306491121754703</v>
      </c>
      <c r="T14" s="60">
        <f>Tabella2[[#This Row],[New_Recovered_fit]]*NOT(ISBLANK(Tabella2[[#This Row],[New recovered]]))</f>
        <v>28.306491121754703</v>
      </c>
      <c r="U14" s="10">
        <f>Tabella2[[#This Row],[New_Recovered_fit]]+CId</f>
        <v>533.41307536600902</v>
      </c>
      <c r="V14" s="10">
        <f>MAX(Tabella2[[#This Row],[New_Recovered_fit]]-CId,0)</f>
        <v>0</v>
      </c>
      <c r="W14" s="10">
        <f>'dpc-covid19-ita-andamento-naz'!K8</f>
        <v>34</v>
      </c>
      <c r="X14" s="26">
        <f>Tabella2[[#This Row],[Cum_deaths]]-W13</f>
        <v>5</v>
      </c>
      <c r="Y14" s="65">
        <f>Tabella2[[#This Row],[New deaths]]*NOT(ISBLANK(Tabella2[[#This Row],[New deaths]]))</f>
        <v>5</v>
      </c>
      <c r="Z14" s="50">
        <f>kt*t0t*_xlfn.GAMMA.DIST(Tabella2[[#This Row],[Day]]/t0t,wt+1,1,1)*_xlfn.GAMMA(wt+1)</f>
        <v>0.48884177812012786</v>
      </c>
      <c r="AA14" s="10">
        <f>kt*((Tabella2[[#This Row],[Day]]/t0t)^wt)*EXP(-(Tabella2[[#This Row],[Day]]/t0t))</f>
        <v>0.62583937271398815</v>
      </c>
      <c r="AB14" s="65">
        <f>Tabella2[[#This Row],[New_Deaths_fit]]*NOT(ISBLANK(Tabella2[[#This Row],[New deaths]]))</f>
        <v>0.62583937271398815</v>
      </c>
      <c r="AC14" s="10">
        <f>Tabella2[[#This Row],[New_Deaths_fit]]+CIt</f>
        <v>133.99931246282776</v>
      </c>
      <c r="AD14" s="10">
        <f>MAX(Tabella2[[#This Row],[New_Deaths_fit]]-CIt,0)</f>
        <v>0</v>
      </c>
      <c r="AE14" s="1"/>
      <c r="AF14" s="93" t="s">
        <v>107</v>
      </c>
      <c r="AG14" s="96" cm="1">
        <f t="array" ref="AG14">1-SUM((Tabella2[Colonna1]-Tabella2[Colonna2])^2)/SUM((Tabella2[Colonna1]-Mean_of_yn)^2)</f>
        <v>0.97282653346045256</v>
      </c>
      <c r="AT14" s="42"/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Tabella2[[#This Row],[New cases]]*NOT(ISBLANK(Tabella2[[#This Row],[New cases]]))</f>
        <v>342</v>
      </c>
      <c r="G15" s="50">
        <f>Kn*t0n*_xlfn.GAMMA.DIST(Tabella2[[#This Row],[Day]]/t0n,wn+1,1,1)*_xlfn.GAMMA(wn+1)</f>
        <v>154.34576759859993</v>
      </c>
      <c r="H15" s="10">
        <f>Kn*((Tabella2[[#This Row],[Day]]/t0n)^wn)*EXP(-(Tabella2[[#This Row],[Day]]/t0n))</f>
        <v>119.89866222003877</v>
      </c>
      <c r="I15" s="56">
        <f>Tabella2[[#This Row],[New_cases_fit]]*NOT(ISBLANK(Tabella2[[#This Row],[New cases]]))</f>
        <v>119.89866222003877</v>
      </c>
      <c r="J15" s="10">
        <f>Tabella2[[#This Row],[New_cases_fit]]+CIn</f>
        <v>1179.7297318450996</v>
      </c>
      <c r="K15" s="10">
        <f>MAX(Tabella2[[#This Row],[New_cases_fit]]-CIn,0)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Tabella2[[#This Row],[New_cases_fit]]-Tabella2[[#This Row],[New_Recovered_fit]]-Tabella2[[#This Row],[New_Deaths_fit]]</f>
        <v>77.806083086977807</v>
      </c>
      <c r="O15" s="10">
        <f>'dpc-covid19-ita-andamento-naz'!J9</f>
        <v>149</v>
      </c>
      <c r="P15" s="48">
        <f>Tabella2[[#This Row],[Cum_recov]]-O14</f>
        <v>66</v>
      </c>
      <c r="Q15" s="60">
        <f>Tabella2[[#This Row],[New recovered]]*NOT(ISBLANK(Tabella2[[#This Row],[New recovered]]))</f>
        <v>66</v>
      </c>
      <c r="R15" s="50">
        <f>Kd*t0d*_xlfn.GAMMA.DIST(Tabella2[[#This Row],[Day]]/t0d,wd+1,1,1)*_xlfn.GAMMA(wd+1)</f>
        <v>84.849863023250023</v>
      </c>
      <c r="S15" s="10">
        <f>Kd*((Tabella2[[#This Row],[Day]]/t0d)^wd)*EXP(-(Tabella2[[#This Row],[Day]]/t0d))</f>
        <v>40.412817251165542</v>
      </c>
      <c r="T15" s="60">
        <f>Tabella2[[#This Row],[New_Recovered_fit]]*NOT(ISBLANK(Tabella2[[#This Row],[New recovered]]))</f>
        <v>40.412817251165542</v>
      </c>
      <c r="U15" s="10">
        <f>Tabella2[[#This Row],[New_Recovered_fit]]+CId</f>
        <v>545.51940149541986</v>
      </c>
      <c r="V15" s="10">
        <f>MAX(Tabella2[[#This Row],[New_Recovered_fit]]-CId,0)</f>
        <v>0</v>
      </c>
      <c r="W15" s="10">
        <f>'dpc-covid19-ita-andamento-naz'!K9</f>
        <v>52</v>
      </c>
      <c r="X15" s="26">
        <f>Tabella2[[#This Row],[Cum_deaths]]-W14</f>
        <v>18</v>
      </c>
      <c r="Y15" s="65">
        <f>Tabella2[[#This Row],[New deaths]]*NOT(ISBLANK(Tabella2[[#This Row],[New deaths]]))</f>
        <v>18</v>
      </c>
      <c r="Z15" s="50">
        <f>kt*t0t*_xlfn.GAMMA.DIST(Tabella2[[#This Row],[Day]]/t0t,wt+1,1,1)*_xlfn.GAMMA(wt+1)</f>
        <v>1.5728903353200483</v>
      </c>
      <c r="AA15" s="10">
        <f>kt*((Tabella2[[#This Row],[Day]]/t0t)^wt)*EXP(-(Tabella2[[#This Row],[Day]]/t0t))</f>
        <v>1.6797618818954332</v>
      </c>
      <c r="AB15" s="65">
        <f>Tabella2[[#This Row],[New_Deaths_fit]]*NOT(ISBLANK(Tabella2[[#This Row],[New deaths]]))</f>
        <v>1.6797618818954332</v>
      </c>
      <c r="AC15" s="10">
        <f>Tabella2[[#This Row],[New_Deaths_fit]]+CIt</f>
        <v>135.05323497200922</v>
      </c>
      <c r="AD15" s="10">
        <f>MAX(Tabella2[[#This Row],[New_Deaths_fit]]-CIt,0)</f>
        <v>0</v>
      </c>
      <c r="AE15" s="1"/>
      <c r="AF15" s="93" t="s">
        <v>6</v>
      </c>
      <c r="AG15" s="96">
        <f>TINV(0.05,dfn)</f>
        <v>2.0166921992278248</v>
      </c>
      <c r="AT15" s="43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Tabella2[[#This Row],[New cases]]*NOT(ISBLANK(Tabella2[[#This Row],[New cases]]))</f>
        <v>466</v>
      </c>
      <c r="G16" s="50">
        <f>Kn*t0n*_xlfn.GAMMA.DIST(Tabella2[[#This Row],[Day]]/t0n,wn+1,1,1)*_xlfn.GAMMA(wn+1)</f>
        <v>315.90834921541176</v>
      </c>
      <c r="H16" s="10">
        <f>Kn*((Tabella2[[#This Row],[Day]]/t0n)^wn)*EXP(-(Tabella2[[#This Row],[Day]]/t0n))</f>
        <v>208.7774871058009</v>
      </c>
      <c r="I16" s="56">
        <f>Tabella2[[#This Row],[New_cases_fit]]*NOT(ISBLANK(Tabella2[[#This Row],[New cases]]))</f>
        <v>208.7774871058009</v>
      </c>
      <c r="J16" s="10">
        <f>Tabella2[[#This Row],[New_cases_fit]]+CIn</f>
        <v>1268.6085567308617</v>
      </c>
      <c r="K16" s="10">
        <f>MAX(Tabella2[[#This Row],[New_cases_fit]]-CIn,0)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Tabella2[[#This Row],[New_cases_fit]]-Tabella2[[#This Row],[New_Recovered_fit]]-Tabella2[[#This Row],[New_Deaths_fit]]</f>
        <v>150.09912167110201</v>
      </c>
      <c r="O16" s="10">
        <f>'dpc-covid19-ita-andamento-naz'!J10</f>
        <v>160</v>
      </c>
      <c r="P16" s="48">
        <f>Tabella2[[#This Row],[Cum_recov]]-O15</f>
        <v>11</v>
      </c>
      <c r="Q16" s="60">
        <f>Tabella2[[#This Row],[New recovered]]*NOT(ISBLANK(Tabella2[[#This Row],[New recovered]]))</f>
        <v>11</v>
      </c>
      <c r="R16" s="50">
        <f>Kd*t0d*_xlfn.GAMMA.DIST(Tabella2[[#This Row],[Day]]/t0d,wd+1,1,1)*_xlfn.GAMMA(wd+1)</f>
        <v>132.28682698891598</v>
      </c>
      <c r="S16" s="10">
        <f>Kd*((Tabella2[[#This Row],[Day]]/t0d)^wd)*EXP(-(Tabella2[[#This Row],[Day]]/t0d))</f>
        <v>54.850783454526201</v>
      </c>
      <c r="T16" s="60">
        <f>Tabella2[[#This Row],[New_Recovered_fit]]*NOT(ISBLANK(Tabella2[[#This Row],[New recovered]]))</f>
        <v>54.850783454526201</v>
      </c>
      <c r="U16" s="10">
        <f>Tabella2[[#This Row],[New_Recovered_fit]]+CId</f>
        <v>559.95736769878044</v>
      </c>
      <c r="V16" s="10">
        <f>MAX(Tabella2[[#This Row],[New_Recovered_fit]]-CId,0)</f>
        <v>0</v>
      </c>
      <c r="W16" s="10">
        <f>'dpc-covid19-ita-andamento-naz'!K10</f>
        <v>79</v>
      </c>
      <c r="X16" s="26">
        <f>Tabella2[[#This Row],[Cum_deaths]]-W15</f>
        <v>27</v>
      </c>
      <c r="Y16" s="65">
        <f>Tabella2[[#This Row],[New deaths]]*NOT(ISBLANK(Tabella2[[#This Row],[New deaths]]))</f>
        <v>27</v>
      </c>
      <c r="Z16" s="50">
        <f>kt*t0t*_xlfn.GAMMA.DIST(Tabella2[[#This Row],[Day]]/t0t,wt+1,1,1)*_xlfn.GAMMA(wt+1)</f>
        <v>4.2113164387393835</v>
      </c>
      <c r="AA16" s="10">
        <f>kt*((Tabella2[[#This Row],[Day]]/t0t)^wt)*EXP(-(Tabella2[[#This Row],[Day]]/t0t))</f>
        <v>3.827581980172674</v>
      </c>
      <c r="AB16" s="65">
        <f>Tabella2[[#This Row],[New_Deaths_fit]]*NOT(ISBLANK(Tabella2[[#This Row],[New deaths]]))</f>
        <v>3.827581980172674</v>
      </c>
      <c r="AC16" s="10">
        <f>Tabella2[[#This Row],[New_Deaths_fit]]+CIt</f>
        <v>137.20105507028646</v>
      </c>
      <c r="AD16" s="10">
        <f>MAX(Tabella2[[#This Row],[New_Deaths_fit]]-CIt,0)</f>
        <v>0</v>
      </c>
      <c r="AE16" s="1"/>
      <c r="AF16" s="93" t="s">
        <v>7</v>
      </c>
      <c r="AG16" s="94">
        <f>Critical_tn*SE_of_yn</f>
        <v>1059.8310696250608</v>
      </c>
      <c r="AT16" s="43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Tabella2[[#This Row],[New cases]]*NOT(ISBLANK(Tabella2[[#This Row],[New cases]]))</f>
        <v>587</v>
      </c>
      <c r="G17" s="50">
        <f>Kn*t0n*_xlfn.GAMMA.DIST(Tabella2[[#This Row],[Day]]/t0n,wn+1,1,1)*_xlfn.GAMMA(wn+1)</f>
        <v>583.78668342191338</v>
      </c>
      <c r="H17" s="10">
        <f>Kn*((Tabella2[[#This Row],[Day]]/t0n)^wn)*EXP(-(Tabella2[[#This Row],[Day]]/t0n))</f>
        <v>333.25202670335267</v>
      </c>
      <c r="I17" s="56">
        <f>Tabella2[[#This Row],[New_cases_fit]]*NOT(ISBLANK(Tabella2[[#This Row],[New cases]]))</f>
        <v>333.25202670335267</v>
      </c>
      <c r="J17" s="10">
        <f>Tabella2[[#This Row],[New_cases_fit]]+CIn</f>
        <v>1393.0830963284134</v>
      </c>
      <c r="K17" s="10">
        <f>MAX(Tabella2[[#This Row],[New_cases_fit]]-CIn,0)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Tabella2[[#This Row],[New_cases_fit]]-Tabella2[[#This Row],[New_Recovered_fit]]-Tabella2[[#This Row],[New_Deaths_fit]]</f>
        <v>253.93016886133017</v>
      </c>
      <c r="O17" s="10">
        <f>'dpc-covid19-ita-andamento-naz'!J11</f>
        <v>276</v>
      </c>
      <c r="P17" s="48">
        <f>Tabella2[[#This Row],[Cum_recov]]-O16</f>
        <v>116</v>
      </c>
      <c r="Q17" s="60">
        <f>Tabella2[[#This Row],[New recovered]]*NOT(ISBLANK(Tabella2[[#This Row],[New recovered]]))</f>
        <v>116</v>
      </c>
      <c r="R17" s="50">
        <f>Kd*t0d*_xlfn.GAMMA.DIST(Tabella2[[#This Row],[Day]]/t0d,wd+1,1,1)*_xlfn.GAMMA(wd+1)</f>
        <v>195.33052216368432</v>
      </c>
      <c r="S17" s="10">
        <f>Kd*((Tabella2[[#This Row],[Day]]/t0d)^wd)*EXP(-(Tabella2[[#This Row],[Day]]/t0d))</f>
        <v>71.625394559724967</v>
      </c>
      <c r="T17" s="60">
        <f>Tabella2[[#This Row],[New_Recovered_fit]]*NOT(ISBLANK(Tabella2[[#This Row],[New recovered]]))</f>
        <v>71.625394559724967</v>
      </c>
      <c r="U17" s="10">
        <f>Tabella2[[#This Row],[New_Recovered_fit]]+CId</f>
        <v>576.73197880397925</v>
      </c>
      <c r="V17" s="10">
        <f>MAX(Tabella2[[#This Row],[New_Recovered_fit]]-CId,0)</f>
        <v>0</v>
      </c>
      <c r="W17" s="10">
        <f>'dpc-covid19-ita-andamento-naz'!K11</f>
        <v>107</v>
      </c>
      <c r="X17" s="26">
        <f>Tabella2[[#This Row],[Cum_deaths]]-W16</f>
        <v>28</v>
      </c>
      <c r="Y17" s="65">
        <f>Tabella2[[#This Row],[New deaths]]*NOT(ISBLANK(Tabella2[[#This Row],[New deaths]]))</f>
        <v>28</v>
      </c>
      <c r="Z17" s="50">
        <f>kt*t0t*_xlfn.GAMMA.DIST(Tabella2[[#This Row],[Day]]/t0t,wt+1,1,1)*_xlfn.GAMMA(wt+1)</f>
        <v>9.8005031285721458</v>
      </c>
      <c r="AA17" s="10">
        <f>kt*((Tabella2[[#This Row],[Day]]/t0t)^wt)*EXP(-(Tabella2[[#This Row],[Day]]/t0t))</f>
        <v>7.6964632822975352</v>
      </c>
      <c r="AB17" s="65">
        <f>Tabella2[[#This Row],[New_Deaths_fit]]*NOT(ISBLANK(Tabella2[[#This Row],[New deaths]]))</f>
        <v>7.6964632822975352</v>
      </c>
      <c r="AC17" s="10">
        <f>Tabella2[[#This Row],[New_Deaths_fit]]+CIt</f>
        <v>141.06993637241132</v>
      </c>
      <c r="AD17" s="10">
        <f>MAX(Tabella2[[#This Row],[New_Deaths_fit]]-CIt,0)</f>
        <v>0</v>
      </c>
      <c r="AE17" s="1"/>
      <c r="AF17" s="93" t="s">
        <v>69</v>
      </c>
      <c r="AG17" s="94">
        <f>Kn*(wn^wn)*EXP(-wn)</f>
        <v>5523.8140758856034</v>
      </c>
      <c r="AT17" s="44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Tabella2[[#This Row],[New cases]]*NOT(ISBLANK(Tabella2[[#This Row],[New cases]]))</f>
        <v>769</v>
      </c>
      <c r="G18" s="50">
        <f>Kn*t0n*_xlfn.GAMMA.DIST(Tabella2[[#This Row],[Day]]/t0n,wn+1,1,1)*_xlfn.GAMMA(wn+1)</f>
        <v>995.4145471832162</v>
      </c>
      <c r="H18" s="10">
        <f>Kn*((Tabella2[[#This Row],[Day]]/t0n)^wn)*EXP(-(Tabella2[[#This Row],[Day]]/t0n))</f>
        <v>496.66138617386855</v>
      </c>
      <c r="I18" s="56">
        <f>Tabella2[[#This Row],[New_cases_fit]]*NOT(ISBLANK(Tabella2[[#This Row],[New cases]]))</f>
        <v>496.66138617386855</v>
      </c>
      <c r="J18" s="10">
        <f>Tabella2[[#This Row],[New_cases_fit]]+CIn</f>
        <v>1556.4924557989293</v>
      </c>
      <c r="K18" s="10">
        <f>MAX(Tabella2[[#This Row],[New_cases_fit]]-CIn,0)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Tabella2[[#This Row],[New_cases_fit]]-Tabella2[[#This Row],[New_Recovered_fit]]-Tabella2[[#This Row],[New_Deaths_fit]]</f>
        <v>391.91658489616185</v>
      </c>
      <c r="O18" s="10">
        <f>'dpc-covid19-ita-andamento-naz'!J12</f>
        <v>414</v>
      </c>
      <c r="P18" s="48">
        <f>Tabella2[[#This Row],[Cum_recov]]-O17</f>
        <v>138</v>
      </c>
      <c r="Q18" s="60">
        <f>Tabella2[[#This Row],[New recovered]]*NOT(ISBLANK(Tabella2[[#This Row],[New recovered]]))</f>
        <v>138</v>
      </c>
      <c r="R18" s="50">
        <f>Kd*t0d*_xlfn.GAMMA.DIST(Tabella2[[#This Row],[Day]]/t0d,wd+1,1,1)*_xlfn.GAMMA(wd+1)</f>
        <v>276.31197170739944</v>
      </c>
      <c r="S18" s="10">
        <f>Kd*((Tabella2[[#This Row],[Day]]/t0d)^wd)*EXP(-(Tabella2[[#This Row],[Day]]/t0d))</f>
        <v>90.722562215783199</v>
      </c>
      <c r="T18" s="60">
        <f>Tabella2[[#This Row],[New_Recovered_fit]]*NOT(ISBLANK(Tabella2[[#This Row],[New recovered]]))</f>
        <v>90.722562215783199</v>
      </c>
      <c r="U18" s="10">
        <f>Tabella2[[#This Row],[New_Recovered_fit]]+CId</f>
        <v>595.82914646003746</v>
      </c>
      <c r="V18" s="10">
        <f>MAX(Tabella2[[#This Row],[New_Recovered_fit]]-CId,0)</f>
        <v>0</v>
      </c>
      <c r="W18" s="10">
        <f>'dpc-covid19-ita-andamento-naz'!K12</f>
        <v>148</v>
      </c>
      <c r="X18" s="26">
        <f>Tabella2[[#This Row],[Cum_deaths]]-W17</f>
        <v>41</v>
      </c>
      <c r="Y18" s="65">
        <f>Tabella2[[#This Row],[New deaths]]*NOT(ISBLANK(Tabella2[[#This Row],[New deaths]]))</f>
        <v>41</v>
      </c>
      <c r="Z18" s="50">
        <f>kt*t0t*_xlfn.GAMMA.DIST(Tabella2[[#This Row],[Day]]/t0t,wt+1,1,1)*_xlfn.GAMMA(wt+1)</f>
        <v>20.422670218701882</v>
      </c>
      <c r="AA18" s="10">
        <f>kt*((Tabella2[[#This Row],[Day]]/t0t)^wt)*EXP(-(Tabella2[[#This Row],[Day]]/t0t))</f>
        <v>14.02223906192345</v>
      </c>
      <c r="AB18" s="65">
        <f>Tabella2[[#This Row],[New_Deaths_fit]]*NOT(ISBLANK(Tabella2[[#This Row],[New deaths]]))</f>
        <v>14.02223906192345</v>
      </c>
      <c r="AC18" s="10">
        <f>Tabella2[[#This Row],[New_Deaths_fit]]+CIt</f>
        <v>147.39571215203722</v>
      </c>
      <c r="AD18" s="10">
        <f>MAX(Tabella2[[#This Row],[New_Deaths_fit]]-CIt,0)</f>
        <v>0</v>
      </c>
      <c r="AE18" s="1"/>
      <c r="AF18" s="93" t="s">
        <v>70</v>
      </c>
      <c r="AG18" s="97">
        <f>_xlfn.XLOOKUP(ROUND(wn*t0n,0),Tabella2[Day],Tabella2[Date])</f>
        <v>43915</v>
      </c>
      <c r="AT18" s="75">
        <f>MAX($AG$26)</f>
        <v>0.89861955958807849</v>
      </c>
    </row>
    <row r="19" spans="2:46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Tabella2[[#This Row],[New cases]]*NOT(ISBLANK(Tabella2[[#This Row],[New cases]]))</f>
        <v>778</v>
      </c>
      <c r="G19" s="50">
        <f>Kn*t0n*_xlfn.GAMMA.DIST(Tabella2[[#This Row],[Day]]/t0n,wn+1,1,1)*_xlfn.GAMMA(wn+1)</f>
        <v>1590.5184548641305</v>
      </c>
      <c r="H19" s="10">
        <f>Kn*((Tabella2[[#This Row],[Day]]/t0n)^wn)*EXP(-(Tabella2[[#This Row],[Day]]/t0n))</f>
        <v>700.22451233090646</v>
      </c>
      <c r="I19" s="56">
        <f>Tabella2[[#This Row],[New_cases_fit]]*NOT(ISBLANK(Tabella2[[#This Row],[New cases]]))</f>
        <v>700.22451233090646</v>
      </c>
      <c r="J19" s="10">
        <f>Tabella2[[#This Row],[New_cases_fit]]+CIn</f>
        <v>1760.0555819559672</v>
      </c>
      <c r="K19" s="10">
        <f>MAX(Tabella2[[#This Row],[New_cases_fit]]-CIn,0)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Tabella2[[#This Row],[New_cases_fit]]-Tabella2[[#This Row],[New_Recovered_fit]]-Tabella2[[#This Row],[New_Deaths_fit]]</f>
        <v>564.52411645354289</v>
      </c>
      <c r="O19" s="10">
        <f>'dpc-covid19-ita-andamento-naz'!J13</f>
        <v>523</v>
      </c>
      <c r="P19" s="48">
        <f>Tabella2[[#This Row],[Cum_recov]]-O18</f>
        <v>109</v>
      </c>
      <c r="Q19" s="60">
        <f>Tabella2[[#This Row],[New recovered]]*NOT(ISBLANK(Tabella2[[#This Row],[New recovered]]))</f>
        <v>109</v>
      </c>
      <c r="R19" s="50">
        <f>Kd*t0d*_xlfn.GAMMA.DIST(Tabella2[[#This Row],[Day]]/t0d,wd+1,1,1)*_xlfn.GAMMA(wd+1)</f>
        <v>377.54014038237108</v>
      </c>
      <c r="S19" s="10">
        <f>Kd*((Tabella2[[#This Row],[Day]]/t0d)^wd)*EXP(-(Tabella2[[#This Row],[Day]]/t0d))</f>
        <v>112.11279580889735</v>
      </c>
      <c r="T19" s="60">
        <f>Tabella2[[#This Row],[New_Recovered_fit]]*NOT(ISBLANK(Tabella2[[#This Row],[New recovered]]))</f>
        <v>112.11279580889735</v>
      </c>
      <c r="U19" s="10">
        <f>Tabella2[[#This Row],[New_Recovered_fit]]+CId</f>
        <v>617.21938005315167</v>
      </c>
      <c r="V19" s="10">
        <f>MAX(Tabella2[[#This Row],[New_Recovered_fit]]-CId,0)</f>
        <v>0</v>
      </c>
      <c r="W19" s="10">
        <f>'dpc-covid19-ita-andamento-naz'!K13</f>
        <v>197</v>
      </c>
      <c r="X19" s="26">
        <f>Tabella2[[#This Row],[Cum_deaths]]-W18</f>
        <v>49</v>
      </c>
      <c r="Y19" s="65">
        <f>Tabella2[[#This Row],[New deaths]]*NOT(ISBLANK(Tabella2[[#This Row],[New deaths]]))</f>
        <v>49</v>
      </c>
      <c r="Z19" s="50">
        <f>kt*t0t*_xlfn.GAMMA.DIST(Tabella2[[#This Row],[Day]]/t0t,wt+1,1,1)*_xlfn.GAMMA(wt+1)</f>
        <v>38.9251482267235</v>
      </c>
      <c r="AA19" s="10">
        <f>kt*((Tabella2[[#This Row],[Day]]/t0t)^wt)*EXP(-(Tabella2[[#This Row],[Day]]/t0t))</f>
        <v>23.587600068466266</v>
      </c>
      <c r="AB19" s="65">
        <f>Tabella2[[#This Row],[New_Deaths_fit]]*NOT(ISBLANK(Tabella2[[#This Row],[New deaths]]))</f>
        <v>23.587600068466266</v>
      </c>
      <c r="AC19" s="10">
        <f>Tabella2[[#This Row],[New_Deaths_fit]]+CIt</f>
        <v>156.96107315858004</v>
      </c>
      <c r="AD19" s="10">
        <f>MAX(Tabella2[[#This Row],[New_Deaths_fit]]-CIt,0)</f>
        <v>0</v>
      </c>
      <c r="AE19" s="1"/>
      <c r="AF19" s="59" t="s">
        <v>81</v>
      </c>
      <c r="AG19" s="80" t="s">
        <v>95</v>
      </c>
      <c r="AT19" s="76">
        <f>COUNT($AG$20,$AG$21,$AG$22)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Tabella2[[#This Row],[New cases]]*NOT(ISBLANK(Tabella2[[#This Row],[New cases]]))</f>
        <v>1247</v>
      </c>
      <c r="G20" s="50">
        <f>Kn*t0n*_xlfn.GAMMA.DIST(Tabella2[[#This Row],[Day]]/t0n,wn+1,1,1)*_xlfn.GAMMA(wn+1)</f>
        <v>2408.9526478481371</v>
      </c>
      <c r="H20" s="10">
        <f>Kn*((Tabella2[[#This Row],[Day]]/t0n)^wn)*EXP(-(Tabella2[[#This Row],[Day]]/t0n))</f>
        <v>942.98645561112266</v>
      </c>
      <c r="I20" s="56">
        <f>Tabella2[[#This Row],[New_cases_fit]]*NOT(ISBLANK(Tabella2[[#This Row],[New cases]]))</f>
        <v>942.98645561112266</v>
      </c>
      <c r="J20" s="10">
        <f>Tabella2[[#This Row],[New_cases_fit]]+CIn</f>
        <v>2002.8175252361834</v>
      </c>
      <c r="K20" s="10">
        <f>MAX(Tabella2[[#This Row],[New_cases_fit]]-CIn,0)</f>
        <v>0</v>
      </c>
      <c r="L20" s="54">
        <f>'dpc-covid19-ita-andamento-naz'!G14</f>
        <v>5061</v>
      </c>
      <c r="M20" s="54">
        <f>'dpc-covid19-ita-andamento-naz'!H14</f>
        <v>1145</v>
      </c>
      <c r="N20" s="54">
        <f>Tabella2[[#This Row],[New_cases_fit]]-Tabella2[[#This Row],[New_Recovered_fit]]-Tabella2[[#This Row],[New_Deaths_fit]]</f>
        <v>770.08478316730589</v>
      </c>
      <c r="O20" s="10">
        <f>'dpc-covid19-ita-andamento-naz'!J14</f>
        <v>589</v>
      </c>
      <c r="P20" s="48">
        <f>Tabella2[[#This Row],[Cum_recov]]-O19</f>
        <v>66</v>
      </c>
      <c r="Q20" s="60">
        <f>Tabella2[[#This Row],[New recovered]]*NOT(ISBLANK(Tabella2[[#This Row],[New recovered]]))</f>
        <v>66</v>
      </c>
      <c r="R20" s="50">
        <f>Kd*t0d*_xlfn.GAMMA.DIST(Tabella2[[#This Row],[Day]]/t0d,wd+1,1,1)*_xlfn.GAMMA(wd+1)</f>
        <v>501.28802487024939</v>
      </c>
      <c r="S20" s="10">
        <f>Kd*((Tabella2[[#This Row],[Day]]/t0d)^wd)*EXP(-(Tabella2[[#This Row],[Day]]/t0d))</f>
        <v>135.75407442538619</v>
      </c>
      <c r="T20" s="60">
        <f>Tabella2[[#This Row],[New_Recovered_fit]]*NOT(ISBLANK(Tabella2[[#This Row],[New recovered]]))</f>
        <v>135.75407442538619</v>
      </c>
      <c r="U20" s="10">
        <f>Tabella2[[#This Row],[New_Recovered_fit]]+CId</f>
        <v>640.86065866964054</v>
      </c>
      <c r="V20" s="10">
        <f>MAX(Tabella2[[#This Row],[New_Recovered_fit]]-CId,0)</f>
        <v>0</v>
      </c>
      <c r="W20" s="10">
        <f>'dpc-covid19-ita-andamento-naz'!K14</f>
        <v>233</v>
      </c>
      <c r="X20" s="26">
        <f>Tabella2[[#This Row],[Cum_deaths]]-W19</f>
        <v>36</v>
      </c>
      <c r="Y20" s="65">
        <f>Tabella2[[#This Row],[New deaths]]*NOT(ISBLANK(Tabella2[[#This Row],[New deaths]]))</f>
        <v>36</v>
      </c>
      <c r="Z20" s="50">
        <f>kt*t0t*_xlfn.GAMMA.DIST(Tabella2[[#This Row],[Day]]/t0t,wt+1,1,1)*_xlfn.GAMMA(wt+1)</f>
        <v>68.93058027274347</v>
      </c>
      <c r="AA20" s="10">
        <f>kt*((Tabella2[[#This Row],[Day]]/t0t)^wt)*EXP(-(Tabella2[[#This Row],[Day]]/t0t))</f>
        <v>37.147598018430557</v>
      </c>
      <c r="AB20" s="65">
        <f>Tabella2[[#This Row],[New_Deaths_fit]]*NOT(ISBLANK(Tabella2[[#This Row],[New deaths]]))</f>
        <v>37.147598018430557</v>
      </c>
      <c r="AC20" s="10">
        <f>Tabella2[[#This Row],[New_Deaths_fit]]+CIt</f>
        <v>170.52107110854433</v>
      </c>
      <c r="AD20" s="10">
        <f>MAX(Tabella2[[#This Row],[New_Deaths_fit]]-CIt,0)</f>
        <v>0</v>
      </c>
      <c r="AE20" s="1"/>
      <c r="AF20" s="83" t="s">
        <v>108</v>
      </c>
      <c r="AG20" s="84">
        <v>4579.4605690999033</v>
      </c>
      <c r="AT20" s="76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Tabella2[[#This Row],[New cases]]*NOT(ISBLANK(Tabella2[[#This Row],[New cases]]))</f>
        <v>1492</v>
      </c>
      <c r="G21" s="50">
        <f>Kn*t0n*_xlfn.GAMMA.DIST(Tabella2[[#This Row],[Day]]/t0n,wn+1,1,1)*_xlfn.GAMMA(wn+1)</f>
        <v>3488.5804292315747</v>
      </c>
      <c r="H21" s="10">
        <f>Kn*((Tabella2[[#This Row],[Day]]/t0n)^wn)*EXP(-(Tabella2[[#This Row],[Day]]/t0n))</f>
        <v>1221.9566869906375</v>
      </c>
      <c r="I21" s="56">
        <f>Tabella2[[#This Row],[New_cases_fit]]*NOT(ISBLANK(Tabella2[[#This Row],[New cases]]))</f>
        <v>1221.9566869906375</v>
      </c>
      <c r="J21" s="10">
        <f>Tabella2[[#This Row],[New_cases_fit]]+CIn</f>
        <v>2281.7877566156985</v>
      </c>
      <c r="K21" s="10">
        <f>MAX(Tabella2[[#This Row],[New_cases_fit]]-CIn,0)</f>
        <v>162.12561736557677</v>
      </c>
      <c r="L21" s="54">
        <f>'dpc-covid19-ita-andamento-naz'!G15</f>
        <v>6387</v>
      </c>
      <c r="M21" s="54">
        <f>'dpc-covid19-ita-andamento-naz'!H15</f>
        <v>1326</v>
      </c>
      <c r="N21" s="54">
        <f>Tabella2[[#This Row],[New_cases_fit]]-Tabella2[[#This Row],[New_Recovered_fit]]-Tabella2[[#This Row],[New_Deaths_fit]]</f>
        <v>1005.0090036296175</v>
      </c>
      <c r="O21" s="10">
        <f>'dpc-covid19-ita-andamento-naz'!J15</f>
        <v>622</v>
      </c>
      <c r="P21" s="48">
        <f>Tabella2[[#This Row],[Cum_recov]]-O20</f>
        <v>33</v>
      </c>
      <c r="Q21" s="60">
        <f>Tabella2[[#This Row],[New recovered]]*NOT(ISBLANK(Tabella2[[#This Row],[New recovered]]))</f>
        <v>33</v>
      </c>
      <c r="R21" s="50">
        <f>Kd*t0d*_xlfn.GAMMA.DIST(Tabella2[[#This Row],[Day]]/t0d,wd+1,1,1)*_xlfn.GAMMA(wd+1)</f>
        <v>649.78131045960731</v>
      </c>
      <c r="S21" s="10">
        <f>Kd*((Tabella2[[#This Row],[Day]]/t0d)^wd)*EXP(-(Tabella2[[#This Row],[Day]]/t0d))</f>
        <v>161.59413889588097</v>
      </c>
      <c r="T21" s="60">
        <f>Tabella2[[#This Row],[New_Recovered_fit]]*NOT(ISBLANK(Tabella2[[#This Row],[New recovered]]))</f>
        <v>161.59413889588097</v>
      </c>
      <c r="U21" s="10">
        <f>Tabella2[[#This Row],[New_Recovered_fit]]+CId</f>
        <v>666.70072314013532</v>
      </c>
      <c r="V21" s="10">
        <f>MAX(Tabella2[[#This Row],[New_Recovered_fit]]-CId,0)</f>
        <v>0</v>
      </c>
      <c r="W21" s="10">
        <f>'dpc-covid19-ita-andamento-naz'!K15</f>
        <v>366</v>
      </c>
      <c r="X21" s="26">
        <f>Tabella2[[#This Row],[Cum_deaths]]-W20</f>
        <v>133</v>
      </c>
      <c r="Y21" s="65">
        <f>Tabella2[[#This Row],[New deaths]]*NOT(ISBLANK(Tabella2[[#This Row],[New deaths]]))</f>
        <v>133</v>
      </c>
      <c r="Z21" s="50">
        <f>kt*t0t*_xlfn.GAMMA.DIST(Tabella2[[#This Row],[Day]]/t0t,wt+1,1,1)*_xlfn.GAMMA(wt+1)</f>
        <v>114.77092063785612</v>
      </c>
      <c r="AA21" s="10">
        <f>kt*((Tabella2[[#This Row],[Day]]/t0t)^wt)*EXP(-(Tabella2[[#This Row],[Day]]/t0t))</f>
        <v>55.353544465139201</v>
      </c>
      <c r="AB21" s="65">
        <f>Tabella2[[#This Row],[New_Deaths_fit]]*NOT(ISBLANK(Tabella2[[#This Row],[New deaths]]))</f>
        <v>55.353544465139201</v>
      </c>
      <c r="AC21" s="10">
        <f>Tabella2[[#This Row],[New_Deaths_fit]]+CIt</f>
        <v>188.72701755525298</v>
      </c>
      <c r="AD21" s="10">
        <f>MAX(Tabella2[[#This Row],[New_Deaths_fit]]-CIt,0)</f>
        <v>0</v>
      </c>
      <c r="AE21" s="1"/>
      <c r="AF21" s="83" t="s">
        <v>100</v>
      </c>
      <c r="AG21" s="84">
        <v>45.18745727758786</v>
      </c>
      <c r="AT21" s="76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Tabella2[[#This Row],[New cases]]*NOT(ISBLANK(Tabella2[[#This Row],[New cases]]))</f>
        <v>1797</v>
      </c>
      <c r="G22" s="50">
        <f>Kn*t0n*_xlfn.GAMMA.DIST(Tabella2[[#This Row],[Day]]/t0n,wn+1,1,1)*_xlfn.GAMMA(wn+1)</f>
        <v>4863.3685769932436</v>
      </c>
      <c r="H22" s="10">
        <f>Kn*((Tabella2[[#This Row],[Day]]/t0n)^wn)*EXP(-(Tabella2[[#This Row],[Day]]/t0n))</f>
        <v>1532.3881393924614</v>
      </c>
      <c r="I22" s="56">
        <f>Tabella2[[#This Row],[New_cases_fit]]*NOT(ISBLANK(Tabella2[[#This Row],[New cases]]))</f>
        <v>1532.3881393924614</v>
      </c>
      <c r="J22" s="10">
        <f>Tabella2[[#This Row],[New_cases_fit]]+CIn</f>
        <v>2592.2192090175222</v>
      </c>
      <c r="K22" s="10">
        <f>MAX(Tabella2[[#This Row],[New_cases_fit]]-CIn,0)</f>
        <v>472.55706976740066</v>
      </c>
      <c r="L22" s="54">
        <f>'dpc-covid19-ita-andamento-naz'!G16</f>
        <v>7985</v>
      </c>
      <c r="M22" s="54">
        <f>'dpc-covid19-ita-andamento-naz'!H16</f>
        <v>1598</v>
      </c>
      <c r="N22" s="54">
        <f>Tabella2[[#This Row],[New_cases_fit]]-Tabella2[[#This Row],[New_Recovered_fit]]-Tabella2[[#This Row],[New_Deaths_fit]]</f>
        <v>1264.1305022961637</v>
      </c>
      <c r="O22" s="10">
        <f>'dpc-covid19-ita-andamento-naz'!J16</f>
        <v>724</v>
      </c>
      <c r="P22" s="48">
        <f>Tabella2[[#This Row],[Cum_recov]]-O21</f>
        <v>102</v>
      </c>
      <c r="Q22" s="60">
        <f>Tabella2[[#This Row],[New recovered]]*NOT(ISBLANK(Tabella2[[#This Row],[New recovered]]))</f>
        <v>102</v>
      </c>
      <c r="R22" s="50">
        <f>Kd*t0d*_xlfn.GAMMA.DIST(Tabella2[[#This Row],[Day]]/t0d,wd+1,1,1)*_xlfn.GAMMA(wd+1)</f>
        <v>825.18909621737509</v>
      </c>
      <c r="S22" s="10">
        <f>Kd*((Tabella2[[#This Row],[Day]]/t0d)^wd)*EXP(-(Tabella2[[#This Row],[Day]]/t0d))</f>
        <v>189.57235733175966</v>
      </c>
      <c r="T22" s="60">
        <f>Tabella2[[#This Row],[New_Recovered_fit]]*NOT(ISBLANK(Tabella2[[#This Row],[New recovered]]))</f>
        <v>189.57235733175966</v>
      </c>
      <c r="U22" s="10">
        <f>Tabella2[[#This Row],[New_Recovered_fit]]+CId</f>
        <v>694.67894157601393</v>
      </c>
      <c r="V22" s="10">
        <f>MAX(Tabella2[[#This Row],[New_Recovered_fit]]-CId,0)</f>
        <v>0</v>
      </c>
      <c r="W22" s="10">
        <f>'dpc-covid19-ita-andamento-naz'!K16</f>
        <v>463</v>
      </c>
      <c r="X22" s="26">
        <f>Tabella2[[#This Row],[Cum_deaths]]-W21</f>
        <v>97</v>
      </c>
      <c r="Y22" s="65">
        <f>Tabella2[[#This Row],[New deaths]]*NOT(ISBLANK(Tabella2[[#This Row],[New deaths]]))</f>
        <v>97</v>
      </c>
      <c r="Z22" s="50">
        <f>kt*t0t*_xlfn.GAMMA.DIST(Tabella2[[#This Row],[Day]]/t0t,wt+1,1,1)*_xlfn.GAMMA(wt+1)</f>
        <v>181.3487744152612</v>
      </c>
      <c r="AA22" s="10">
        <f>kt*((Tabella2[[#This Row],[Day]]/t0t)^wt)*EXP(-(Tabella2[[#This Row],[Day]]/t0t))</f>
        <v>78.685279764538208</v>
      </c>
      <c r="AB22" s="65">
        <f>Tabella2[[#This Row],[New_Deaths_fit]]*NOT(ISBLANK(Tabella2[[#This Row],[New deaths]]))</f>
        <v>78.685279764538208</v>
      </c>
      <c r="AC22" s="10">
        <f>Tabella2[[#This Row],[New_Deaths_fit]]+CIt</f>
        <v>212.05875285465197</v>
      </c>
      <c r="AD22" s="10">
        <f>MAX(Tabella2[[#This Row],[New_Deaths_fit]]-CIt,0)</f>
        <v>0</v>
      </c>
      <c r="AE22" s="1"/>
      <c r="AF22" s="83" t="s">
        <v>1</v>
      </c>
      <c r="AG22" s="84">
        <v>2.4533520183827178</v>
      </c>
      <c r="AT22" s="76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Tabella2[[#This Row],[New cases]]*NOT(ISBLANK(Tabella2[[#This Row],[New cases]]))</f>
        <v>977</v>
      </c>
      <c r="G23" s="50">
        <f>Kn*t0n*_xlfn.GAMMA.DIST(Tabella2[[#This Row],[Day]]/t0n,wn+1,1,1)*_xlfn.GAMMA(wn+1)</f>
        <v>6561.809490838923</v>
      </c>
      <c r="H23" s="10">
        <f>Kn*((Tabella2[[#This Row],[Day]]/t0n)^wn)*EXP(-(Tabella2[[#This Row],[Day]]/t0n))</f>
        <v>1868.1453433483396</v>
      </c>
      <c r="I23" s="56">
        <f>Tabella2[[#This Row],[New_cases_fit]]*NOT(ISBLANK(Tabella2[[#This Row],[New cases]]))</f>
        <v>1868.1453433483396</v>
      </c>
      <c r="J23" s="10">
        <f>Tabella2[[#This Row],[New_cases_fit]]+CIn</f>
        <v>2927.9764129734003</v>
      </c>
      <c r="K23" s="10">
        <f>MAX(Tabella2[[#This Row],[New_cases_fit]]-CIn,0)</f>
        <v>808.3142737232788</v>
      </c>
      <c r="L23" s="54">
        <f>'dpc-covid19-ita-andamento-naz'!G17</f>
        <v>8514</v>
      </c>
      <c r="M23" s="54">
        <f>'dpc-covid19-ita-andamento-naz'!H17</f>
        <v>529</v>
      </c>
      <c r="N23" s="54">
        <f>Tabella2[[#This Row],[New_cases_fit]]-Tabella2[[#This Row],[New_Recovered_fit]]-Tabella2[[#This Row],[New_Deaths_fit]]</f>
        <v>1541.1247591932711</v>
      </c>
      <c r="O23" s="10">
        <f>'dpc-covid19-ita-andamento-naz'!J17</f>
        <v>1004</v>
      </c>
      <c r="P23" s="48">
        <f>Tabella2[[#This Row],[Cum_recov]]-O22</f>
        <v>280</v>
      </c>
      <c r="Q23" s="60">
        <f>Tabella2[[#This Row],[New recovered]]*NOT(ISBLANK(Tabella2[[#This Row],[New recovered]]))</f>
        <v>280</v>
      </c>
      <c r="R23" s="50">
        <f>Kd*t0d*_xlfn.GAMMA.DIST(Tabella2[[#This Row],[Day]]/t0d,wd+1,1,1)*_xlfn.GAMMA(wd+1)</f>
        <v>1029.6163169070887</v>
      </c>
      <c r="S23" s="10">
        <f>Kd*((Tabella2[[#This Row],[Day]]/t0d)^wd)*EXP(-(Tabella2[[#This Row],[Day]]/t0d))</f>
        <v>219.62126723764101</v>
      </c>
      <c r="T23" s="60">
        <f>Tabella2[[#This Row],[New_Recovered_fit]]*NOT(ISBLANK(Tabella2[[#This Row],[New recovered]]))</f>
        <v>219.62126723764101</v>
      </c>
      <c r="U23" s="10">
        <f>Tabella2[[#This Row],[New_Recovered_fit]]+CId</f>
        <v>724.7278514818953</v>
      </c>
      <c r="V23" s="10">
        <f>MAX(Tabella2[[#This Row],[New_Recovered_fit]]-CId,0)</f>
        <v>0</v>
      </c>
      <c r="W23" s="10">
        <f>'dpc-covid19-ita-andamento-naz'!K17</f>
        <v>631</v>
      </c>
      <c r="X23" s="26">
        <f>Tabella2[[#This Row],[Cum_deaths]]-W22</f>
        <v>168</v>
      </c>
      <c r="Y23" s="65">
        <f>Tabella2[[#This Row],[New deaths]]*NOT(ISBLANK(Tabella2[[#This Row],[New deaths]]))</f>
        <v>168</v>
      </c>
      <c r="Z23" s="50">
        <f>kt*t0t*_xlfn.GAMMA.DIST(Tabella2[[#This Row],[Day]]/t0t,wt+1,1,1)*_xlfn.GAMMA(wt+1)</f>
        <v>273.9384418436702</v>
      </c>
      <c r="AA23" s="10">
        <f>kt*((Tabella2[[#This Row],[Day]]/t0t)^wt)*EXP(-(Tabella2[[#This Row],[Day]]/t0t))</f>
        <v>107.39931691742756</v>
      </c>
      <c r="AB23" s="65">
        <f>Tabella2[[#This Row],[New_Deaths_fit]]*NOT(ISBLANK(Tabella2[[#This Row],[New deaths]]))</f>
        <v>107.39931691742756</v>
      </c>
      <c r="AC23" s="10">
        <f>Tabella2[[#This Row],[New_Deaths_fit]]+CIt</f>
        <v>240.77279000754135</v>
      </c>
      <c r="AD23" s="10">
        <f>MAX(Tabella2[[#This Row],[New_Deaths_fit]]-CIt,0)</f>
        <v>0</v>
      </c>
      <c r="AE23" s="1"/>
      <c r="AF23" s="85" t="s">
        <v>2</v>
      </c>
      <c r="AG23" s="86">
        <f>AVERAGE(Tabella2[New recovered])</f>
        <v>632.64444444444439</v>
      </c>
      <c r="AT23" s="77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Tabella2[[#This Row],[New cases]]*NOT(ISBLANK(Tabella2[[#This Row],[New cases]]))</f>
        <v>2313</v>
      </c>
      <c r="G24" s="50">
        <f>Kn*t0n*_xlfn.GAMMA.DIST(Tabella2[[#This Row],[Day]]/t0n,wn+1,1,1)*_xlfn.GAMMA(wn+1)</f>
        <v>8605.7363889129556</v>
      </c>
      <c r="H24" s="10">
        <f>Kn*((Tabella2[[#This Row],[Day]]/t0n)^wn)*EXP(-(Tabella2[[#This Row],[Day]]/t0n))</f>
        <v>2222.1152864381188</v>
      </c>
      <c r="I24" s="56">
        <f>Tabella2[[#This Row],[New_cases_fit]]*NOT(ISBLANK(Tabella2[[#This Row],[New cases]]))</f>
        <v>2222.1152864381188</v>
      </c>
      <c r="J24" s="10">
        <f>Tabella2[[#This Row],[New_cases_fit]]+CIn</f>
        <v>3281.9463560631793</v>
      </c>
      <c r="K24" s="10">
        <f>MAX(Tabella2[[#This Row],[New_cases_fit]]-CIn,0)</f>
        <v>1162.284216813058</v>
      </c>
      <c r="L24" s="54">
        <f>'dpc-covid19-ita-andamento-naz'!G18</f>
        <v>10590</v>
      </c>
      <c r="M24" s="54">
        <f>'dpc-covid19-ita-andamento-naz'!H18</f>
        <v>2076</v>
      </c>
      <c r="N24" s="54">
        <f>Tabella2[[#This Row],[New_cases_fit]]-Tabella2[[#This Row],[New_Recovered_fit]]-Tabella2[[#This Row],[New_Deaths_fit]]</f>
        <v>1828.9501085656132</v>
      </c>
      <c r="O24" s="10">
        <f>'dpc-covid19-ita-andamento-naz'!J18</f>
        <v>1045</v>
      </c>
      <c r="P24" s="48">
        <f>Tabella2[[#This Row],[Cum_recov]]-O23</f>
        <v>41</v>
      </c>
      <c r="Q24" s="60">
        <f>Tabella2[[#This Row],[New recovered]]*NOT(ISBLANK(Tabella2[[#This Row],[New recovered]]))</f>
        <v>41</v>
      </c>
      <c r="R24" s="50">
        <f>Kd*t0d*_xlfn.GAMMA.DIST(Tabella2[[#This Row],[Day]]/t0d,wd+1,1,1)*_xlfn.GAMMA(wd+1)</f>
        <v>1265.0975762427363</v>
      </c>
      <c r="S24" s="10">
        <f>Kd*((Tabella2[[#This Row],[Day]]/t0d)^wd)*EXP(-(Tabella2[[#This Row],[Day]]/t0d))</f>
        <v>251.66786612593276</v>
      </c>
      <c r="T24" s="60">
        <f>Tabella2[[#This Row],[New_Recovered_fit]]*NOT(ISBLANK(Tabella2[[#This Row],[New recovered]]))</f>
        <v>251.66786612593276</v>
      </c>
      <c r="U24" s="10">
        <f>Tabella2[[#This Row],[New_Recovered_fit]]+CId</f>
        <v>756.77445037018708</v>
      </c>
      <c r="V24" s="10">
        <f>MAX(Tabella2[[#This Row],[New_Recovered_fit]]-CId,0)</f>
        <v>0</v>
      </c>
      <c r="W24" s="10">
        <f>'dpc-covid19-ita-andamento-naz'!K18</f>
        <v>827</v>
      </c>
      <c r="X24" s="26">
        <f>Tabella2[[#This Row],[Cum_deaths]]-W23</f>
        <v>196</v>
      </c>
      <c r="Y24" s="65">
        <f>Tabella2[[#This Row],[New deaths]]*NOT(ISBLANK(Tabella2[[#This Row],[New deaths]]))</f>
        <v>196</v>
      </c>
      <c r="Z24" s="50">
        <f>kt*t0t*_xlfn.GAMMA.DIST(Tabella2[[#This Row],[Day]]/t0t,wt+1,1,1)*_xlfn.GAMMA(wt+1)</f>
        <v>397.94502877089354</v>
      </c>
      <c r="AA24" s="10">
        <f>kt*((Tabella2[[#This Row],[Day]]/t0t)^wt)*EXP(-(Tabella2[[#This Row],[Day]]/t0t))</f>
        <v>141.4973117465729</v>
      </c>
      <c r="AB24" s="65">
        <f>Tabella2[[#This Row],[New_Deaths_fit]]*NOT(ISBLANK(Tabella2[[#This Row],[New deaths]]))</f>
        <v>141.4973117465729</v>
      </c>
      <c r="AC24" s="10">
        <f>Tabella2[[#This Row],[New_Deaths_fit]]+CIt</f>
        <v>274.87078483668665</v>
      </c>
      <c r="AD24" s="10">
        <f>MAX(Tabella2[[#This Row],[New_Deaths_fit]]-CIt,0)</f>
        <v>8.1238386564591281</v>
      </c>
      <c r="AE24" s="1"/>
      <c r="AF24" s="85" t="s">
        <v>3</v>
      </c>
      <c r="AG24" s="86">
        <f>COUNT(Tabella2[New recovered])-COUNT(AG20:AG22)</f>
        <v>42</v>
      </c>
      <c r="AT24" s="42"/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Tabella2[[#This Row],[New cases]]*NOT(ISBLANK(Tabella2[[#This Row],[New cases]]))</f>
        <v>2651</v>
      </c>
      <c r="G25" s="50">
        <f>Kn*t0n*_xlfn.GAMMA.DIST(Tabella2[[#This Row],[Day]]/t0n,wn+1,1,1)*_xlfn.GAMMA(wn+1)</f>
        <v>11009.554420277089</v>
      </c>
      <c r="H25" s="10">
        <f>Kn*((Tabella2[[#This Row],[Day]]/t0n)^wn)*EXP(-(Tabella2[[#This Row],[Day]]/t0n))</f>
        <v>2586.6227674729244</v>
      </c>
      <c r="I25" s="56">
        <f>Tabella2[[#This Row],[New_cases_fit]]*NOT(ISBLANK(Tabella2[[#This Row],[New cases]]))</f>
        <v>2586.6227674729244</v>
      </c>
      <c r="J25" s="10">
        <f>Tabella2[[#This Row],[New_cases_fit]]+CIn</f>
        <v>3646.4538370979853</v>
      </c>
      <c r="K25" s="10">
        <f>MAX(Tabella2[[#This Row],[New_cases_fit]]-CIn,0)</f>
        <v>1526.7916978478636</v>
      </c>
      <c r="L25" s="54">
        <f>'dpc-covid19-ita-andamento-naz'!G19</f>
        <v>12839</v>
      </c>
      <c r="M25" s="54">
        <f>'dpc-covid19-ita-andamento-naz'!H19</f>
        <v>2249</v>
      </c>
      <c r="N25" s="54">
        <f>Tabella2[[#This Row],[New_cases_fit]]-Tabella2[[#This Row],[New_Recovered_fit]]-Tabella2[[#This Row],[New_Deaths_fit]]</f>
        <v>2120.2717708981918</v>
      </c>
      <c r="O25" s="10">
        <f>'dpc-covid19-ita-andamento-naz'!J19</f>
        <v>1258</v>
      </c>
      <c r="P25" s="48">
        <f>Tabella2[[#This Row],[Cum_recov]]-O24</f>
        <v>213</v>
      </c>
      <c r="Q25" s="60">
        <f>Tabella2[[#This Row],[New recovered]]*NOT(ISBLANK(Tabella2[[#This Row],[New recovered]]))</f>
        <v>213</v>
      </c>
      <c r="R25" s="50">
        <f>Kd*t0d*_xlfn.GAMMA.DIST(Tabella2[[#This Row],[Day]]/t0d,wd+1,1,1)*_xlfn.GAMMA(wd+1)</f>
        <v>1533.5921672285838</v>
      </c>
      <c r="S25" s="10">
        <f>Kd*((Tabella2[[#This Row],[Day]]/t0d)^wd)*EXP(-(Tabella2[[#This Row],[Day]]/t0d))</f>
        <v>285.63470242542348</v>
      </c>
      <c r="T25" s="60">
        <f>Tabella2[[#This Row],[New_Recovered_fit]]*NOT(ISBLANK(Tabella2[[#This Row],[New recovered]]))</f>
        <v>285.63470242542348</v>
      </c>
      <c r="U25" s="10">
        <f>Tabella2[[#This Row],[New_Recovered_fit]]+CId</f>
        <v>790.74128666967772</v>
      </c>
      <c r="V25" s="10">
        <f>MAX(Tabella2[[#This Row],[New_Recovered_fit]]-CId,0)</f>
        <v>0</v>
      </c>
      <c r="W25" s="10">
        <f>'dpc-covid19-ita-andamento-naz'!K19</f>
        <v>1016</v>
      </c>
      <c r="X25" s="26">
        <f>Tabella2[[#This Row],[Cum_deaths]]-W24</f>
        <v>189</v>
      </c>
      <c r="Y25" s="65">
        <f>Tabella2[[#This Row],[New deaths]]*NOT(ISBLANK(Tabella2[[#This Row],[New deaths]]))</f>
        <v>189</v>
      </c>
      <c r="Z25" s="50">
        <f>kt*t0t*_xlfn.GAMMA.DIST(Tabella2[[#This Row],[Day]]/t0t,wt+1,1,1)*_xlfn.GAMMA(wt+1)</f>
        <v>558.642904327054</v>
      </c>
      <c r="AA25" s="10">
        <f>kt*((Tabella2[[#This Row],[Day]]/t0t)^wt)*EXP(-(Tabella2[[#This Row],[Day]]/t0t))</f>
        <v>180.71629414930865</v>
      </c>
      <c r="AB25" s="65">
        <f>Tabella2[[#This Row],[New_Deaths_fit]]*NOT(ISBLANK(Tabella2[[#This Row],[New deaths]]))</f>
        <v>180.71629414930865</v>
      </c>
      <c r="AC25" s="10">
        <f>Tabella2[[#This Row],[New_Deaths_fit]]+CIt</f>
        <v>314.08976723942243</v>
      </c>
      <c r="AD25" s="10">
        <f>MAX(Tabella2[[#This Row],[New_Deaths_fit]]-CIt,0)</f>
        <v>47.342821059194875</v>
      </c>
      <c r="AE25" s="1"/>
      <c r="AF25" s="85" t="s">
        <v>4</v>
      </c>
      <c r="AG25" s="87" cm="1">
        <f t="array" ref="AG25">SQRT(SUM((Tabella2[Colonna3]-Tabella2[Colonna4])^2)/dfd)</f>
        <v>250.2904533244735</v>
      </c>
      <c r="AT25" s="43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Tabella2[[#This Row],[New cases]]*NOT(ISBLANK(Tabella2[[#This Row],[New cases]]))</f>
        <v>2547</v>
      </c>
      <c r="G26" s="50">
        <f>Kn*t0n*_xlfn.GAMMA.DIST(Tabella2[[#This Row],[Day]]/t0n,wn+1,1,1)*_xlfn.GAMMA(wn+1)</f>
        <v>13779.876876972921</v>
      </c>
      <c r="H26" s="10">
        <f>Kn*((Tabella2[[#This Row],[Day]]/t0n)^wn)*EXP(-(Tabella2[[#This Row],[Day]]/t0n))</f>
        <v>2953.8211567144863</v>
      </c>
      <c r="I26" s="56">
        <f>Tabella2[[#This Row],[New_cases_fit]]*NOT(ISBLANK(Tabella2[[#This Row],[New cases]]))</f>
        <v>2953.8211567144863</v>
      </c>
      <c r="J26" s="10">
        <f>Tabella2[[#This Row],[New_cases_fit]]+CIn</f>
        <v>4013.6522263395473</v>
      </c>
      <c r="K26" s="10">
        <f>MAX(Tabella2[[#This Row],[New_cases_fit]]-CIn,0)</f>
        <v>1893.9900870894255</v>
      </c>
      <c r="L26" s="54">
        <f>'dpc-covid19-ita-andamento-naz'!G20</f>
        <v>14955</v>
      </c>
      <c r="M26" s="54">
        <f>'dpc-covid19-ita-andamento-naz'!H20</f>
        <v>2116</v>
      </c>
      <c r="N26" s="54">
        <f>Tabella2[[#This Row],[New_cases_fit]]-Tabella2[[#This Row],[New_Recovered_fit]]-Tabella2[[#This Row],[New_Deaths_fit]]</f>
        <v>2407.8408236232772</v>
      </c>
      <c r="O26" s="10">
        <f>'dpc-covid19-ita-andamento-naz'!J20</f>
        <v>1439</v>
      </c>
      <c r="P26" s="48">
        <f>Tabella2[[#This Row],[Cum_recov]]-O25</f>
        <v>181</v>
      </c>
      <c r="Q26" s="60">
        <f>Tabella2[[#This Row],[New recovered]]*NOT(ISBLANK(Tabella2[[#This Row],[New recovered]]))</f>
        <v>181</v>
      </c>
      <c r="R26" s="50">
        <f>Kd*t0d*_xlfn.GAMMA.DIST(Tabella2[[#This Row],[Day]]/t0d,wd+1,1,1)*_xlfn.GAMMA(wd+1)</f>
        <v>1836.9800999533693</v>
      </c>
      <c r="S26" s="10">
        <f>Kd*((Tabella2[[#This Row],[Day]]/t0d)^wd)*EXP(-(Tabella2[[#This Row],[Day]]/t0d))</f>
        <v>321.4408049886585</v>
      </c>
      <c r="T26" s="60">
        <f>Tabella2[[#This Row],[New_Recovered_fit]]*NOT(ISBLANK(Tabella2[[#This Row],[New recovered]]))</f>
        <v>321.4408049886585</v>
      </c>
      <c r="U26" s="10">
        <f>Tabella2[[#This Row],[New_Recovered_fit]]+CId</f>
        <v>826.54738923291279</v>
      </c>
      <c r="V26" s="10">
        <f>MAX(Tabella2[[#This Row],[New_Recovered_fit]]-CId,0)</f>
        <v>0</v>
      </c>
      <c r="W26" s="10">
        <f>'dpc-covid19-ita-andamento-naz'!K20</f>
        <v>1266</v>
      </c>
      <c r="X26" s="26">
        <f>Tabella2[[#This Row],[Cum_deaths]]-W25</f>
        <v>250</v>
      </c>
      <c r="Y26" s="65">
        <f>Tabella2[[#This Row],[New deaths]]*NOT(ISBLANK(Tabella2[[#This Row],[New deaths]]))</f>
        <v>250</v>
      </c>
      <c r="Z26" s="50">
        <f>kt*t0t*_xlfn.GAMMA.DIST(Tabella2[[#This Row],[Day]]/t0t,wt+1,1,1)*_xlfn.GAMMA(wt+1)</f>
        <v>760.91488883855186</v>
      </c>
      <c r="AA26" s="10">
        <f>kt*((Tabella2[[#This Row],[Day]]/t0t)^wt)*EXP(-(Tabella2[[#This Row],[Day]]/t0t))</f>
        <v>224.53952810255055</v>
      </c>
      <c r="AB26" s="65">
        <f>Tabella2[[#This Row],[New_Deaths_fit]]*NOT(ISBLANK(Tabella2[[#This Row],[New deaths]]))</f>
        <v>224.53952810255055</v>
      </c>
      <c r="AC26" s="10">
        <f>Tabella2[[#This Row],[New_Deaths_fit]]+CIt</f>
        <v>357.9130011926643</v>
      </c>
      <c r="AD26" s="10">
        <f>MAX(Tabella2[[#This Row],[New_Deaths_fit]]-CIt,0)</f>
        <v>91.166055012436772</v>
      </c>
      <c r="AE26" s="1"/>
      <c r="AF26" s="85" t="s">
        <v>101</v>
      </c>
      <c r="AG26" s="88" cm="1">
        <f t="array" ref="AG26">1-SUM((Tabella2[Colonna3]-Tabella2[Colonna4])^2)/SUM((Tabella2[Colonna3]-Mean_of_yd)^2)</f>
        <v>0.89861955958807849</v>
      </c>
      <c r="AT26" s="43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Tabella2[[#This Row],[New cases]]*NOT(ISBLANK(Tabella2[[#This Row],[New cases]]))</f>
        <v>3497</v>
      </c>
      <c r="G27" s="50">
        <f>Kn*t0n*_xlfn.GAMMA.DIST(Tabella2[[#This Row],[Day]]/t0n,wn+1,1,1)*_xlfn.GAMMA(wn+1)</f>
        <v>16915.531111812026</v>
      </c>
      <c r="H27" s="10">
        <f>Kn*((Tabella2[[#This Row],[Day]]/t0n)^wn)*EXP(-(Tabella2[[#This Row],[Day]]/t0n))</f>
        <v>3316.0383834025865</v>
      </c>
      <c r="I27" s="56">
        <f>Tabella2[[#This Row],[New_cases_fit]]*NOT(ISBLANK(Tabella2[[#This Row],[New cases]]))</f>
        <v>3316.0383834025865</v>
      </c>
      <c r="J27" s="10">
        <f>Tabella2[[#This Row],[New_cases_fit]]+CIn</f>
        <v>4375.8694530276471</v>
      </c>
      <c r="K27" s="10">
        <f>MAX(Tabella2[[#This Row],[New_cases_fit]]-CIn,0)</f>
        <v>2256.207313777526</v>
      </c>
      <c r="L27" s="54">
        <f>'dpc-covid19-ita-andamento-naz'!G21</f>
        <v>17750</v>
      </c>
      <c r="M27" s="54">
        <f>'dpc-covid19-ita-andamento-naz'!H21</f>
        <v>2795</v>
      </c>
      <c r="N27" s="54">
        <f>Tabella2[[#This Row],[New_cases_fit]]-Tabella2[[#This Row],[New_Recovered_fit]]-Tabella2[[#This Row],[New_Deaths_fit]]</f>
        <v>2684.8109358744914</v>
      </c>
      <c r="O27" s="10">
        <f>'dpc-covid19-ita-andamento-naz'!J21</f>
        <v>1966</v>
      </c>
      <c r="P27" s="48">
        <f>Tabella2[[#This Row],[Cum_recov]]-O26</f>
        <v>527</v>
      </c>
      <c r="Q27" s="60">
        <f>Tabella2[[#This Row],[New recovered]]*NOT(ISBLANK(Tabella2[[#This Row],[New recovered]]))</f>
        <v>527</v>
      </c>
      <c r="R27" s="50">
        <f>Kd*t0d*_xlfn.GAMMA.DIST(Tabella2[[#This Row],[Day]]/t0d,wd+1,1,1)*_xlfn.GAMMA(wd+1)</f>
        <v>2177.0589905782408</v>
      </c>
      <c r="S27" s="10">
        <f>Kd*((Tabella2[[#This Row],[Day]]/t0d)^wd)*EXP(-(Tabella2[[#This Row],[Day]]/t0d))</f>
        <v>359.00248018629469</v>
      </c>
      <c r="T27" s="60">
        <f>Tabella2[[#This Row],[New_Recovered_fit]]*NOT(ISBLANK(Tabella2[[#This Row],[New recovered]]))</f>
        <v>359.00248018629469</v>
      </c>
      <c r="U27" s="10">
        <f>Tabella2[[#This Row],[New_Recovered_fit]]+CId</f>
        <v>864.10906443054898</v>
      </c>
      <c r="V27" s="10">
        <f>MAX(Tabella2[[#This Row],[New_Recovered_fit]]-CId,0)</f>
        <v>0</v>
      </c>
      <c r="W27" s="10">
        <f>'dpc-covid19-ita-andamento-naz'!K21</f>
        <v>1441</v>
      </c>
      <c r="X27" s="26">
        <f>Tabella2[[#This Row],[Cum_deaths]]-W26</f>
        <v>175</v>
      </c>
      <c r="Y27" s="65">
        <f>Tabella2[[#This Row],[New deaths]]*NOT(ISBLANK(Tabella2[[#This Row],[New deaths]]))</f>
        <v>175</v>
      </c>
      <c r="Z27" s="50">
        <f>kt*t0t*_xlfn.GAMMA.DIST(Tabella2[[#This Row],[Day]]/t0t,wt+1,1,1)*_xlfn.GAMMA(wt+1)</f>
        <v>1009.0114122833246</v>
      </c>
      <c r="AA27" s="10">
        <f>kt*((Tabella2[[#This Row],[Day]]/t0t)^wt)*EXP(-(Tabella2[[#This Row],[Day]]/t0t))</f>
        <v>272.22496734180072</v>
      </c>
      <c r="AB27" s="65">
        <f>Tabella2[[#This Row],[New_Deaths_fit]]*NOT(ISBLANK(Tabella2[[#This Row],[New deaths]]))</f>
        <v>272.22496734180072</v>
      </c>
      <c r="AC27" s="10">
        <f>Tabella2[[#This Row],[New_Deaths_fit]]+CIt</f>
        <v>405.59844043191447</v>
      </c>
      <c r="AD27" s="10">
        <f>MAX(Tabella2[[#This Row],[New_Deaths_fit]]-CIt,0)</f>
        <v>138.85149425168694</v>
      </c>
      <c r="AE27" s="1"/>
      <c r="AF27" s="85" t="s">
        <v>6</v>
      </c>
      <c r="AG27" s="88">
        <f>TINV(0.05,dfd)</f>
        <v>2.0180817028184461</v>
      </c>
      <c r="AT27" s="44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Tabella2[[#This Row],[New cases]]*NOT(ISBLANK(Tabella2[[#This Row],[New cases]]))</f>
        <v>3590</v>
      </c>
      <c r="G28" s="50">
        <f>Kn*t0n*_xlfn.GAMMA.DIST(Tabella2[[#This Row],[Day]]/t0n,wn+1,1,1)*_xlfn.GAMMA(wn+1)</f>
        <v>20407.882665104426</v>
      </c>
      <c r="H28" s="10">
        <f>Kn*((Tabella2[[#This Row],[Day]]/t0n)^wn)*EXP(-(Tabella2[[#This Row],[Day]]/t0n))</f>
        <v>3666.065924461172</v>
      </c>
      <c r="I28" s="56">
        <f>Tabella2[[#This Row],[New_cases_fit]]*NOT(ISBLANK(Tabella2[[#This Row],[New cases]]))</f>
        <v>3666.065924461172</v>
      </c>
      <c r="J28" s="10">
        <f>Tabella2[[#This Row],[New_cases_fit]]+CIn</f>
        <v>4725.8969940862326</v>
      </c>
      <c r="K28" s="10">
        <f>MAX(Tabella2[[#This Row],[New_cases_fit]]-CIn,0)</f>
        <v>2606.2348548361115</v>
      </c>
      <c r="L28" s="54">
        <f>'dpc-covid19-ita-andamento-naz'!G22</f>
        <v>20603</v>
      </c>
      <c r="M28" s="54">
        <f>'dpc-covid19-ita-andamento-naz'!H22</f>
        <v>2853</v>
      </c>
      <c r="N28" s="54">
        <f>Tabella2[[#This Row],[New_cases_fit]]-Tabella2[[#This Row],[New_Recovered_fit]]-Tabella2[[#This Row],[New_Deaths_fit]]</f>
        <v>2944.9848275346712</v>
      </c>
      <c r="O28" s="10">
        <f>'dpc-covid19-ita-andamento-naz'!J22</f>
        <v>2335</v>
      </c>
      <c r="P28" s="48">
        <f>Tabella2[[#This Row],[Cum_recov]]-O27</f>
        <v>369</v>
      </c>
      <c r="Q28" s="60">
        <f>Tabella2[[#This Row],[New recovered]]*NOT(ISBLANK(Tabella2[[#This Row],[New recovered]]))</f>
        <v>369</v>
      </c>
      <c r="R28" s="50">
        <f>Kd*t0d*_xlfn.GAMMA.DIST(Tabella2[[#This Row],[Day]]/t0d,wd+1,1,1)*_xlfn.GAMMA(wd+1)</f>
        <v>2555.5416907597805</v>
      </c>
      <c r="S28" s="10">
        <f>Kd*((Tabella2[[#This Row],[Day]]/t0d)^wd)*EXP(-(Tabella2[[#This Row],[Day]]/t0d))</f>
        <v>398.23399896793069</v>
      </c>
      <c r="T28" s="60">
        <f>Tabella2[[#This Row],[New_Recovered_fit]]*NOT(ISBLANK(Tabella2[[#This Row],[New recovered]]))</f>
        <v>398.23399896793069</v>
      </c>
      <c r="U28" s="10">
        <f>Tabella2[[#This Row],[New_Recovered_fit]]+CId</f>
        <v>903.34058321218504</v>
      </c>
      <c r="V28" s="10">
        <f>MAX(Tabella2[[#This Row],[New_Recovered_fit]]-CId,0)</f>
        <v>0</v>
      </c>
      <c r="W28" s="10">
        <f>'dpc-covid19-ita-andamento-naz'!K22</f>
        <v>1809</v>
      </c>
      <c r="X28" s="26">
        <f>Tabella2[[#This Row],[Cum_deaths]]-W27</f>
        <v>368</v>
      </c>
      <c r="Y28" s="65">
        <f>Tabella2[[#This Row],[New deaths]]*NOT(ISBLANK(Tabella2[[#This Row],[New deaths]]))</f>
        <v>368</v>
      </c>
      <c r="Z28" s="50">
        <f>kt*t0t*_xlfn.GAMMA.DIST(Tabella2[[#This Row],[Day]]/t0t,wt+1,1,1)*_xlfn.GAMMA(wt+1)</f>
        <v>1306.3452030773597</v>
      </c>
      <c r="AA28" s="10">
        <f>kt*((Tabella2[[#This Row],[Day]]/t0t)^wt)*EXP(-(Tabella2[[#This Row],[Day]]/t0t))</f>
        <v>322.84709795857003</v>
      </c>
      <c r="AB28" s="65">
        <f>Tabella2[[#This Row],[New_Deaths_fit]]*NOT(ISBLANK(Tabella2[[#This Row],[New deaths]]))</f>
        <v>322.84709795857003</v>
      </c>
      <c r="AC28" s="10">
        <f>Tabella2[[#This Row],[New_Deaths_fit]]+CIt</f>
        <v>456.22057104868384</v>
      </c>
      <c r="AD28" s="10">
        <f>MAX(Tabella2[[#This Row],[New_Deaths_fit]]-CIt,0)</f>
        <v>189.47362486845626</v>
      </c>
      <c r="AE28" s="1"/>
      <c r="AF28" s="85" t="s">
        <v>7</v>
      </c>
      <c r="AG28" s="86">
        <f>Critical_td*SE_of_yd</f>
        <v>505.10658424425429</v>
      </c>
      <c r="AT28" s="45">
        <f>MAX($AG$38)</f>
        <v>0.97884974908138567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Tabella2[[#This Row],[New cases]]*NOT(ISBLANK(Tabella2[[#This Row],[New cases]]))</f>
        <v>3233</v>
      </c>
      <c r="G29" s="50">
        <f>Kn*t0n*_xlfn.GAMMA.DIST(Tabella2[[#This Row],[Day]]/t0n,wn+1,1,1)*_xlfn.GAMMA(wn+1)</f>
        <v>24241.417311626858</v>
      </c>
      <c r="H29" s="10">
        <f>Kn*((Tabella2[[#This Row],[Day]]/t0n)^wn)*EXP(-(Tabella2[[#This Row],[Day]]/t0n))</f>
        <v>3997.3852013611013</v>
      </c>
      <c r="I29" s="56">
        <f>Tabella2[[#This Row],[New_cases_fit]]*NOT(ISBLANK(Tabella2[[#This Row],[New cases]]))</f>
        <v>3997.3852013611013</v>
      </c>
      <c r="J29" s="10">
        <f>Tabella2[[#This Row],[New_cases_fit]]+CIn</f>
        <v>5057.2162709861623</v>
      </c>
      <c r="K29" s="10">
        <f>MAX(Tabella2[[#This Row],[New_cases_fit]]-CIn,0)</f>
        <v>2937.5541317360403</v>
      </c>
      <c r="L29" s="54">
        <f>'dpc-covid19-ita-andamento-naz'!G23</f>
        <v>23073</v>
      </c>
      <c r="M29" s="54">
        <f>'dpc-covid19-ita-andamento-naz'!H23</f>
        <v>2470</v>
      </c>
      <c r="N29" s="54">
        <f>Tabella2[[#This Row],[New_cases_fit]]-Tabella2[[#This Row],[New_Recovered_fit]]-Tabella2[[#This Row],[New_Deaths_fit]]</f>
        <v>3182.9895530203803</v>
      </c>
      <c r="O29" s="10">
        <f>'dpc-covid19-ita-andamento-naz'!J23</f>
        <v>2749</v>
      </c>
      <c r="P29" s="48">
        <f>Tabella2[[#This Row],[Cum_recov]]-O28</f>
        <v>414</v>
      </c>
      <c r="Q29" s="60">
        <f>Tabella2[[#This Row],[New recovered]]*NOT(ISBLANK(Tabella2[[#This Row],[New recovered]]))</f>
        <v>414</v>
      </c>
      <c r="R29" s="50">
        <f>Kd*t0d*_xlfn.GAMMA.DIST(Tabella2[[#This Row],[Day]]/t0d,wd+1,1,1)*_xlfn.GAMMA(wd+1)</f>
        <v>2974.0545566065925</v>
      </c>
      <c r="S29" s="10">
        <f>Kd*((Tabella2[[#This Row],[Day]]/t0d)^wd)*EXP(-(Tabella2[[#This Row],[Day]]/t0d))</f>
        <v>439.04819147104371</v>
      </c>
      <c r="T29" s="60">
        <f>Tabella2[[#This Row],[New_Recovered_fit]]*NOT(ISBLANK(Tabella2[[#This Row],[New recovered]]))</f>
        <v>439.04819147104371</v>
      </c>
      <c r="U29" s="10">
        <f>Tabella2[[#This Row],[New_Recovered_fit]]+CId</f>
        <v>944.154775715298</v>
      </c>
      <c r="V29" s="10">
        <f>MAX(Tabella2[[#This Row],[New_Recovered_fit]]-CId,0)</f>
        <v>0</v>
      </c>
      <c r="W29" s="10">
        <f>'dpc-covid19-ita-andamento-naz'!K23</f>
        <v>2158</v>
      </c>
      <c r="X29" s="26">
        <f>Tabella2[[#This Row],[Cum_deaths]]-W28</f>
        <v>349</v>
      </c>
      <c r="Y29" s="65">
        <f>Tabella2[[#This Row],[New deaths]]*NOT(ISBLANK(Tabella2[[#This Row],[New deaths]]))</f>
        <v>349</v>
      </c>
      <c r="Z29" s="50">
        <f>kt*t0t*_xlfn.GAMMA.DIST(Tabella2[[#This Row],[Day]]/t0t,wt+1,1,1)*_xlfn.GAMMA(wt+1)</f>
        <v>1655.3325551602754</v>
      </c>
      <c r="AA29" s="10">
        <f>kt*((Tabella2[[#This Row],[Day]]/t0t)^wt)*EXP(-(Tabella2[[#This Row],[Day]]/t0t))</f>
        <v>375.34745686967744</v>
      </c>
      <c r="AB29" s="65">
        <f>Tabella2[[#This Row],[New_Deaths_fit]]*NOT(ISBLANK(Tabella2[[#This Row],[New deaths]]))</f>
        <v>375.34745686967744</v>
      </c>
      <c r="AC29" s="10">
        <f>Tabella2[[#This Row],[New_Deaths_fit]]+CIt</f>
        <v>508.72092995979119</v>
      </c>
      <c r="AD29" s="10">
        <f>MAX(Tabella2[[#This Row],[New_Deaths_fit]]-CIt,0)</f>
        <v>241.97398377956367</v>
      </c>
      <c r="AE29" s="1"/>
      <c r="AF29" s="89" t="s">
        <v>69</v>
      </c>
      <c r="AG29" s="86">
        <f>Kd*(wd^wd)*EXP(-wd)</f>
        <v>3560.8627721653666</v>
      </c>
      <c r="AT29" s="46">
        <f>COUNT($AG$32,$AG$33,$AG$34)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Tabella2[[#This Row],[New cases]]*NOT(ISBLANK(Tabella2[[#This Row],[New cases]]))</f>
        <v>3526</v>
      </c>
      <c r="G30" s="50">
        <f>Kn*t0n*_xlfn.GAMMA.DIST(Tabella2[[#This Row],[Day]]/t0n,wn+1,1,1)*_xlfn.GAMMA(wn+1)</f>
        <v>28394.517866304082</v>
      </c>
      <c r="H30" s="10">
        <f>Kn*((Tabella2[[#This Row],[Day]]/t0n)^wn)*EXP(-(Tabella2[[#This Row],[Day]]/t0n))</f>
        <v>4304.3309944338198</v>
      </c>
      <c r="I30" s="56">
        <f>Tabella2[[#This Row],[New_cases_fit]]*NOT(ISBLANK(Tabella2[[#This Row],[New cases]]))</f>
        <v>4304.3309944338198</v>
      </c>
      <c r="J30" s="10">
        <f>Tabella2[[#This Row],[New_cases_fit]]+CIn</f>
        <v>5364.1620640588808</v>
      </c>
      <c r="K30" s="10">
        <f>MAX(Tabella2[[#This Row],[New_cases_fit]]-CIn,0)</f>
        <v>3244.4999248087588</v>
      </c>
      <c r="L30" s="54">
        <f>'dpc-covid19-ita-andamento-naz'!G24</f>
        <v>26062</v>
      </c>
      <c r="M30" s="54">
        <f>'dpc-covid19-ita-andamento-naz'!H24</f>
        <v>2989</v>
      </c>
      <c r="N30" s="54">
        <f>Tabella2[[#This Row],[New_cases_fit]]-Tabella2[[#This Row],[New_Recovered_fit]]-Tabella2[[#This Row],[New_Deaths_fit]]</f>
        <v>3394.3848622228597</v>
      </c>
      <c r="O30" s="10">
        <f>'dpc-covid19-ita-andamento-naz'!J24</f>
        <v>2941</v>
      </c>
      <c r="P30" s="48">
        <f>Tabella2[[#This Row],[Cum_recov]]-O29</f>
        <v>192</v>
      </c>
      <c r="Q30" s="60">
        <f>Tabella2[[#This Row],[New recovered]]*NOT(ISBLANK(Tabella2[[#This Row],[New recovered]]))</f>
        <v>192</v>
      </c>
      <c r="R30" s="50">
        <f>Kd*t0d*_xlfn.GAMMA.DIST(Tabella2[[#This Row],[Day]]/t0d,wd+1,1,1)*_xlfn.GAMMA(wd+1)</f>
        <v>3434.1362719861477</v>
      </c>
      <c r="S30" s="10">
        <f>Kd*((Tabella2[[#This Row],[Day]]/t0d)^wd)*EXP(-(Tabella2[[#This Row],[Day]]/t0d))</f>
        <v>481.35696320448329</v>
      </c>
      <c r="T30" s="60">
        <f>Tabella2[[#This Row],[New_Recovered_fit]]*NOT(ISBLANK(Tabella2[[#This Row],[New recovered]]))</f>
        <v>481.35696320448329</v>
      </c>
      <c r="U30" s="10">
        <f>Tabella2[[#This Row],[New_Recovered_fit]]+CId</f>
        <v>986.46354744873759</v>
      </c>
      <c r="V30" s="10">
        <f>MAX(Tabella2[[#This Row],[New_Recovered_fit]]-CId,0)</f>
        <v>0</v>
      </c>
      <c r="W30" s="10">
        <f>'dpc-covid19-ita-andamento-naz'!K24</f>
        <v>2503</v>
      </c>
      <c r="X30" s="26">
        <f>Tabella2[[#This Row],[Cum_deaths]]-W29</f>
        <v>345</v>
      </c>
      <c r="Y30" s="65">
        <f>Tabella2[[#This Row],[New deaths]]*NOT(ISBLANK(Tabella2[[#This Row],[New deaths]]))</f>
        <v>345</v>
      </c>
      <c r="Z30" s="50">
        <f>kt*t0t*_xlfn.GAMMA.DIST(Tabella2[[#This Row],[Day]]/t0t,wt+1,1,1)*_xlfn.GAMMA(wt+1)</f>
        <v>2057.2874967770758</v>
      </c>
      <c r="AA30" s="10">
        <f>kt*((Tabella2[[#This Row],[Day]]/t0t)^wt)*EXP(-(Tabella2[[#This Row],[Day]]/t0t))</f>
        <v>428.5891690064766</v>
      </c>
      <c r="AB30" s="65">
        <f>Tabella2[[#This Row],[New_Deaths_fit]]*NOT(ISBLANK(Tabella2[[#This Row],[New deaths]]))</f>
        <v>428.5891690064766</v>
      </c>
      <c r="AC30" s="10">
        <f>Tabella2[[#This Row],[New_Deaths_fit]]+CIt</f>
        <v>561.96264209659034</v>
      </c>
      <c r="AD30" s="10">
        <f>MAX(Tabella2[[#This Row],[New_Deaths_fit]]-CIt,0)</f>
        <v>295.21569591636285</v>
      </c>
      <c r="AE30" s="1"/>
      <c r="AF30" s="89" t="s">
        <v>70</v>
      </c>
      <c r="AG30" s="90" t="e">
        <f>_xlfn.XLOOKUP(ROUND(wd*t0d,0),Tabella2[Day],Tabella2[Date])</f>
        <v>#N/A</v>
      </c>
      <c r="AT30" s="46">
        <f>{32767;32767;0.000001;0;FALSE;FALSE;TRUE;1;1;1;0.0001;TRUE}</f>
        <v>32767</v>
      </c>
    </row>
    <row r="31" spans="2:46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Tabella2[[#This Row],[New cases]]*NOT(ISBLANK(Tabella2[[#This Row],[New cases]]))</f>
        <v>4207</v>
      </c>
      <c r="G31" s="50">
        <f>Kn*t0n*_xlfn.GAMMA.DIST(Tabella2[[#This Row],[Day]]/t0n,wn+1,1,1)*_xlfn.GAMMA(wn+1)</f>
        <v>32840.374217219272</v>
      </c>
      <c r="H31" s="10">
        <f>Kn*((Tabella2[[#This Row],[Day]]/t0n)^wn)*EXP(-(Tabella2[[#This Row],[Day]]/t0n))</f>
        <v>4582.1953054953592</v>
      </c>
      <c r="I31" s="56">
        <f>Tabella2[[#This Row],[New_cases_fit]]*NOT(ISBLANK(Tabella2[[#This Row],[New cases]]))</f>
        <v>4582.1953054953592</v>
      </c>
      <c r="J31" s="10">
        <f>Tabella2[[#This Row],[New_cases_fit]]+CIn</f>
        <v>5642.0263751204202</v>
      </c>
      <c r="K31" s="10">
        <f>MAX(Tabella2[[#This Row],[New_cases_fit]]-CIn,0)</f>
        <v>3522.3642358702982</v>
      </c>
      <c r="L31" s="54">
        <f>'dpc-covid19-ita-andamento-naz'!G25</f>
        <v>28710</v>
      </c>
      <c r="M31" s="54">
        <f>'dpc-covid19-ita-andamento-naz'!H25</f>
        <v>2648</v>
      </c>
      <c r="N31" s="54">
        <f>Tabella2[[#This Row],[New_cases_fit]]-Tabella2[[#This Row],[New_Recovered_fit]]-Tabella2[[#This Row],[New_Deaths_fit]]</f>
        <v>3575.7122510753011</v>
      </c>
      <c r="O31" s="10">
        <f>'dpc-covid19-ita-andamento-naz'!J25</f>
        <v>4025</v>
      </c>
      <c r="P31" s="48">
        <f>Tabella2[[#This Row],[Cum_recov]]-O30</f>
        <v>1084</v>
      </c>
      <c r="Q31" s="60">
        <f>Tabella2[[#This Row],[New recovered]]*NOT(ISBLANK(Tabella2[[#This Row],[New recovered]]))</f>
        <v>1084</v>
      </c>
      <c r="R31" s="50">
        <f>Kd*t0d*_xlfn.GAMMA.DIST(Tabella2[[#This Row],[Day]]/t0d,wd+1,1,1)*_xlfn.GAMMA(wd+1)</f>
        <v>3937.2371536227765</v>
      </c>
      <c r="S31" s="10">
        <f>Kd*((Tabella2[[#This Row],[Day]]/t0d)^wd)*EXP(-(Tabella2[[#This Row],[Day]]/t0d))</f>
        <v>525.07174415032227</v>
      </c>
      <c r="T31" s="60">
        <f>Tabella2[[#This Row],[New_Recovered_fit]]*NOT(ISBLANK(Tabella2[[#This Row],[New recovered]]))</f>
        <v>525.07174415032227</v>
      </c>
      <c r="U31" s="10">
        <f>Tabella2[[#This Row],[New_Recovered_fit]]+CId</f>
        <v>1030.1783283945765</v>
      </c>
      <c r="V31" s="10">
        <f>MAX(Tabella2[[#This Row],[New_Recovered_fit]]-CId,0)</f>
        <v>19.965159906067981</v>
      </c>
      <c r="W31" s="10">
        <f>'dpc-covid19-ita-andamento-naz'!K25</f>
        <v>2978</v>
      </c>
      <c r="X31" s="26">
        <f>Tabella2[[#This Row],[Cum_deaths]]-W30</f>
        <v>475</v>
      </c>
      <c r="Y31" s="65">
        <f>Tabella2[[#This Row],[New deaths]]*NOT(ISBLANK(Tabella2[[#This Row],[New deaths]]))</f>
        <v>475</v>
      </c>
      <c r="Z31" s="50">
        <f>kt*t0t*_xlfn.GAMMA.DIST(Tabella2[[#This Row],[Day]]/t0t,wt+1,1,1)*_xlfn.GAMMA(wt+1)</f>
        <v>2512.3707313951745</v>
      </c>
      <c r="AA31" s="10">
        <f>kt*((Tabella2[[#This Row],[Day]]/t0t)^wt)*EXP(-(Tabella2[[#This Row],[Day]]/t0t))</f>
        <v>481.41131026973591</v>
      </c>
      <c r="AB31" s="65">
        <f>Tabella2[[#This Row],[New_Deaths_fit]]*NOT(ISBLANK(Tabella2[[#This Row],[New deaths]]))</f>
        <v>481.41131026973591</v>
      </c>
      <c r="AC31" s="10">
        <f>Tabella2[[#This Row],[New_Deaths_fit]]+CIt</f>
        <v>614.78478335984971</v>
      </c>
      <c r="AD31" s="10">
        <f>MAX(Tabella2[[#This Row],[New_Deaths_fit]]-CIt,0)</f>
        <v>348.0378371796221</v>
      </c>
      <c r="AE31" s="1"/>
      <c r="AF31" s="23" t="s">
        <v>53</v>
      </c>
      <c r="AG31" s="69" t="s">
        <v>96</v>
      </c>
      <c r="AT31" s="46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Tabella2[[#This Row],[New cases]]*NOT(ISBLANK(Tabella2[[#This Row],[New cases]]))</f>
        <v>5322</v>
      </c>
      <c r="G32" s="50">
        <f>Kn*t0n*_xlfn.GAMMA.DIST(Tabella2[[#This Row],[Day]]/t0n,wn+1,1,1)*_xlfn.GAMMA(wn+1)</f>
        <v>37547.96987355344</v>
      </c>
      <c r="H32" s="10">
        <f>Kn*((Tabella2[[#This Row],[Day]]/t0n)^wn)*EXP(-(Tabella2[[#This Row],[Day]]/t0n))</f>
        <v>4827.2776849200145</v>
      </c>
      <c r="I32" s="56">
        <f>Tabella2[[#This Row],[New_cases_fit]]*NOT(ISBLANK(Tabella2[[#This Row],[New cases]]))</f>
        <v>4827.2776849200145</v>
      </c>
      <c r="J32" s="10">
        <f>Tabella2[[#This Row],[New_cases_fit]]+CIn</f>
        <v>5887.1087545450755</v>
      </c>
      <c r="K32" s="10">
        <f>MAX(Tabella2[[#This Row],[New_cases_fit]]-CIn,0)</f>
        <v>3767.4466152949535</v>
      </c>
      <c r="L32" s="54">
        <f>'dpc-covid19-ita-andamento-naz'!G26</f>
        <v>33190</v>
      </c>
      <c r="M32" s="54">
        <f>'dpc-covid19-ita-andamento-naz'!H26</f>
        <v>4480</v>
      </c>
      <c r="N32" s="54">
        <f>Tabella2[[#This Row],[New_cases_fit]]-Tabella2[[#This Row],[New_Recovered_fit]]-Tabella2[[#This Row],[New_Deaths_fit]]</f>
        <v>3724.4941747644889</v>
      </c>
      <c r="O32" s="10">
        <f>'dpc-covid19-ita-andamento-naz'!J26</f>
        <v>4440</v>
      </c>
      <c r="P32" s="48">
        <f>Tabella2[[#This Row],[Cum_recov]]-O31</f>
        <v>415</v>
      </c>
      <c r="Q32" s="60">
        <f>Tabella2[[#This Row],[New recovered]]*NOT(ISBLANK(Tabella2[[#This Row],[New recovered]]))</f>
        <v>415</v>
      </c>
      <c r="R32" s="50">
        <f>Kd*t0d*_xlfn.GAMMA.DIST(Tabella2[[#This Row],[Day]]/t0d,wd+1,1,1)*_xlfn.GAMMA(wd+1)</f>
        <v>4484.7188756986661</v>
      </c>
      <c r="S32" s="10">
        <f>Kd*((Tabella2[[#This Row],[Day]]/t0d)^wd)*EXP(-(Tabella2[[#This Row],[Day]]/t0d))</f>
        <v>570.10388007041479</v>
      </c>
      <c r="T32" s="60">
        <f>Tabella2[[#This Row],[New_Recovered_fit]]*NOT(ISBLANK(Tabella2[[#This Row],[New recovered]]))</f>
        <v>570.10388007041479</v>
      </c>
      <c r="U32" s="10">
        <f>Tabella2[[#This Row],[New_Recovered_fit]]+CId</f>
        <v>1075.210464314669</v>
      </c>
      <c r="V32" s="10">
        <f>MAX(Tabella2[[#This Row],[New_Recovered_fit]]-CId,0)</f>
        <v>64.997295826160496</v>
      </c>
      <c r="W32" s="10">
        <f>'dpc-covid19-ita-andamento-naz'!K26</f>
        <v>3405</v>
      </c>
      <c r="X32" s="26">
        <f>Tabella2[[#This Row],[Cum_deaths]]-W31</f>
        <v>427</v>
      </c>
      <c r="Y32" s="65">
        <f>Tabella2[[#This Row],[New deaths]]*NOT(ISBLANK(Tabella2[[#This Row],[New deaths]]))</f>
        <v>427</v>
      </c>
      <c r="Z32" s="50">
        <f>kt*t0t*_xlfn.GAMMA.DIST(Tabella2[[#This Row],[Day]]/t0t,wt+1,1,1)*_xlfn.GAMMA(wt+1)</f>
        <v>3019.5913755932297</v>
      </c>
      <c r="AA32" s="10">
        <f>kt*((Tabella2[[#This Row],[Day]]/t0t)^wt)*EXP(-(Tabella2[[#This Row],[Day]]/t0t))</f>
        <v>532.67963008511117</v>
      </c>
      <c r="AB32" s="65">
        <f>Tabella2[[#This Row],[New_Deaths_fit]]*NOT(ISBLANK(Tabella2[[#This Row],[New deaths]]))</f>
        <v>532.67963008511117</v>
      </c>
      <c r="AC32" s="10">
        <f>Tabella2[[#This Row],[New_Deaths_fit]]+CIt</f>
        <v>666.05310317522492</v>
      </c>
      <c r="AD32" s="10">
        <f>MAX(Tabella2[[#This Row],[New_Deaths_fit]]-CIt,0)</f>
        <v>399.30615699499742</v>
      </c>
      <c r="AE32" s="1"/>
      <c r="AF32" s="70" t="s">
        <v>108</v>
      </c>
      <c r="AG32" s="71">
        <v>0.1595156635855057</v>
      </c>
      <c r="AT32" s="46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Tabella2[[#This Row],[New cases]]*NOT(ISBLANK(Tabella2[[#This Row],[New cases]]))</f>
        <v>5986</v>
      </c>
      <c r="G33" s="50">
        <f>Kn*t0n*_xlfn.GAMMA.DIST(Tabella2[[#This Row],[Day]]/t0n,wn+1,1,1)*_xlfn.GAMMA(wn+1)</f>
        <v>42483.095180787852</v>
      </c>
      <c r="H33" s="10">
        <f>Kn*((Tabella2[[#This Row],[Day]]/t0n)^wn)*EXP(-(Tabella2[[#This Row],[Day]]/t0n))</f>
        <v>5036.8895793207357</v>
      </c>
      <c r="I33" s="56">
        <f>Tabella2[[#This Row],[New_cases_fit]]*NOT(ISBLANK(Tabella2[[#This Row],[New cases]]))</f>
        <v>5036.8895793207357</v>
      </c>
      <c r="J33" s="10">
        <f>Tabella2[[#This Row],[New_cases_fit]]+CIn</f>
        <v>6096.7206489457967</v>
      </c>
      <c r="K33" s="10">
        <f>MAX(Tabella2[[#This Row],[New_cases_fit]]-CIn,0)</f>
        <v>3977.0585096956747</v>
      </c>
      <c r="L33" s="54">
        <f>'dpc-covid19-ita-andamento-naz'!G27</f>
        <v>37860</v>
      </c>
      <c r="M33" s="54">
        <f>'dpc-covid19-ita-andamento-naz'!H27</f>
        <v>4670</v>
      </c>
      <c r="N33" s="54">
        <f>Tabella2[[#This Row],[New_cases_fit]]-Tabella2[[#This Row],[New_Recovered_fit]]-Tabella2[[#This Row],[New_Deaths_fit]]</f>
        <v>3839.1935810874602</v>
      </c>
      <c r="O33" s="10">
        <f>'dpc-covid19-ita-andamento-naz'!J27</f>
        <v>5129</v>
      </c>
      <c r="P33" s="48">
        <f>Tabella2[[#This Row],[Cum_recov]]-O32</f>
        <v>689</v>
      </c>
      <c r="Q33" s="60">
        <f>Tabella2[[#This Row],[New recovered]]*NOT(ISBLANK(Tabella2[[#This Row],[New recovered]]))</f>
        <v>689</v>
      </c>
      <c r="R33" s="50">
        <f>Kd*t0d*_xlfn.GAMMA.DIST(Tabella2[[#This Row],[Day]]/t0d,wd+1,1,1)*_xlfn.GAMMA(wd+1)</f>
        <v>5077.8545601229671</v>
      </c>
      <c r="S33" s="10">
        <f>Kd*((Tabella2[[#This Row],[Day]]/t0d)^wd)*EXP(-(Tabella2[[#This Row],[Day]]/t0d))</f>
        <v>616.36497370282132</v>
      </c>
      <c r="T33" s="60">
        <f>Tabella2[[#This Row],[New_Recovered_fit]]*NOT(ISBLANK(Tabella2[[#This Row],[New recovered]]))</f>
        <v>616.36497370282132</v>
      </c>
      <c r="U33" s="10">
        <f>Tabella2[[#This Row],[New_Recovered_fit]]+CId</f>
        <v>1121.4715579470756</v>
      </c>
      <c r="V33" s="10">
        <f>MAX(Tabella2[[#This Row],[New_Recovered_fit]]-CId,0)</f>
        <v>111.25838945856702</v>
      </c>
      <c r="W33" s="10">
        <f>'dpc-covid19-ita-andamento-naz'!K27</f>
        <v>4032</v>
      </c>
      <c r="X33" s="26">
        <f>Tabella2[[#This Row],[Cum_deaths]]-W32</f>
        <v>627</v>
      </c>
      <c r="Y33" s="65">
        <f>Tabella2[[#This Row],[New deaths]]*NOT(ISBLANK(Tabella2[[#This Row],[New deaths]]))</f>
        <v>627</v>
      </c>
      <c r="Z33" s="50">
        <f>kt*t0t*_xlfn.GAMMA.DIST(Tabella2[[#This Row],[Day]]/t0t,wt+1,1,1)*_xlfn.GAMMA(wt+1)</f>
        <v>3576.8564751966892</v>
      </c>
      <c r="AA33" s="10">
        <f>kt*((Tabella2[[#This Row],[Day]]/t0t)^wt)*EXP(-(Tabella2[[#This Row],[Day]]/t0t))</f>
        <v>581.33102453045444</v>
      </c>
      <c r="AB33" s="65">
        <f>Tabella2[[#This Row],[New_Deaths_fit]]*NOT(ISBLANK(Tabella2[[#This Row],[New deaths]]))</f>
        <v>581.33102453045444</v>
      </c>
      <c r="AC33" s="10">
        <f>Tabella2[[#This Row],[New_Deaths_fit]]+CIt</f>
        <v>714.70449762056819</v>
      </c>
      <c r="AD33" s="10">
        <f>MAX(Tabella2[[#This Row],[New_Deaths_fit]]-CIt,0)</f>
        <v>447.95755144034069</v>
      </c>
      <c r="AE33" s="1"/>
      <c r="AF33" s="70" t="s">
        <v>86</v>
      </c>
      <c r="AG33" s="71">
        <v>4.2237471325815994</v>
      </c>
      <c r="AT33" s="47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Tabella2[[#This Row],[New cases]]*NOT(ISBLANK(Tabella2[[#This Row],[New cases]]))</f>
        <v>6557</v>
      </c>
      <c r="G34" s="50">
        <f>Kn*t0n*_xlfn.GAMMA.DIST(Tabella2[[#This Row],[Day]]/t0n,wn+1,1,1)*_xlfn.GAMMA(wn+1)</f>
        <v>47609.345323068919</v>
      </c>
      <c r="H34" s="10">
        <f>Kn*((Tabella2[[#This Row],[Day]]/t0n)^wn)*EXP(-(Tabella2[[#This Row],[Day]]/t0n))</f>
        <v>5209.3209556989568</v>
      </c>
      <c r="I34" s="56">
        <f>Tabella2[[#This Row],[New_cases_fit]]*NOT(ISBLANK(Tabella2[[#This Row],[New cases]]))</f>
        <v>5209.3209556989568</v>
      </c>
      <c r="J34" s="10">
        <f>Tabella2[[#This Row],[New_cases_fit]]+CIn</f>
        <v>6269.1520253240178</v>
      </c>
      <c r="K34" s="10">
        <f>MAX(Tabella2[[#This Row],[New_cases_fit]]-CIn,0)</f>
        <v>4149.4898860738958</v>
      </c>
      <c r="L34" s="54">
        <f>'dpc-covid19-ita-andamento-naz'!G28</f>
        <v>42681</v>
      </c>
      <c r="M34" s="54">
        <f>'dpc-covid19-ita-andamento-naz'!H28</f>
        <v>4821</v>
      </c>
      <c r="N34" s="54">
        <f>Tabella2[[#This Row],[New_cases_fit]]-Tabella2[[#This Row],[New_Recovered_fit]]-Tabella2[[#This Row],[New_Deaths_fit]]</f>
        <v>3919.143742420797</v>
      </c>
      <c r="O34" s="10">
        <f>'dpc-covid19-ita-andamento-naz'!J28</f>
        <v>6072</v>
      </c>
      <c r="P34" s="48">
        <f>Tabella2[[#This Row],[Cum_recov]]-O33</f>
        <v>943</v>
      </c>
      <c r="Q34" s="60">
        <f>Tabella2[[#This Row],[New recovered]]*NOT(ISBLANK(Tabella2[[#This Row],[New recovered]]))</f>
        <v>943</v>
      </c>
      <c r="R34" s="50">
        <f>Kd*t0d*_xlfn.GAMMA.DIST(Tabella2[[#This Row],[Day]]/t0d,wd+1,1,1)*_xlfn.GAMMA(wd+1)</f>
        <v>5717.8291856636615</v>
      </c>
      <c r="S34" s="10">
        <f>Kd*((Tabella2[[#This Row],[Day]]/t0d)^wd)*EXP(-(Tabella2[[#This Row],[Day]]/t0d))</f>
        <v>663.76718227052822</v>
      </c>
      <c r="T34" s="60">
        <f>Tabella2[[#This Row],[New_Recovered_fit]]*NOT(ISBLANK(Tabella2[[#This Row],[New recovered]]))</f>
        <v>663.76718227052822</v>
      </c>
      <c r="U34" s="10">
        <f>Tabella2[[#This Row],[New_Recovered_fit]]+CId</f>
        <v>1168.8737665147826</v>
      </c>
      <c r="V34" s="10">
        <f>MAX(Tabella2[[#This Row],[New_Recovered_fit]]-CId,0)</f>
        <v>158.66059802627393</v>
      </c>
      <c r="W34" s="10">
        <f>'dpc-covid19-ita-andamento-naz'!K28</f>
        <v>4825</v>
      </c>
      <c r="X34" s="26">
        <f>Tabella2[[#This Row],[Cum_deaths]]-W33</f>
        <v>793</v>
      </c>
      <c r="Y34" s="65">
        <f>Tabella2[[#This Row],[New deaths]]*NOT(ISBLANK(Tabella2[[#This Row],[New deaths]]))</f>
        <v>793</v>
      </c>
      <c r="Z34" s="50">
        <f>kt*t0t*_xlfn.GAMMA.DIST(Tabella2[[#This Row],[Day]]/t0t,wt+1,1,1)*_xlfn.GAMMA(wt+1)</f>
        <v>4181.061113744121</v>
      </c>
      <c r="AA34" s="10">
        <f>kt*((Tabella2[[#This Row],[Day]]/t0t)^wt)*EXP(-(Tabella2[[#This Row],[Day]]/t0t))</f>
        <v>626.41003100763214</v>
      </c>
      <c r="AB34" s="65">
        <f>Tabella2[[#This Row],[New_Deaths_fit]]*NOT(ISBLANK(Tabella2[[#This Row],[New deaths]]))</f>
        <v>626.41003100763214</v>
      </c>
      <c r="AC34" s="10">
        <f>Tabella2[[#This Row],[New_Deaths_fit]]+CIt</f>
        <v>759.78350409774589</v>
      </c>
      <c r="AD34" s="10">
        <f>MAX(Tabella2[[#This Row],[New_Deaths_fit]]-CIt,0)</f>
        <v>493.03655791751839</v>
      </c>
      <c r="AE34" s="1"/>
      <c r="AF34" s="70" t="s">
        <v>1</v>
      </c>
      <c r="AG34" s="71">
        <v>7.9407381092022655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Tabella2[[#This Row],[New cases]]*NOT(ISBLANK(Tabella2[[#This Row],[New cases]]))</f>
        <v>5560</v>
      </c>
      <c r="G35" s="50">
        <f>Kn*t0n*_xlfn.GAMMA.DIST(Tabella2[[#This Row],[Day]]/t0n,wn+1,1,1)*_xlfn.GAMMA(wn+1)</f>
        <v>52889.069562894583</v>
      </c>
      <c r="H35" s="10">
        <f>Kn*((Tabella2[[#This Row],[Day]]/t0n)^wn)*EXP(-(Tabella2[[#This Row],[Day]]/t0n))</f>
        <v>5343.7775152609256</v>
      </c>
      <c r="I35" s="56">
        <f>Tabella2[[#This Row],[New_cases_fit]]*NOT(ISBLANK(Tabella2[[#This Row],[New cases]]))</f>
        <v>5343.7775152609256</v>
      </c>
      <c r="J35" s="10">
        <f>Tabella2[[#This Row],[New_cases_fit]]+CIn</f>
        <v>6403.6085848859866</v>
      </c>
      <c r="K35" s="10">
        <f>MAX(Tabella2[[#This Row],[New_cases_fit]]-CIn,0)</f>
        <v>4283.9464456358646</v>
      </c>
      <c r="L35" s="54">
        <f>'dpc-covid19-ita-andamento-naz'!G29</f>
        <v>46638</v>
      </c>
      <c r="M35" s="54">
        <f>'dpc-covid19-ita-andamento-naz'!H29</f>
        <v>3957</v>
      </c>
      <c r="N35" s="54">
        <f>Tabella2[[#This Row],[New_cases_fit]]-Tabella2[[#This Row],[New_Recovered_fit]]-Tabella2[[#This Row],[New_Deaths_fit]]</f>
        <v>3964.457599716558</v>
      </c>
      <c r="O35" s="10">
        <f>'dpc-covid19-ita-andamento-naz'!J29</f>
        <v>7024</v>
      </c>
      <c r="P35" s="48">
        <f>Tabella2[[#This Row],[Cum_recov]]-O34</f>
        <v>952</v>
      </c>
      <c r="Q35" s="60">
        <f>Tabella2[[#This Row],[New recovered]]*NOT(ISBLANK(Tabella2[[#This Row],[New recovered]]))</f>
        <v>952</v>
      </c>
      <c r="R35" s="50">
        <f>Kd*t0d*_xlfn.GAMMA.DIST(Tabella2[[#This Row],[Day]]/t0d,wd+1,1,1)*_xlfn.GAMMA(wd+1)</f>
        <v>6405.7402750368055</v>
      </c>
      <c r="S35" s="10">
        <f>Kd*((Tabella2[[#This Row],[Day]]/t0d)^wd)*EXP(-(Tabella2[[#This Row],[Day]]/t0d))</f>
        <v>712.22347671703801</v>
      </c>
      <c r="T35" s="60">
        <f>Tabella2[[#This Row],[New_Recovered_fit]]*NOT(ISBLANK(Tabella2[[#This Row],[New recovered]]))</f>
        <v>712.22347671703801</v>
      </c>
      <c r="U35" s="10">
        <f>Tabella2[[#This Row],[New_Recovered_fit]]+CId</f>
        <v>1217.3300609612922</v>
      </c>
      <c r="V35" s="10">
        <f>MAX(Tabella2[[#This Row],[New_Recovered_fit]]-CId,0)</f>
        <v>207.11689247278372</v>
      </c>
      <c r="W35" s="10">
        <f>'dpc-covid19-ita-andamento-naz'!K29</f>
        <v>5476</v>
      </c>
      <c r="X35" s="26">
        <f>Tabella2[[#This Row],[Cum_deaths]]-W34</f>
        <v>651</v>
      </c>
      <c r="Y35" s="65">
        <f>Tabella2[[#This Row],[New deaths]]*NOT(ISBLANK(Tabella2[[#This Row],[New deaths]]))</f>
        <v>651</v>
      </c>
      <c r="Z35" s="50">
        <f>kt*t0t*_xlfn.GAMMA.DIST(Tabella2[[#This Row],[Day]]/t0t,wt+1,1,1)*_xlfn.GAMMA(wt+1)</f>
        <v>4828.2106173314496</v>
      </c>
      <c r="AA35" s="10">
        <f>kt*((Tabella2[[#This Row],[Day]]/t0t)^wt)*EXP(-(Tabella2[[#This Row],[Day]]/t0t))</f>
        <v>667.09643882732928</v>
      </c>
      <c r="AB35" s="65">
        <f>Tabella2[[#This Row],[New_Deaths_fit]]*NOT(ISBLANK(Tabella2[[#This Row],[New deaths]]))</f>
        <v>667.09643882732928</v>
      </c>
      <c r="AC35" s="10">
        <f>Tabella2[[#This Row],[New_Deaths_fit]]+CIt</f>
        <v>800.46991191744303</v>
      </c>
      <c r="AD35" s="10">
        <f>MAX(Tabella2[[#This Row],[New_Deaths_fit]]-CIt,0)</f>
        <v>533.72296573721553</v>
      </c>
      <c r="AF35" s="72" t="s">
        <v>2</v>
      </c>
      <c r="AG35" s="35">
        <f>AVERAGE(Tabella2[New deaths])</f>
        <v>406.04444444444442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Tabella2[[#This Row],[New cases]]*NOT(ISBLANK(Tabella2[[#This Row],[New cases]]))</f>
        <v>4789</v>
      </c>
      <c r="G36" s="50">
        <f>Kn*t0n*_xlfn.GAMMA.DIST(Tabella2[[#This Row],[Day]]/t0n,wn+1,1,1)*_xlfn.GAMMA(wn+1)</f>
        <v>58284.246310121125</v>
      </c>
      <c r="H36" s="10">
        <f>Kn*((Tabella2[[#This Row],[Day]]/t0n)^wn)*EXP(-(Tabella2[[#This Row],[Day]]/t0n))</f>
        <v>5440.2964036867024</v>
      </c>
      <c r="I36" s="56">
        <f>Tabella2[[#This Row],[New_cases_fit]]*NOT(ISBLANK(Tabella2[[#This Row],[New cases]]))</f>
        <v>5440.2964036867024</v>
      </c>
      <c r="J36" s="10">
        <f>Tabella2[[#This Row],[New_cases_fit]]+CIn</f>
        <v>6500.1274733117634</v>
      </c>
      <c r="K36" s="10">
        <f>MAX(Tabella2[[#This Row],[New_cases_fit]]-CIn,0)</f>
        <v>4380.4653340616414</v>
      </c>
      <c r="L36" s="54">
        <f>'dpc-covid19-ita-andamento-naz'!G30</f>
        <v>50418</v>
      </c>
      <c r="M36" s="54">
        <f>'dpc-covid19-ita-andamento-naz'!H30</f>
        <v>3780</v>
      </c>
      <c r="N36" s="54">
        <f>Tabella2[[#This Row],[New_cases_fit]]-Tabella2[[#This Row],[New_Recovered_fit]]-Tabella2[[#This Row],[New_Deaths_fit]]</f>
        <v>3975.9247118977446</v>
      </c>
      <c r="O36" s="10">
        <f>'dpc-covid19-ita-andamento-naz'!J30</f>
        <v>7432</v>
      </c>
      <c r="P36" s="48">
        <f>Tabella2[[#This Row],[Cum_recov]]-O35</f>
        <v>408</v>
      </c>
      <c r="Q36" s="60">
        <f>Tabella2[[#This Row],[New recovered]]*NOT(ISBLANK(Tabella2[[#This Row],[New recovered]]))</f>
        <v>408</v>
      </c>
      <c r="R36" s="50">
        <f>Kd*t0d*_xlfn.GAMMA.DIST(Tabella2[[#This Row],[Day]]/t0d,wd+1,1,1)*_xlfn.GAMMA(wd+1)</f>
        <v>7142.5988240416827</v>
      </c>
      <c r="S36" s="10">
        <f>Kd*((Tabella2[[#This Row],[Day]]/t0d)^wd)*EXP(-(Tabella2[[#This Row],[Day]]/t0d))</f>
        <v>761.64786727011381</v>
      </c>
      <c r="T36" s="60">
        <f>Tabella2[[#This Row],[New_Recovered_fit]]*NOT(ISBLANK(Tabella2[[#This Row],[New recovered]]))</f>
        <v>761.64786727011381</v>
      </c>
      <c r="U36" s="10">
        <f>Tabella2[[#This Row],[New_Recovered_fit]]+CId</f>
        <v>1266.7544515143682</v>
      </c>
      <c r="V36" s="10">
        <f>MAX(Tabella2[[#This Row],[New_Recovered_fit]]-CId,0)</f>
        <v>256.54128302585951</v>
      </c>
      <c r="W36" s="10">
        <f>'dpc-covid19-ita-andamento-naz'!K30</f>
        <v>6077</v>
      </c>
      <c r="X36" s="26">
        <f>Tabella2[[#This Row],[Cum_deaths]]-W35</f>
        <v>601</v>
      </c>
      <c r="Y36" s="65">
        <f>Tabella2[[#This Row],[New deaths]]*NOT(ISBLANK(Tabella2[[#This Row],[New deaths]]))</f>
        <v>601</v>
      </c>
      <c r="Z36" s="50">
        <f>kt*t0t*_xlfn.GAMMA.DIST(Tabella2[[#This Row],[Day]]/t0t,wt+1,1,1)*_xlfn.GAMMA(wt+1)</f>
        <v>5513.565822072329</v>
      </c>
      <c r="AA36" s="10">
        <f>kt*((Tabella2[[#This Row],[Day]]/t0t)^wt)*EXP(-(Tabella2[[#This Row],[Day]]/t0t))</f>
        <v>702.72382451884391</v>
      </c>
      <c r="AB36" s="65">
        <f>Tabella2[[#This Row],[New_Deaths_fit]]*NOT(ISBLANK(Tabella2[[#This Row],[New deaths]]))</f>
        <v>702.72382451884391</v>
      </c>
      <c r="AC36" s="10">
        <f>Tabella2[[#This Row],[New_Deaths_fit]]+CIt</f>
        <v>836.09729760895766</v>
      </c>
      <c r="AD36" s="10">
        <f>MAX(Tabella2[[#This Row],[New_Deaths_fit]]-CIt,0)</f>
        <v>569.35035142873016</v>
      </c>
      <c r="AF36" s="72" t="s">
        <v>3</v>
      </c>
      <c r="AG36" s="35">
        <f>COUNT(Tabella2[New deaths])-COUNT(AG32:AG34)</f>
        <v>42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Tabella2[[#This Row],[New cases]]*NOT(ISBLANK(Tabella2[[#This Row],[New cases]]))</f>
        <v>5249</v>
      </c>
      <c r="G37" s="50">
        <f>Kn*t0n*_xlfn.GAMMA.DIST(Tabella2[[#This Row],[Day]]/t0n,wn+1,1,1)*_xlfn.GAMMA(wn+1)</f>
        <v>63757.266180804247</v>
      </c>
      <c r="H37" s="10">
        <f>Kn*((Tabella2[[#This Row],[Day]]/t0n)^wn)*EXP(-(Tabella2[[#This Row],[Day]]/t0n))</f>
        <v>5499.6476076470344</v>
      </c>
      <c r="I37" s="56">
        <f>Tabella2[[#This Row],[New_cases_fit]]*NOT(ISBLANK(Tabella2[[#This Row],[New cases]]))</f>
        <v>5499.6476076470344</v>
      </c>
      <c r="J37" s="10">
        <f>Tabella2[[#This Row],[New_cases_fit]]+CIn</f>
        <v>6559.4786772720954</v>
      </c>
      <c r="K37" s="10">
        <f>MAX(Tabella2[[#This Row],[New_cases_fit]]-CIn,0)</f>
        <v>4439.8165380219734</v>
      </c>
      <c r="L37" s="54">
        <f>'dpc-covid19-ita-andamento-naz'!G31</f>
        <v>54030</v>
      </c>
      <c r="M37" s="54">
        <f>'dpc-covid19-ita-andamento-naz'!H31</f>
        <v>3612</v>
      </c>
      <c r="N37" s="54">
        <f>Tabella2[[#This Row],[New_cases_fit]]-Tabella2[[#This Row],[New_Recovered_fit]]-Tabella2[[#This Row],[New_Deaths_fit]]</f>
        <v>3954.9026108154458</v>
      </c>
      <c r="O37" s="10">
        <f>'dpc-covid19-ita-andamento-naz'!J31</f>
        <v>8326</v>
      </c>
      <c r="P37" s="48">
        <f>Tabella2[[#This Row],[Cum_recov]]-O36</f>
        <v>894</v>
      </c>
      <c r="Q37" s="60">
        <f>Tabella2[[#This Row],[New recovered]]*NOT(ISBLANK(Tabella2[[#This Row],[New recovered]]))</f>
        <v>894</v>
      </c>
      <c r="R37" s="50">
        <f>Kd*t0d*_xlfn.GAMMA.DIST(Tabella2[[#This Row],[Day]]/t0d,wd+1,1,1)*_xlfn.GAMMA(wd+1)</f>
        <v>7929.3304410890551</v>
      </c>
      <c r="S37" s="10">
        <f>Kd*((Tabella2[[#This Row],[Day]]/t0d)^wd)*EXP(-(Tabella2[[#This Row],[Day]]/t0d))</f>
        <v>811.95559927202885</v>
      </c>
      <c r="T37" s="60">
        <f>Tabella2[[#This Row],[New_Recovered_fit]]*NOT(ISBLANK(Tabella2[[#This Row],[New recovered]]))</f>
        <v>811.95559927202885</v>
      </c>
      <c r="U37" s="10">
        <f>Tabella2[[#This Row],[New_Recovered_fit]]+CId</f>
        <v>1317.0621835162831</v>
      </c>
      <c r="V37" s="10">
        <f>MAX(Tabella2[[#This Row],[New_Recovered_fit]]-CId,0)</f>
        <v>306.84901502777456</v>
      </c>
      <c r="W37" s="10">
        <f>'dpc-covid19-ita-andamento-naz'!K31</f>
        <v>6820</v>
      </c>
      <c r="X37" s="26">
        <f>Tabella2[[#This Row],[Cum_deaths]]-W36</f>
        <v>743</v>
      </c>
      <c r="Y37" s="65">
        <f>Tabella2[[#This Row],[New deaths]]*NOT(ISBLANK(Tabella2[[#This Row],[New deaths]]))</f>
        <v>743</v>
      </c>
      <c r="Z37" s="50">
        <f>kt*t0t*_xlfn.GAMMA.DIST(Tabella2[[#This Row],[Day]]/t0t,wt+1,1,1)*_xlfn.GAMMA(wt+1)</f>
        <v>6231.8024797794196</v>
      </c>
      <c r="AA37" s="10">
        <f>kt*((Tabella2[[#This Row],[Day]]/t0t)^wt)*EXP(-(Tabella2[[#This Row],[Day]]/t0t))</f>
        <v>732.7893975595598</v>
      </c>
      <c r="AB37" s="65">
        <f>Tabella2[[#This Row],[New_Deaths_fit]]*NOT(ISBLANK(Tabella2[[#This Row],[New deaths]]))</f>
        <v>732.7893975595598</v>
      </c>
      <c r="AC37" s="10">
        <f>Tabella2[[#This Row],[New_Deaths_fit]]+CIt</f>
        <v>866.16287064967355</v>
      </c>
      <c r="AD37" s="10">
        <f>MAX(Tabella2[[#This Row],[New_Deaths_fit]]-CIt,0)</f>
        <v>599.41592446944605</v>
      </c>
      <c r="AF37" s="72" t="s">
        <v>4</v>
      </c>
      <c r="AG37" s="73" cm="1">
        <f t="array" ref="AG37">SQRT(SUM((Tabella2[Colonna5]-Tabella2[Colonna6])^2)/dft)</f>
        <v>66.089233604291067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Tabella2[[#This Row],[New cases]]*NOT(ISBLANK(Tabella2[[#This Row],[New cases]]))</f>
        <v>5210</v>
      </c>
      <c r="G38" s="50">
        <f>Kn*t0n*_xlfn.GAMMA.DIST(Tabella2[[#This Row],[Day]]/t0n,wn+1,1,1)*_xlfn.GAMMA(wn+1)</f>
        <v>69271.611956143679</v>
      </c>
      <c r="H38" s="10">
        <f>Kn*((Tabella2[[#This Row],[Day]]/t0n)^wn)*EXP(-(Tabella2[[#This Row],[Day]]/t0n))</f>
        <v>5523.2273255164155</v>
      </c>
      <c r="I38" s="56">
        <f>Tabella2[[#This Row],[New_cases_fit]]*NOT(ISBLANK(Tabella2[[#This Row],[New cases]]))</f>
        <v>5523.2273255164155</v>
      </c>
      <c r="J38" s="10">
        <f>Tabella2[[#This Row],[New_cases_fit]]+CIn</f>
        <v>6583.0583951414765</v>
      </c>
      <c r="K38" s="10">
        <f>MAX(Tabella2[[#This Row],[New_cases_fit]]-CIn,0)</f>
        <v>4463.3962558913545</v>
      </c>
      <c r="L38" s="54">
        <f>'dpc-covid19-ita-andamento-naz'!G32</f>
        <v>57521</v>
      </c>
      <c r="M38" s="54">
        <f>'dpc-covid19-ita-andamento-naz'!H32</f>
        <v>3491</v>
      </c>
      <c r="N38" s="54">
        <f>Tabella2[[#This Row],[New_cases_fit]]-Tabella2[[#This Row],[New_Recovered_fit]]-Tabella2[[#This Row],[New_Deaths_fit]]</f>
        <v>3903.2080307841261</v>
      </c>
      <c r="O38" s="10">
        <f>'dpc-covid19-ita-andamento-naz'!J32</f>
        <v>9362</v>
      </c>
      <c r="P38" s="48">
        <f>Tabella2[[#This Row],[Cum_recov]]-O37</f>
        <v>1036</v>
      </c>
      <c r="Q38" s="60">
        <f>Tabella2[[#This Row],[New recovered]]*NOT(ISBLANK(Tabella2[[#This Row],[New recovered]]))</f>
        <v>1036</v>
      </c>
      <c r="R38" s="50">
        <f>Kd*t0d*_xlfn.GAMMA.DIST(Tabella2[[#This Row],[Day]]/t0d,wd+1,1,1)*_xlfn.GAMMA(wd+1)</f>
        <v>8766.7766691267625</v>
      </c>
      <c r="S38" s="10">
        <f>Kd*((Tabella2[[#This Row],[Day]]/t0d)^wd)*EXP(-(Tabella2[[#This Row],[Day]]/t0d))</f>
        <v>863.0633226693102</v>
      </c>
      <c r="T38" s="60">
        <f>Tabella2[[#This Row],[New_Recovered_fit]]*NOT(ISBLANK(Tabella2[[#This Row],[New recovered]]))</f>
        <v>863.0633226693102</v>
      </c>
      <c r="U38" s="10">
        <f>Tabella2[[#This Row],[New_Recovered_fit]]+CId</f>
        <v>1368.1699069135645</v>
      </c>
      <c r="V38" s="10">
        <f>MAX(Tabella2[[#This Row],[New_Recovered_fit]]-CId,0)</f>
        <v>357.9567384250559</v>
      </c>
      <c r="W38" s="10">
        <f>'dpc-covid19-ita-andamento-naz'!K32</f>
        <v>7503</v>
      </c>
      <c r="X38" s="26">
        <f>Tabella2[[#This Row],[Cum_deaths]]-W37</f>
        <v>683</v>
      </c>
      <c r="Y38" s="65">
        <f>Tabella2[[#This Row],[New deaths]]*NOT(ISBLANK(Tabella2[[#This Row],[New deaths]]))</f>
        <v>683</v>
      </c>
      <c r="Z38" s="50">
        <f>kt*t0t*_xlfn.GAMMA.DIST(Tabella2[[#This Row],[Day]]/t0t,wt+1,1,1)*_xlfn.GAMMA(wt+1)</f>
        <v>6977.1764903236208</v>
      </c>
      <c r="AA38" s="10">
        <f>kt*((Tabella2[[#This Row],[Day]]/t0t)^wt)*EXP(-(Tabella2[[#This Row],[Day]]/t0t))</f>
        <v>756.95597206297953</v>
      </c>
      <c r="AB38" s="65">
        <f>Tabella2[[#This Row],[New_Deaths_fit]]*NOT(ISBLANK(Tabella2[[#This Row],[New deaths]]))</f>
        <v>756.95597206297953</v>
      </c>
      <c r="AC38" s="10">
        <f>Tabella2[[#This Row],[New_Deaths_fit]]+CIt</f>
        <v>890.32944515309327</v>
      </c>
      <c r="AD38" s="10">
        <f>MAX(Tabella2[[#This Row],[New_Deaths_fit]]-CIt,0)</f>
        <v>623.58249897286578</v>
      </c>
      <c r="AF38" s="72" t="s">
        <v>87</v>
      </c>
      <c r="AG38" s="74" cm="1">
        <f t="array" ref="AG38">1-SUM((Tabella2[Colonna5]-Tabella2[Colonna6])^2)/SUM((Tabella2[Colonna5]-Mean_of_yt)^2)</f>
        <v>0.97884974908138567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Tabella2[[#This Row],[New cases]]*NOT(ISBLANK(Tabella2[[#This Row],[New cases]]))</f>
        <v>6153</v>
      </c>
      <c r="G39" s="50">
        <f>Kn*t0n*_xlfn.GAMMA.DIST(Tabella2[[#This Row],[Day]]/t0n,wn+1,1,1)*_xlfn.GAMMA(wn+1)</f>
        <v>74792.430149605512</v>
      </c>
      <c r="H39" s="10">
        <f>Kn*((Tabella2[[#This Row],[Day]]/t0n)^wn)*EXP(-(Tabella2[[#This Row],[Day]]/t0n))</f>
        <v>5512.9486125604508</v>
      </c>
      <c r="I39" s="56">
        <f>Tabella2[[#This Row],[New_cases_fit]]*NOT(ISBLANK(Tabella2[[#This Row],[New cases]]))</f>
        <v>5512.9486125604508</v>
      </c>
      <c r="J39" s="10">
        <f>Tabella2[[#This Row],[New_cases_fit]]+CIn</f>
        <v>6572.7796821855118</v>
      </c>
      <c r="K39" s="10">
        <f>MAX(Tabella2[[#This Row],[New_cases_fit]]-CIn,0)</f>
        <v>4453.1175429353898</v>
      </c>
      <c r="L39" s="54">
        <f>'dpc-covid19-ita-andamento-naz'!G33</f>
        <v>62013</v>
      </c>
      <c r="M39" s="54">
        <f>'dpc-covid19-ita-andamento-naz'!H33</f>
        <v>4492</v>
      </c>
      <c r="N39" s="54">
        <f>Tabella2[[#This Row],[New_cases_fit]]-Tabella2[[#This Row],[New_Recovered_fit]]-Tabella2[[#This Row],[New_Deaths_fit]]</f>
        <v>3823.0122069466024</v>
      </c>
      <c r="O39" s="10">
        <f>'dpc-covid19-ita-andamento-naz'!J33</f>
        <v>10361</v>
      </c>
      <c r="P39" s="48">
        <f>Tabella2[[#This Row],[Cum_recov]]-O38</f>
        <v>999</v>
      </c>
      <c r="Q39" s="60">
        <f>Tabella2[[#This Row],[New recovered]]*NOT(ISBLANK(Tabella2[[#This Row],[New recovered]]))</f>
        <v>999</v>
      </c>
      <c r="R39" s="50">
        <f>Kd*t0d*_xlfn.GAMMA.DIST(Tabella2[[#This Row],[Day]]/t0d,wd+1,1,1)*_xlfn.GAMMA(wd+1)</f>
        <v>9655.6964651268081</v>
      </c>
      <c r="S39" s="10">
        <f>Kd*((Tabella2[[#This Row],[Day]]/t0d)^wd)*EXP(-(Tabella2[[#This Row],[Day]]/t0d))</f>
        <v>914.88923810247854</v>
      </c>
      <c r="T39" s="60">
        <f>Tabella2[[#This Row],[New_Recovered_fit]]*NOT(ISBLANK(Tabella2[[#This Row],[New recovered]]))</f>
        <v>914.88923810247854</v>
      </c>
      <c r="U39" s="10">
        <f>Tabella2[[#This Row],[New_Recovered_fit]]+CId</f>
        <v>1419.9958223467329</v>
      </c>
      <c r="V39" s="10">
        <f>MAX(Tabella2[[#This Row],[New_Recovered_fit]]-CId,0)</f>
        <v>409.78265385822425</v>
      </c>
      <c r="W39" s="10">
        <f>'dpc-covid19-ita-andamento-naz'!K33</f>
        <v>8165</v>
      </c>
      <c r="X39" s="26">
        <f>Tabella2[[#This Row],[Cum_deaths]]-W38</f>
        <v>662</v>
      </c>
      <c r="Y39" s="65">
        <f>Tabella2[[#This Row],[New deaths]]*NOT(ISBLANK(Tabella2[[#This Row],[New deaths]]))</f>
        <v>662</v>
      </c>
      <c r="Z39" s="50">
        <f>kt*t0t*_xlfn.GAMMA.DIST(Tabella2[[#This Row],[Day]]/t0t,wt+1,1,1)*_xlfn.GAMMA(wt+1)</f>
        <v>7743.6876198157388</v>
      </c>
      <c r="AA39" s="10">
        <f>kt*((Tabella2[[#This Row],[Day]]/t0t)^wt)*EXP(-(Tabella2[[#This Row],[Day]]/t0t))</f>
        <v>775.04716751136937</v>
      </c>
      <c r="AB39" s="65">
        <f>Tabella2[[#This Row],[New_Deaths_fit]]*NOT(ISBLANK(Tabella2[[#This Row],[New deaths]]))</f>
        <v>775.04716751136937</v>
      </c>
      <c r="AC39" s="10">
        <f>Tabella2[[#This Row],[New_Deaths_fit]]+CIt</f>
        <v>908.42064060148311</v>
      </c>
      <c r="AD39" s="10">
        <f>MAX(Tabella2[[#This Row],[New_Deaths_fit]]-CIt,0)</f>
        <v>641.67369442125562</v>
      </c>
      <c r="AF39" s="72" t="s">
        <v>6</v>
      </c>
      <c r="AG39" s="74">
        <f>TINV(0.05,dft)</f>
        <v>2.0180817028184461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Tabella2[[#This Row],[New cases]]*NOT(ISBLANK(Tabella2[[#This Row],[New cases]]))</f>
        <v>5959</v>
      </c>
      <c r="G40" s="50">
        <f>Kn*t0n*_xlfn.GAMMA.DIST(Tabella2[[#This Row],[Day]]/t0n,wn+1,1,1)*_xlfn.GAMMA(wn+1)</f>
        <v>80286.993689565483</v>
      </c>
      <c r="H40" s="10">
        <f>Kn*((Tabella2[[#This Row],[Day]]/t0n)^wn)*EXP(-(Tabella2[[#This Row],[Day]]/t0n))</f>
        <v>5471.1336020506551</v>
      </c>
      <c r="I40" s="56">
        <f>Tabella2[[#This Row],[New_cases_fit]]*NOT(ISBLANK(Tabella2[[#This Row],[New cases]]))</f>
        <v>5471.1336020506551</v>
      </c>
      <c r="J40" s="10">
        <f>Tabella2[[#This Row],[New_cases_fit]]+CIn</f>
        <v>6530.9646716757161</v>
      </c>
      <c r="K40" s="10">
        <f>MAX(Tabella2[[#This Row],[New_cases_fit]]-CIn,0)</f>
        <v>4411.3025324255941</v>
      </c>
      <c r="L40" s="54">
        <f>'dpc-covid19-ita-andamento-naz'!G34</f>
        <v>66414</v>
      </c>
      <c r="M40" s="54">
        <f>'dpc-covid19-ita-andamento-naz'!H34</f>
        <v>4401</v>
      </c>
      <c r="N40" s="54">
        <f>Tabella2[[#This Row],[New_cases_fit]]-Tabella2[[#This Row],[New_Recovered_fit]]-Tabella2[[#This Row],[New_Deaths_fit]]</f>
        <v>3716.7432786827376</v>
      </c>
      <c r="O40" s="10">
        <f>'dpc-covid19-ita-andamento-naz'!J34</f>
        <v>10950</v>
      </c>
      <c r="P40" s="48">
        <f>Tabella2[[#This Row],[Cum_recov]]-O39</f>
        <v>589</v>
      </c>
      <c r="Q40" s="60">
        <f>Tabella2[[#This Row],[New recovered]]*NOT(ISBLANK(Tabella2[[#This Row],[New recovered]]))</f>
        <v>589</v>
      </c>
      <c r="R40" s="50">
        <f>Kd*t0d*_xlfn.GAMMA.DIST(Tabella2[[#This Row],[Day]]/t0d,wd+1,1,1)*_xlfn.GAMMA(wd+1)</f>
        <v>10596.767815043837</v>
      </c>
      <c r="S40" s="10">
        <f>Kd*((Tabella2[[#This Row],[Day]]/t0d)^wd)*EXP(-(Tabella2[[#This Row],[Day]]/t0d))</f>
        <v>967.35322215792621</v>
      </c>
      <c r="T40" s="60">
        <f>Tabella2[[#This Row],[New_Recovered_fit]]*NOT(ISBLANK(Tabella2[[#This Row],[New recovered]]))</f>
        <v>967.35322215792621</v>
      </c>
      <c r="U40" s="10">
        <f>Tabella2[[#This Row],[New_Recovered_fit]]+CId</f>
        <v>1472.4598064021804</v>
      </c>
      <c r="V40" s="10">
        <f>MAX(Tabella2[[#This Row],[New_Recovered_fit]]-CId,0)</f>
        <v>462.24663791367192</v>
      </c>
      <c r="W40" s="10">
        <f>'dpc-covid19-ita-andamento-naz'!K34</f>
        <v>9134</v>
      </c>
      <c r="X40" s="26">
        <f>Tabella2[[#This Row],[Cum_deaths]]-W39</f>
        <v>969</v>
      </c>
      <c r="Y40" s="65">
        <f>Tabella2[[#This Row],[New deaths]]*NOT(ISBLANK(Tabella2[[#This Row],[New deaths]]))</f>
        <v>969</v>
      </c>
      <c r="Z40" s="50">
        <f>kt*t0t*_xlfn.GAMMA.DIST(Tabella2[[#This Row],[Day]]/t0t,wt+1,1,1)*_xlfn.GAMMA(wt+1)</f>
        <v>8525.2355565263988</v>
      </c>
      <c r="AA40" s="10">
        <f>kt*((Tabella2[[#This Row],[Day]]/t0t)^wt)*EXP(-(Tabella2[[#This Row],[Day]]/t0t))</f>
        <v>787.03710120999108</v>
      </c>
      <c r="AB40" s="65">
        <f>Tabella2[[#This Row],[New_Deaths_fit]]*NOT(ISBLANK(Tabella2[[#This Row],[New deaths]]))</f>
        <v>787.03710120999108</v>
      </c>
      <c r="AC40" s="10">
        <f>Tabella2[[#This Row],[New_Deaths_fit]]+CIt</f>
        <v>920.41057430010483</v>
      </c>
      <c r="AD40" s="10">
        <f>MAX(Tabella2[[#This Row],[New_Deaths_fit]]-CIt,0)</f>
        <v>653.66362811987733</v>
      </c>
      <c r="AF40" s="72" t="s">
        <v>7</v>
      </c>
      <c r="AG40" s="35">
        <f>Critical_tt*SE_of_yt</f>
        <v>133.37347309011378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Tabella2[[#This Row],[New cases]]*NOT(ISBLANK(Tabella2[[#This Row],[New cases]]))</f>
        <v>5974</v>
      </c>
      <c r="G41" s="50">
        <f>Kn*t0n*_xlfn.GAMMA.DIST(Tabella2[[#This Row],[Day]]/t0n,wn+1,1,1)*_xlfn.GAMMA(wn+1)</f>
        <v>85725.059042762645</v>
      </c>
      <c r="H41" s="10">
        <f>Kn*((Tabella2[[#This Row],[Day]]/t0n)^wn)*EXP(-(Tabella2[[#This Row],[Day]]/t0n))</f>
        <v>5400.4106472717085</v>
      </c>
      <c r="I41" s="56">
        <f>Tabella2[[#This Row],[New_cases_fit]]*NOT(ISBLANK(Tabella2[[#This Row],[New cases]]))</f>
        <v>5400.4106472717085</v>
      </c>
      <c r="J41" s="10">
        <f>Tabella2[[#This Row],[New_cases_fit]]+CIn</f>
        <v>6460.2417168967695</v>
      </c>
      <c r="K41" s="10">
        <f>MAX(Tabella2[[#This Row],[New_cases_fit]]-CIn,0)</f>
        <v>4340.5795776466475</v>
      </c>
      <c r="L41" s="54">
        <f>'dpc-covid19-ita-andamento-naz'!G35</f>
        <v>70065</v>
      </c>
      <c r="M41" s="54">
        <f>'dpc-covid19-ita-andamento-naz'!H35</f>
        <v>3651</v>
      </c>
      <c r="N41" s="54">
        <f>Tabella2[[#This Row],[New_cases_fit]]-Tabella2[[#This Row],[New_Recovered_fit]]-Tabella2[[#This Row],[New_Deaths_fit]]</f>
        <v>3586.9978265164282</v>
      </c>
      <c r="O41" s="10">
        <f>'dpc-covid19-ita-andamento-naz'!J35</f>
        <v>12384</v>
      </c>
      <c r="P41" s="48">
        <f>Tabella2[[#This Row],[Cum_recov]]-O40</f>
        <v>1434</v>
      </c>
      <c r="Q41" s="60">
        <f>Tabella2[[#This Row],[New recovered]]*NOT(ISBLANK(Tabella2[[#This Row],[New recovered]]))</f>
        <v>1434</v>
      </c>
      <c r="R41" s="50">
        <f>Kd*t0d*_xlfn.GAMMA.DIST(Tabella2[[#This Row],[Day]]/t0d,wd+1,1,1)*_xlfn.GAMMA(wd+1)</f>
        <v>11590.589464553239</v>
      </c>
      <c r="S41" s="10">
        <f>Kd*((Tabella2[[#This Row],[Day]]/t0d)^wd)*EXP(-(Tabella2[[#This Row],[Day]]/t0d))</f>
        <v>1020.376934025359</v>
      </c>
      <c r="T41" s="60">
        <f>Tabella2[[#This Row],[New_Recovered_fit]]*NOT(ISBLANK(Tabella2[[#This Row],[New recovered]]))</f>
        <v>1020.376934025359</v>
      </c>
      <c r="U41" s="10">
        <f>Tabella2[[#This Row],[New_Recovered_fit]]+CId</f>
        <v>1525.4835182696133</v>
      </c>
      <c r="V41" s="10">
        <f>MAX(Tabella2[[#This Row],[New_Recovered_fit]]-CId,0)</f>
        <v>515.27034978110464</v>
      </c>
      <c r="W41" s="10">
        <f>'dpc-covid19-ita-andamento-naz'!K35</f>
        <v>10023</v>
      </c>
      <c r="X41" s="26">
        <f>Tabella2[[#This Row],[Cum_deaths]]-W40</f>
        <v>889</v>
      </c>
      <c r="Y41" s="65">
        <f>Tabella2[[#This Row],[New deaths]]*NOT(ISBLANK(Tabella2[[#This Row],[New deaths]]))</f>
        <v>889</v>
      </c>
      <c r="Z41" s="50">
        <f>kt*t0t*_xlfn.GAMMA.DIST(Tabella2[[#This Row],[Day]]/t0t,wt+1,1,1)*_xlfn.GAMMA(wt+1)</f>
        <v>9315.7634530165069</v>
      </c>
      <c r="AA41" s="10">
        <f>kt*((Tabella2[[#This Row],[Day]]/t0t)^wt)*EXP(-(Tabella2[[#This Row],[Day]]/t0t))</f>
        <v>793.03588672992089</v>
      </c>
      <c r="AB41" s="65">
        <f>Tabella2[[#This Row],[New_Deaths_fit]]*NOT(ISBLANK(Tabella2[[#This Row],[New deaths]]))</f>
        <v>793.03588672992089</v>
      </c>
      <c r="AC41" s="10">
        <f>Tabella2[[#This Row],[New_Deaths_fit]]+CIt</f>
        <v>926.40935982003464</v>
      </c>
      <c r="AD41" s="10">
        <f>MAX(Tabella2[[#This Row],[New_Deaths_fit]]-CIt,0)</f>
        <v>659.66241363980714</v>
      </c>
      <c r="AF41" s="34" t="s">
        <v>69</v>
      </c>
      <c r="AG41" s="35">
        <f>kt*(wt^wt)*EXP(-wt)</f>
        <v>793.86036323441465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Tabella2[[#This Row],[New cases]]*NOT(ISBLANK(Tabella2[[#This Row],[New cases]]))</f>
        <v>5217</v>
      </c>
      <c r="G42" s="50">
        <f>Kn*t0n*_xlfn.GAMMA.DIST(Tabella2[[#This Row],[Day]]/t0n,wn+1,1,1)*_xlfn.GAMMA(wn+1)</f>
        <v>91079.124002032739</v>
      </c>
      <c r="H42" s="10">
        <f>Kn*((Tabella2[[#This Row],[Day]]/t0n)^wn)*EXP(-(Tabella2[[#This Row],[Day]]/t0n))</f>
        <v>5303.6188510124994</v>
      </c>
      <c r="I42" s="56">
        <f>Tabella2[[#This Row],[New_cases_fit]]*NOT(ISBLANK(Tabella2[[#This Row],[New cases]]))</f>
        <v>5303.6188510124994</v>
      </c>
      <c r="J42" s="10">
        <f>Tabella2[[#This Row],[New_cases_fit]]+CIn</f>
        <v>6363.4499206375604</v>
      </c>
      <c r="K42" s="10">
        <f>MAX(Tabella2[[#This Row],[New_cases_fit]]-CIn,0)</f>
        <v>4243.7877813874384</v>
      </c>
      <c r="L42" s="54">
        <f>'dpc-covid19-ita-andamento-naz'!G36</f>
        <v>73880</v>
      </c>
      <c r="M42" s="54">
        <f>'dpc-covid19-ita-andamento-naz'!H36</f>
        <v>3815</v>
      </c>
      <c r="N42" s="54">
        <f>Tabella2[[#This Row],[New_cases_fit]]-Tabella2[[#This Row],[New_Recovered_fit]]-Tabella2[[#This Row],[New_Deaths_fit]]</f>
        <v>3436.4627269120656</v>
      </c>
      <c r="O42" s="10">
        <f>'dpc-covid19-ita-andamento-naz'!J36</f>
        <v>13030</v>
      </c>
      <c r="P42" s="48">
        <f>Tabella2[[#This Row],[Cum_recov]]-O41</f>
        <v>646</v>
      </c>
      <c r="Q42" s="60">
        <f>Tabella2[[#This Row],[New recovered]]*NOT(ISBLANK(Tabella2[[#This Row],[New recovered]]))</f>
        <v>646</v>
      </c>
      <c r="R42" s="50">
        <f>Kd*t0d*_xlfn.GAMMA.DIST(Tabella2[[#This Row],[Day]]/t0d,wd+1,1,1)*_xlfn.GAMMA(wd+1)</f>
        <v>12637.682747981822</v>
      </c>
      <c r="S42" s="10">
        <f>Kd*((Tabella2[[#This Row],[Day]]/t0d)^wd)*EXP(-(Tabella2[[#This Row],[Day]]/t0d))</f>
        <v>1073.8839055339824</v>
      </c>
      <c r="T42" s="60">
        <f>Tabella2[[#This Row],[New_Recovered_fit]]*NOT(ISBLANK(Tabella2[[#This Row],[New recovered]]))</f>
        <v>1073.8839055339824</v>
      </c>
      <c r="U42" s="10">
        <f>Tabella2[[#This Row],[New_Recovered_fit]]+CId</f>
        <v>1578.9904897782367</v>
      </c>
      <c r="V42" s="10">
        <f>MAX(Tabella2[[#This Row],[New_Recovered_fit]]-CId,0)</f>
        <v>568.77732128972821</v>
      </c>
      <c r="W42" s="10">
        <f>'dpc-covid19-ita-andamento-naz'!K36</f>
        <v>10779</v>
      </c>
      <c r="X42" s="26">
        <f>Tabella2[[#This Row],[Cum_deaths]]-W41</f>
        <v>756</v>
      </c>
      <c r="Y42" s="65">
        <f>Tabella2[[#This Row],[New deaths]]*NOT(ISBLANK(Tabella2[[#This Row],[New deaths]]))</f>
        <v>756</v>
      </c>
      <c r="Z42" s="50">
        <f>kt*t0t*_xlfn.GAMMA.DIST(Tabella2[[#This Row],[Day]]/t0t,wt+1,1,1)*_xlfn.GAMMA(wt+1)</f>
        <v>10109.38540638548</v>
      </c>
      <c r="AA42" s="10">
        <f>kt*((Tabella2[[#This Row],[Day]]/t0t)^wt)*EXP(-(Tabella2[[#This Row],[Day]]/t0t))</f>
        <v>793.27221856645133</v>
      </c>
      <c r="AB42" s="65">
        <f>Tabella2[[#This Row],[New_Deaths_fit]]*NOT(ISBLANK(Tabella2[[#This Row],[New deaths]]))</f>
        <v>793.27221856645133</v>
      </c>
      <c r="AC42" s="10">
        <f>Tabella2[[#This Row],[New_Deaths_fit]]+CIt</f>
        <v>926.64569165656508</v>
      </c>
      <c r="AD42" s="10">
        <f>MAX(Tabella2[[#This Row],[New_Deaths_fit]]-CIt,0)</f>
        <v>659.89874547633758</v>
      </c>
      <c r="AF42" s="34" t="s">
        <v>70</v>
      </c>
      <c r="AG42" s="81">
        <f>_xlfn.XLOOKUP(ROUND(wt*t0t,0),Tabella2[Day],Tabella2[Date])</f>
        <v>43919</v>
      </c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Tabella2[[#This Row],[New cases]]*NOT(ISBLANK(Tabella2[[#This Row],[New cases]]))</f>
        <v>4050</v>
      </c>
      <c r="G43" s="50">
        <f>Kn*t0n*_xlfn.GAMMA.DIST(Tabella2[[#This Row],[Day]]/t0n,wn+1,1,1)*_xlfn.GAMMA(wn+1)</f>
        <v>96324.594430119163</v>
      </c>
      <c r="H43" s="10">
        <f>Kn*((Tabella2[[#This Row],[Day]]/t0n)^wn)*EXP(-(Tabella2[[#This Row],[Day]]/t0n))</f>
        <v>5183.721670365946</v>
      </c>
      <c r="I43" s="56">
        <f>Tabella2[[#This Row],[New_cases_fit]]*NOT(ISBLANK(Tabella2[[#This Row],[New cases]]))</f>
        <v>5183.721670365946</v>
      </c>
      <c r="J43" s="10">
        <f>Tabella2[[#This Row],[New_cases_fit]]+CIn</f>
        <v>6243.552739991007</v>
      </c>
      <c r="K43" s="10">
        <f>MAX(Tabella2[[#This Row],[New_cases_fit]]-CIn,0)</f>
        <v>4123.890600740885</v>
      </c>
      <c r="L43" s="54">
        <f>'dpc-covid19-ita-andamento-naz'!G37</f>
        <v>75528</v>
      </c>
      <c r="M43" s="54">
        <f>'dpc-covid19-ita-andamento-naz'!H37</f>
        <v>1648</v>
      </c>
      <c r="N43" s="54">
        <f>Tabella2[[#This Row],[New_cases_fit]]-Tabella2[[#This Row],[New_Recovered_fit]]-Tabella2[[#This Row],[New_Deaths_fit]]</f>
        <v>3267.8478280931377</v>
      </c>
      <c r="O43" s="10">
        <f>'dpc-covid19-ita-andamento-naz'!J37</f>
        <v>14620</v>
      </c>
      <c r="P43" s="48">
        <f>Tabella2[[#This Row],[Cum_recov]]-O42</f>
        <v>1590</v>
      </c>
      <c r="Q43" s="60">
        <f>Tabella2[[#This Row],[New recovered]]*NOT(ISBLANK(Tabella2[[#This Row],[New recovered]]))</f>
        <v>1590</v>
      </c>
      <c r="R43" s="50">
        <f>Kd*t0d*_xlfn.GAMMA.DIST(Tabella2[[#This Row],[Day]]/t0d,wd+1,1,1)*_xlfn.GAMMA(wd+1)</f>
        <v>13738.49349969877</v>
      </c>
      <c r="S43" s="10">
        <f>Kd*((Tabella2[[#This Row],[Day]]/t0d)^wd)*EXP(-(Tabella2[[#This Row],[Day]]/t0d))</f>
        <v>1127.7996163100026</v>
      </c>
      <c r="T43" s="60">
        <f>Tabella2[[#This Row],[New_Recovered_fit]]*NOT(ISBLANK(Tabella2[[#This Row],[New recovered]]))</f>
        <v>1127.7996163100026</v>
      </c>
      <c r="U43" s="10">
        <f>Tabella2[[#This Row],[New_Recovered_fit]]+CId</f>
        <v>1632.9062005542569</v>
      </c>
      <c r="V43" s="10">
        <f>MAX(Tabella2[[#This Row],[New_Recovered_fit]]-CId,0)</f>
        <v>622.69303206574841</v>
      </c>
      <c r="W43" s="10">
        <f>'dpc-covid19-ita-andamento-naz'!K37</f>
        <v>11591</v>
      </c>
      <c r="X43" s="26">
        <f>Tabella2[[#This Row],[Cum_deaths]]-W42</f>
        <v>812</v>
      </c>
      <c r="Y43" s="65">
        <f>Tabella2[[#This Row],[New deaths]]*NOT(ISBLANK(Tabella2[[#This Row],[New deaths]]))</f>
        <v>812</v>
      </c>
      <c r="Z43" s="50">
        <f>kt*t0t*_xlfn.GAMMA.DIST(Tabella2[[#This Row],[Day]]/t0t,wt+1,1,1)*_xlfn.GAMMA(wt+1)</f>
        <v>10900.495564503348</v>
      </c>
      <c r="AA43" s="10">
        <f>kt*((Tabella2[[#This Row],[Day]]/t0t)^wt)*EXP(-(Tabella2[[#This Row],[Day]]/t0t))</f>
        <v>788.07422596280583</v>
      </c>
      <c r="AB43" s="65">
        <f>Tabella2[[#This Row],[New_Deaths_fit]]*NOT(ISBLANK(Tabella2[[#This Row],[New deaths]]))</f>
        <v>788.07422596280583</v>
      </c>
      <c r="AC43" s="10">
        <f>Tabella2[[#This Row],[New_Deaths_fit]]+CIt</f>
        <v>921.44769905291957</v>
      </c>
      <c r="AD43" s="10">
        <f>MAX(Tabella2[[#This Row],[New_Deaths_fit]]-CIt,0)</f>
        <v>654.70075287269208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Tabella2[[#This Row],[New cases]]*NOT(ISBLANK(Tabella2[[#This Row],[New cases]]))</f>
        <v>4053</v>
      </c>
      <c r="G44" s="50">
        <f>Kn*t0n*_xlfn.GAMMA.DIST(Tabella2[[#This Row],[Day]]/t0n,wn+1,1,1)*_xlfn.GAMMA(wn+1)</f>
        <v>101439.86959543312</v>
      </c>
      <c r="H44" s="10">
        <f>Kn*((Tabella2[[#This Row],[Day]]/t0n)^wn)*EXP(-(Tabella2[[#This Row],[Day]]/t0n))</f>
        <v>5043.7306158760566</v>
      </c>
      <c r="I44" s="56">
        <f>Tabella2[[#This Row],[New_cases_fit]]*NOT(ISBLANK(Tabella2[[#This Row],[New cases]]))</f>
        <v>5043.7306158760566</v>
      </c>
      <c r="J44" s="10">
        <f>Tabella2[[#This Row],[New_cases_fit]]+CIn</f>
        <v>6103.5616855011176</v>
      </c>
      <c r="K44" s="10">
        <f>MAX(Tabella2[[#This Row],[New_cases_fit]]-CIn,0)</f>
        <v>3983.8995462509956</v>
      </c>
      <c r="L44" s="54">
        <f>'dpc-covid19-ita-andamento-naz'!G38</f>
        <v>77635</v>
      </c>
      <c r="M44" s="54">
        <f>'dpc-covid19-ita-andamento-naz'!H38</f>
        <v>2107</v>
      </c>
      <c r="N44" s="54">
        <f>Tabella2[[#This Row],[New_cases_fit]]-Tabella2[[#This Row],[New_Recovered_fit]]-Tabella2[[#This Row],[New_Deaths_fit]]</f>
        <v>3083.8294211771818</v>
      </c>
      <c r="O44" s="10">
        <f>'dpc-covid19-ita-andamento-naz'!J38</f>
        <v>15729</v>
      </c>
      <c r="P44" s="48">
        <f>Tabella2[[#This Row],[Cum_recov]]-O43</f>
        <v>1109</v>
      </c>
      <c r="Q44" s="60">
        <f>Tabella2[[#This Row],[New recovered]]*NOT(ISBLANK(Tabella2[[#This Row],[New recovered]]))</f>
        <v>1109</v>
      </c>
      <c r="R44" s="50">
        <f>Kd*t0d*_xlfn.GAMMA.DIST(Tabella2[[#This Row],[Day]]/t0d,wd+1,1,1)*_xlfn.GAMMA(wd+1)</f>
        <v>14893.39403387586</v>
      </c>
      <c r="S44" s="10">
        <f>Kd*((Tabella2[[#This Row],[Day]]/t0d)^wd)*EXP(-(Tabella2[[#This Row],[Day]]/t0d))</f>
        <v>1182.0515556000985</v>
      </c>
      <c r="T44" s="60">
        <f>Tabella2[[#This Row],[New_Recovered_fit]]*NOT(ISBLANK(Tabella2[[#This Row],[New recovered]]))</f>
        <v>1182.0515556000985</v>
      </c>
      <c r="U44" s="10">
        <f>Tabella2[[#This Row],[New_Recovered_fit]]+CId</f>
        <v>1687.1581398443527</v>
      </c>
      <c r="V44" s="10">
        <f>MAX(Tabella2[[#This Row],[New_Recovered_fit]]-CId,0)</f>
        <v>676.94497135584425</v>
      </c>
      <c r="W44" s="10">
        <f>'dpc-covid19-ita-andamento-naz'!K38</f>
        <v>12428</v>
      </c>
      <c r="X44" s="26">
        <f>Tabella2[[#This Row],[Cum_deaths]]-W43</f>
        <v>837</v>
      </c>
      <c r="Y44" s="65">
        <f>Tabella2[[#This Row],[New deaths]]*NOT(ISBLANK(Tabella2[[#This Row],[New deaths]]))</f>
        <v>837</v>
      </c>
      <c r="Z44" s="50">
        <f>kt*t0t*_xlfn.GAMMA.DIST(Tabella2[[#This Row],[Day]]/t0t,wt+1,1,1)*_xlfn.GAMMA(wt+1)</f>
        <v>11683.857661906057</v>
      </c>
      <c r="AA44" s="10">
        <f>kt*((Tabella2[[#This Row],[Day]]/t0t)^wt)*EXP(-(Tabella2[[#This Row],[Day]]/t0t))</f>
        <v>777.84963909877672</v>
      </c>
      <c r="AB44" s="65">
        <f>Tabella2[[#This Row],[New_Deaths_fit]]*NOT(ISBLANK(Tabella2[[#This Row],[New deaths]]))</f>
        <v>777.84963909877672</v>
      </c>
      <c r="AC44" s="10">
        <f>Tabella2[[#This Row],[New_Deaths_fit]]+CIt</f>
        <v>911.22311218889047</v>
      </c>
      <c r="AD44" s="10">
        <f>MAX(Tabella2[[#This Row],[New_Deaths_fit]]-CIt,0)</f>
        <v>644.47616600866297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Tabella2[[#This Row],[New cases]]*NOT(ISBLANK(Tabella2[[#This Row],[New cases]]))</f>
        <v>4782</v>
      </c>
      <c r="G45" s="50">
        <f>Kn*t0n*_xlfn.GAMMA.DIST(Tabella2[[#This Row],[Day]]/t0n,wn+1,1,1)*_xlfn.GAMMA(wn+1)</f>
        <v>106406.35646704439</v>
      </c>
      <c r="H45" s="10">
        <f>Kn*((Tabella2[[#This Row],[Day]]/t0n)^wn)*EXP(-(Tabella2[[#This Row],[Day]]/t0n))</f>
        <v>4886.6395073072954</v>
      </c>
      <c r="I45" s="56">
        <f>Tabella2[[#This Row],[New_cases_fit]]*NOT(ISBLANK(Tabella2[[#This Row],[New cases]]))</f>
        <v>4886.6395073072954</v>
      </c>
      <c r="J45" s="10">
        <f>Tabella2[[#This Row],[New_cases_fit]]+CIn</f>
        <v>5946.4705769323564</v>
      </c>
      <c r="K45" s="10">
        <f>MAX(Tabella2[[#This Row],[New_cases_fit]]-CIn,0)</f>
        <v>3826.8084376822344</v>
      </c>
      <c r="L45" s="54">
        <f>'dpc-covid19-ita-andamento-naz'!G39</f>
        <v>80572</v>
      </c>
      <c r="M45" s="54">
        <f>'dpc-covid19-ita-andamento-naz'!H39</f>
        <v>2937</v>
      </c>
      <c r="N45" s="54">
        <f>Tabella2[[#This Row],[New_cases_fit]]-Tabella2[[#This Row],[New_Recovered_fit]]-Tabella2[[#This Row],[New_Deaths_fit]]</f>
        <v>2887.0040884310029</v>
      </c>
      <c r="O45" s="10">
        <f>'dpc-covid19-ita-andamento-naz'!J39</f>
        <v>16847</v>
      </c>
      <c r="P45" s="48">
        <f>Tabella2[[#This Row],[Cum_recov]]-O44</f>
        <v>1118</v>
      </c>
      <c r="Q45" s="60">
        <f>Tabella2[[#This Row],[New recovered]]*NOT(ISBLANK(Tabella2[[#This Row],[New recovered]]))</f>
        <v>1118</v>
      </c>
      <c r="R45" s="50">
        <f>Kd*t0d*_xlfn.GAMMA.DIST(Tabella2[[#This Row],[Day]]/t0d,wd+1,1,1)*_xlfn.GAMMA(wd+1)</f>
        <v>16102.685179983164</v>
      </c>
      <c r="S45" s="10">
        <f>Kd*((Tabella2[[#This Row],[Day]]/t0d)^wd)*EXP(-(Tabella2[[#This Row],[Day]]/t0d))</f>
        <v>1236.5692721347402</v>
      </c>
      <c r="T45" s="60">
        <f>Tabella2[[#This Row],[New_Recovered_fit]]*NOT(ISBLANK(Tabella2[[#This Row],[New recovered]]))</f>
        <v>1236.5692721347402</v>
      </c>
      <c r="U45" s="10">
        <f>Tabella2[[#This Row],[New_Recovered_fit]]+CId</f>
        <v>1741.6758563789945</v>
      </c>
      <c r="V45" s="10">
        <f>MAX(Tabella2[[#This Row],[New_Recovered_fit]]-CId,0)</f>
        <v>731.462687890486</v>
      </c>
      <c r="W45" s="10">
        <f>'dpc-covid19-ita-andamento-naz'!K39</f>
        <v>13155</v>
      </c>
      <c r="X45" s="26">
        <f>Tabella2[[#This Row],[Cum_deaths]]-W44</f>
        <v>727</v>
      </c>
      <c r="Y45" s="65">
        <f>Tabella2[[#This Row],[New deaths]]*NOT(ISBLANK(Tabella2[[#This Row],[New deaths]]))</f>
        <v>727</v>
      </c>
      <c r="Z45" s="50">
        <f>kt*t0t*_xlfn.GAMMA.DIST(Tabella2[[#This Row],[Day]]/t0t,wt+1,1,1)*_xlfn.GAMMA(wt+1)</f>
        <v>12454.674751537059</v>
      </c>
      <c r="AA45" s="10">
        <f>kt*((Tabella2[[#This Row],[Day]]/t0t)^wt)*EXP(-(Tabella2[[#This Row],[Day]]/t0t))</f>
        <v>763.06614674155219</v>
      </c>
      <c r="AB45" s="65">
        <f>Tabella2[[#This Row],[New_Deaths_fit]]*NOT(ISBLANK(Tabella2[[#This Row],[New deaths]]))</f>
        <v>763.06614674155219</v>
      </c>
      <c r="AC45" s="10">
        <f>Tabella2[[#This Row],[New_Deaths_fit]]+CIt</f>
        <v>896.43961983166594</v>
      </c>
      <c r="AD45" s="10">
        <f>MAX(Tabella2[[#This Row],[New_Deaths_fit]]-CIt,0)</f>
        <v>629.69267365143844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Tabella2[[#This Row],[New cases]]*NOT(ISBLANK(Tabella2[[#This Row],[New cases]]))</f>
        <v>4668</v>
      </c>
      <c r="G46" s="50">
        <f>Kn*t0n*_xlfn.GAMMA.DIST(Tabella2[[#This Row],[Day]]/t0n,wn+1,1,1)*_xlfn.GAMMA(wn+1)</f>
        <v>111208.42356540488</v>
      </c>
      <c r="H46" s="10">
        <f>Kn*((Tabella2[[#This Row],[Day]]/t0n)^wn)*EXP(-(Tabella2[[#This Row],[Day]]/t0n))</f>
        <v>4715.3692996624841</v>
      </c>
      <c r="I46" s="56">
        <f>Tabella2[[#This Row],[New_cases_fit]]*NOT(ISBLANK(Tabella2[[#This Row],[New cases]]))</f>
        <v>4715.3692996624841</v>
      </c>
      <c r="J46" s="10">
        <f>Tabella2[[#This Row],[New_cases_fit]]+CIn</f>
        <v>5775.2003692875451</v>
      </c>
      <c r="K46" s="10">
        <f>MAX(Tabella2[[#This Row],[New_cases_fit]]-CIn,0)</f>
        <v>3655.5382300374231</v>
      </c>
      <c r="L46" s="54">
        <f>'dpc-covid19-ita-andamento-naz'!G40</f>
        <v>83049</v>
      </c>
      <c r="M46" s="54">
        <f>'dpc-covid19-ita-andamento-naz'!H40</f>
        <v>2477</v>
      </c>
      <c r="N46" s="54">
        <f>Tabella2[[#This Row],[New_cases_fit]]-Tabella2[[#This Row],[New_Recovered_fit]]-Tabella2[[#This Row],[New_Deaths_fit]]</f>
        <v>2679.8522354341549</v>
      </c>
      <c r="O46" s="10">
        <f>'dpc-covid19-ita-andamento-naz'!J40</f>
        <v>18278</v>
      </c>
      <c r="P46" s="48">
        <f>Tabella2[[#This Row],[Cum_recov]]-O45</f>
        <v>1431</v>
      </c>
      <c r="Q46" s="60">
        <f>Tabella2[[#This Row],[New recovered]]*NOT(ISBLANK(Tabella2[[#This Row],[New recovered]]))</f>
        <v>1431</v>
      </c>
      <c r="R46" s="50">
        <f>Kd*t0d*_xlfn.GAMMA.DIST(Tabella2[[#This Row],[Day]]/t0d,wd+1,1,1)*_xlfn.GAMMA(wd+1)</f>
        <v>17366.598362684224</v>
      </c>
      <c r="S46" s="10">
        <f>Kd*((Tabella2[[#This Row],[Day]]/t0d)^wd)*EXP(-(Tabella2[[#This Row],[Day]]/t0d))</f>
        <v>1291.2844132571186</v>
      </c>
      <c r="T46" s="60">
        <f>Tabella2[[#This Row],[New_Recovered_fit]]*NOT(ISBLANK(Tabella2[[#This Row],[New recovered]]))</f>
        <v>1291.2844132571186</v>
      </c>
      <c r="U46" s="10">
        <f>Tabella2[[#This Row],[New_Recovered_fit]]+CId</f>
        <v>1796.3909975013728</v>
      </c>
      <c r="V46" s="10">
        <f>MAX(Tabella2[[#This Row],[New_Recovered_fit]]-CId,0)</f>
        <v>786.17782901286432</v>
      </c>
      <c r="W46" s="10">
        <f>'dpc-covid19-ita-andamento-naz'!K40</f>
        <v>13915</v>
      </c>
      <c r="X46" s="26">
        <f>Tabella2[[#This Row],[Cum_deaths]]-W45</f>
        <v>760</v>
      </c>
      <c r="Y46" s="65">
        <f>Tabella2[[#This Row],[New deaths]]*NOT(ISBLANK(Tabella2[[#This Row],[New deaths]]))</f>
        <v>760</v>
      </c>
      <c r="Z46" s="50">
        <f>kt*t0t*_xlfn.GAMMA.DIST(Tabella2[[#This Row],[Day]]/t0t,wt+1,1,1)*_xlfn.GAMMA(wt+1)</f>
        <v>13208.639691118529</v>
      </c>
      <c r="AA46" s="10">
        <f>kt*((Tabella2[[#This Row],[Day]]/t0t)^wt)*EXP(-(Tabella2[[#This Row],[Day]]/t0t))</f>
        <v>744.23265097121089</v>
      </c>
      <c r="AB46" s="65">
        <f>Tabella2[[#This Row],[New_Deaths_fit]]*NOT(ISBLANK(Tabella2[[#This Row],[New deaths]]))</f>
        <v>744.23265097121089</v>
      </c>
      <c r="AC46" s="10">
        <f>Tabella2[[#This Row],[New_Deaths_fit]]+CIt</f>
        <v>877.60612406132464</v>
      </c>
      <c r="AD46" s="10">
        <f>MAX(Tabella2[[#This Row],[New_Deaths_fit]]-CIt,0)</f>
        <v>610.85917788109714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Tabella2[[#This Row],[New cases]]*NOT(ISBLANK(Tabella2[[#This Row],[New cases]]))</f>
        <v>4585</v>
      </c>
      <c r="G47" s="50">
        <f>Kn*t0n*_xlfn.GAMMA.DIST(Tabella2[[#This Row],[Day]]/t0n,wn+1,1,1)*_xlfn.GAMMA(wn+1)</f>
        <v>115833.30479677068</v>
      </c>
      <c r="H47" s="10">
        <f>Kn*((Tabella2[[#This Row],[Day]]/t0n)^wn)*EXP(-(Tabella2[[#This Row],[Day]]/t0n))</f>
        <v>4532.7231446341684</v>
      </c>
      <c r="I47" s="56">
        <f>Tabella2[[#This Row],[New_cases_fit]]*NOT(ISBLANK(Tabella2[[#This Row],[New cases]]))</f>
        <v>4532.7231446341684</v>
      </c>
      <c r="J47" s="10">
        <f>Tabella2[[#This Row],[New_cases_fit]]+CIn</f>
        <v>5592.5542142592294</v>
      </c>
      <c r="K47" s="10">
        <f>MAX(Tabella2[[#This Row],[New_cases_fit]]-CIn,0)</f>
        <v>3472.8920750091074</v>
      </c>
      <c r="L47" s="54">
        <f>'dpc-covid19-ita-andamento-naz'!G41</f>
        <v>85388</v>
      </c>
      <c r="M47" s="54">
        <f>'dpc-covid19-ita-andamento-naz'!H41</f>
        <v>2339</v>
      </c>
      <c r="N47" s="54">
        <f>Tabella2[[#This Row],[New_cases_fit]]-Tabella2[[#This Row],[New_Recovered_fit]]-Tabella2[[#This Row],[New_Deaths_fit]]</f>
        <v>2464.7104367957827</v>
      </c>
      <c r="O47" s="10">
        <f>'dpc-covid19-ita-andamento-naz'!J41</f>
        <v>19758</v>
      </c>
      <c r="P47" s="48">
        <f>Tabella2[[#This Row],[Cum_recov]]-O46</f>
        <v>1480</v>
      </c>
      <c r="Q47" s="60">
        <f>Tabella2[[#This Row],[New recovered]]*NOT(ISBLANK(Tabella2[[#This Row],[New recovered]]))</f>
        <v>1480</v>
      </c>
      <c r="R47" s="50">
        <f>Kd*t0d*_xlfn.GAMMA.DIST(Tabella2[[#This Row],[Day]]/t0d,wd+1,1,1)*_xlfn.GAMMA(wd+1)</f>
        <v>18685.297715954985</v>
      </c>
      <c r="S47" s="10">
        <f>Kd*((Tabella2[[#This Row],[Day]]/t0d)^wd)*EXP(-(Tabella2[[#This Row],[Day]]/t0d))</f>
        <v>1346.1307544144054</v>
      </c>
      <c r="T47" s="60">
        <f>Tabella2[[#This Row],[New_Recovered_fit]]*NOT(ISBLANK(Tabella2[[#This Row],[New recovered]]))</f>
        <v>1346.1307544144054</v>
      </c>
      <c r="U47" s="10">
        <f>Tabella2[[#This Row],[New_Recovered_fit]]+CId</f>
        <v>1851.2373386586596</v>
      </c>
      <c r="V47" s="10">
        <f>MAX(Tabella2[[#This Row],[New_Recovered_fit]]-CId,0)</f>
        <v>841.02417017015114</v>
      </c>
      <c r="W47" s="10">
        <f>'dpc-covid19-ita-andamento-naz'!K41</f>
        <v>14681</v>
      </c>
      <c r="X47" s="26">
        <f>Tabella2[[#This Row],[Cum_deaths]]-W46</f>
        <v>766</v>
      </c>
      <c r="Y47" s="65">
        <f>Tabella2[[#This Row],[New deaths]]*NOT(ISBLANK(Tabella2[[#This Row],[New deaths]]))</f>
        <v>766</v>
      </c>
      <c r="Z47" s="50">
        <f>kt*t0t*_xlfn.GAMMA.DIST(Tabella2[[#This Row],[Day]]/t0t,wt+1,1,1)*_xlfn.GAMMA(wt+1)</f>
        <v>13941.967562367061</v>
      </c>
      <c r="AA47" s="10">
        <f>kt*((Tabella2[[#This Row],[Day]]/t0t)^wt)*EXP(-(Tabella2[[#This Row],[Day]]/t0t))</f>
        <v>721.88195342398035</v>
      </c>
      <c r="AB47" s="65">
        <f>Tabella2[[#This Row],[New_Deaths_fit]]*NOT(ISBLANK(Tabella2[[#This Row],[New deaths]]))</f>
        <v>721.88195342398035</v>
      </c>
      <c r="AC47" s="10">
        <f>Tabella2[[#This Row],[New_Deaths_fit]]+CIt</f>
        <v>855.2554265140941</v>
      </c>
      <c r="AD47" s="10">
        <f>MAX(Tabella2[[#This Row],[New_Deaths_fit]]-CIt,0)</f>
        <v>588.5084803338666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Tabella2[[#This Row],[New cases]]*NOT(ISBLANK(Tabella2[[#This Row],[New cases]]))</f>
        <v>4805</v>
      </c>
      <c r="G48" s="50">
        <f>Kn*t0n*_xlfn.GAMMA.DIST(Tabella2[[#This Row],[Day]]/t0n,wn+1,1,1)*_xlfn.GAMMA(wn+1)</f>
        <v>120270.96322815907</v>
      </c>
      <c r="H48" s="10">
        <f>Kn*((Tabella2[[#This Row],[Day]]/t0n)^wn)*EXP(-(Tabella2[[#This Row],[Day]]/t0n))</f>
        <v>4341.3510940926071</v>
      </c>
      <c r="I48" s="56">
        <f>Tabella2[[#This Row],[New_cases_fit]]*NOT(ISBLANK(Tabella2[[#This Row],[New cases]]))</f>
        <v>4341.3510940926071</v>
      </c>
      <c r="J48" s="10">
        <f>Tabella2[[#This Row],[New_cases_fit]]+CIn</f>
        <v>5401.1821637176681</v>
      </c>
      <c r="K48" s="10">
        <f>MAX(Tabella2[[#This Row],[New_cases_fit]]-CIn,0)</f>
        <v>3281.5200244675461</v>
      </c>
      <c r="L48" s="54">
        <f>'dpc-covid19-ita-andamento-naz'!G42</f>
        <v>88274</v>
      </c>
      <c r="M48" s="54">
        <f>'dpc-covid19-ita-andamento-naz'!H42</f>
        <v>2886</v>
      </c>
      <c r="N48" s="54">
        <f>Tabella2[[#This Row],[New_cases_fit]]-Tabella2[[#This Row],[New_Recovered_fit]]-Tabella2[[#This Row],[New_Deaths_fit]]</f>
        <v>2243.7516268845334</v>
      </c>
      <c r="O48" s="10">
        <f>'dpc-covid19-ita-andamento-naz'!J42</f>
        <v>20996</v>
      </c>
      <c r="P48" s="48">
        <f>Tabella2[[#This Row],[Cum_recov]]-O47</f>
        <v>1238</v>
      </c>
      <c r="Q48" s="60">
        <f>Tabella2[[#This Row],[New recovered]]*NOT(ISBLANK(Tabella2[[#This Row],[New recovered]]))</f>
        <v>1238</v>
      </c>
      <c r="R48" s="50">
        <f>Kd*t0d*_xlfn.GAMMA.DIST(Tabella2[[#This Row],[Day]]/t0d,wd+1,1,1)*_xlfn.GAMMA(wd+1)</f>
        <v>20058.882222289321</v>
      </c>
      <c r="S48" s="10">
        <f>Kd*((Tabella2[[#This Row],[Day]]/t0d)^wd)*EXP(-(Tabella2[[#This Row],[Day]]/t0d))</f>
        <v>1401.0442199951337</v>
      </c>
      <c r="T48" s="60">
        <f>Tabella2[[#This Row],[New_Recovered_fit]]*NOT(ISBLANK(Tabella2[[#This Row],[New recovered]]))</f>
        <v>1401.0442199951337</v>
      </c>
      <c r="U48" s="10">
        <f>Tabella2[[#This Row],[New_Recovered_fit]]+CId</f>
        <v>1906.150804239388</v>
      </c>
      <c r="V48" s="10">
        <f>MAX(Tabella2[[#This Row],[New_Recovered_fit]]-CId,0)</f>
        <v>895.93763575087951</v>
      </c>
      <c r="W48" s="10">
        <f>'dpc-covid19-ita-andamento-naz'!K42</f>
        <v>15362</v>
      </c>
      <c r="X48" s="26">
        <f>Tabella2[[#This Row],[Cum_deaths]]-W47</f>
        <v>681</v>
      </c>
      <c r="Y48" s="65">
        <f>Tabella2[[#This Row],[New deaths]]*NOT(ISBLANK(Tabella2[[#This Row],[New deaths]]))</f>
        <v>681</v>
      </c>
      <c r="Z48" s="50">
        <f>kt*t0t*_xlfn.GAMMA.DIST(Tabella2[[#This Row],[Day]]/t0t,wt+1,1,1)*_xlfn.GAMMA(wt+1)</f>
        <v>14651.411654382944</v>
      </c>
      <c r="AA48" s="10">
        <f>kt*((Tabella2[[#This Row],[Day]]/t0t)^wt)*EXP(-(Tabella2[[#This Row],[Day]]/t0t))</f>
        <v>696.55524721293989</v>
      </c>
      <c r="AB48" s="65">
        <f>Tabella2[[#This Row],[New_Deaths_fit]]*NOT(ISBLANK(Tabella2[[#This Row],[New deaths]]))</f>
        <v>696.55524721293989</v>
      </c>
      <c r="AC48" s="10">
        <f>Tabella2[[#This Row],[New_Deaths_fit]]+CIt</f>
        <v>829.92872030305364</v>
      </c>
      <c r="AD48" s="10">
        <f>MAX(Tabella2[[#This Row],[New_Deaths_fit]]-CIt,0)</f>
        <v>563.18177412282614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Tabella2[[#This Row],[New cases]]*NOT(ISBLANK(Tabella2[[#This Row],[New cases]]))</f>
        <v>4316</v>
      </c>
      <c r="G49" s="50">
        <f>Kn*t0n*_xlfn.GAMMA.DIST(Tabella2[[#This Row],[Day]]/t0n,wn+1,1,1)*_xlfn.GAMMA(wn+1)</f>
        <v>124513.92407011089</v>
      </c>
      <c r="H49" s="10">
        <f>Kn*((Tabella2[[#This Row],[Day]]/t0n)^wn)*EXP(-(Tabella2[[#This Row],[Day]]/t0n))</f>
        <v>4143.7236719139046</v>
      </c>
      <c r="I49" s="56">
        <f>Tabella2[[#This Row],[New_cases_fit]]*NOT(ISBLANK(Tabella2[[#This Row],[New cases]]))</f>
        <v>4143.7236719139046</v>
      </c>
      <c r="J49" s="10">
        <f>Tabella2[[#This Row],[New_cases_fit]]+CIn</f>
        <v>5203.5547415389656</v>
      </c>
      <c r="K49" s="10">
        <f>MAX(Tabella2[[#This Row],[New_cases_fit]]-CIn,0)</f>
        <v>3083.8926022888436</v>
      </c>
      <c r="L49" s="54">
        <f>'dpc-covid19-ita-andamento-naz'!G43</f>
        <v>91246</v>
      </c>
      <c r="M49" s="54">
        <f>'dpc-covid19-ita-andamento-naz'!H43</f>
        <v>2972</v>
      </c>
      <c r="N49" s="54">
        <f>Tabella2[[#This Row],[New_cases_fit]]-Tabella2[[#This Row],[New_Recovered_fit]]-Tabella2[[#This Row],[New_Deaths_fit]]</f>
        <v>2018.972130462668</v>
      </c>
      <c r="O49" s="10">
        <f>'dpc-covid19-ita-andamento-naz'!J43</f>
        <v>21815</v>
      </c>
      <c r="P49" s="48">
        <f>Tabella2[[#This Row],[Cum_recov]]-O48</f>
        <v>819</v>
      </c>
      <c r="Q49" s="60">
        <f>Tabella2[[#This Row],[New recovered]]*NOT(ISBLANK(Tabella2[[#This Row],[New recovered]]))</f>
        <v>819</v>
      </c>
      <c r="R49" s="50">
        <f>Kd*t0d*_xlfn.GAMMA.DIST(Tabella2[[#This Row],[Day]]/t0d,wd+1,1,1)*_xlfn.GAMMA(wd+1)</f>
        <v>21487.387868787388</v>
      </c>
      <c r="S49" s="10">
        <f>Kd*((Tabella2[[#This Row],[Day]]/t0d)^wd)*EXP(-(Tabella2[[#This Row],[Day]]/t0d))</f>
        <v>1455.9628963972434</v>
      </c>
      <c r="T49" s="60">
        <f>Tabella2[[#This Row],[New_Recovered_fit]]*NOT(ISBLANK(Tabella2[[#This Row],[New recovered]]))</f>
        <v>1455.9628963972434</v>
      </c>
      <c r="U49" s="10">
        <f>Tabella2[[#This Row],[New_Recovered_fit]]+CId</f>
        <v>1961.0694806414976</v>
      </c>
      <c r="V49" s="10">
        <f>MAX(Tabella2[[#This Row],[New_Recovered_fit]]-CId,0)</f>
        <v>950.85631215298918</v>
      </c>
      <c r="W49" s="10">
        <f>'dpc-covid19-ita-andamento-naz'!K43</f>
        <v>15887</v>
      </c>
      <c r="X49" s="26">
        <f>Tabella2[[#This Row],[Cum_deaths]]-W48</f>
        <v>525</v>
      </c>
      <c r="Y49" s="65">
        <f>Tabella2[[#This Row],[New deaths]]*NOT(ISBLANK(Tabella2[[#This Row],[New deaths]]))</f>
        <v>525</v>
      </c>
      <c r="Z49" s="50">
        <f>kt*t0t*_xlfn.GAMMA.DIST(Tabella2[[#This Row],[Day]]/t0t,wt+1,1,1)*_xlfn.GAMMA(wt+1)</f>
        <v>15334.264943324952</v>
      </c>
      <c r="AA49" s="10">
        <f>kt*((Tabella2[[#This Row],[Day]]/t0t)^wt)*EXP(-(Tabella2[[#This Row],[Day]]/t0t))</f>
        <v>668.78864505399292</v>
      </c>
      <c r="AB49" s="65">
        <f>Tabella2[[#This Row],[New_Deaths_fit]]*NOT(ISBLANK(Tabella2[[#This Row],[New deaths]]))</f>
        <v>668.78864505399292</v>
      </c>
      <c r="AC49" s="10">
        <f>Tabella2[[#This Row],[New_Deaths_fit]]+CIt</f>
        <v>802.16211814410667</v>
      </c>
      <c r="AD49" s="10">
        <f>MAX(Tabella2[[#This Row],[New_Deaths_fit]]-CIt,0)</f>
        <v>535.41517196387917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Tabella2[[#This Row],[New cases]]*NOT(ISBLANK(Tabella2[[#This Row],[New cases]]))</f>
        <v>3599</v>
      </c>
      <c r="G50" s="50">
        <f>Kn*t0n*_xlfn.GAMMA.DIST(Tabella2[[#This Row],[Day]]/t0n,wn+1,1,1)*_xlfn.GAMMA(wn+1)</f>
        <v>128557.085298821</v>
      </c>
      <c r="H50" s="10">
        <f>Kn*((Tabella2[[#This Row],[Day]]/t0n)^wn)*EXP(-(Tabella2[[#This Row],[Day]]/t0n))</f>
        <v>3942.1134265221945</v>
      </c>
      <c r="I50" s="56">
        <f>Tabella2[[#This Row],[New_cases_fit]]*NOT(ISBLANK(Tabella2[[#This Row],[New cases]]))</f>
        <v>3942.1134265221945</v>
      </c>
      <c r="J50" s="10">
        <f>Tabella2[[#This Row],[New_cases_fit]]+CIn</f>
        <v>5001.9444961472554</v>
      </c>
      <c r="K50" s="10">
        <f>MAX(Tabella2[[#This Row],[New_cases_fit]]-CIn,0)</f>
        <v>2882.2823568971335</v>
      </c>
      <c r="L50" s="54">
        <f>'dpc-covid19-ita-andamento-naz'!G44</f>
        <v>93187</v>
      </c>
      <c r="M50" s="54">
        <f>'dpc-covid19-ita-andamento-naz'!H44</f>
        <v>1941</v>
      </c>
      <c r="N50" s="54">
        <f>Tabella2[[#This Row],[New_cases_fit]]-Tabella2[[#This Row],[New_Recovered_fit]]-Tabella2[[#This Row],[New_Deaths_fit]]</f>
        <v>1792.1845378826579</v>
      </c>
      <c r="O50" s="10">
        <f>'dpc-covid19-ita-andamento-naz'!J44</f>
        <v>22837</v>
      </c>
      <c r="P50" s="48">
        <f>Tabella2[[#This Row],[Cum_recov]]-O49</f>
        <v>1022</v>
      </c>
      <c r="Q50" s="60">
        <f>Tabella2[[#This Row],[New recovered]]*NOT(ISBLANK(Tabella2[[#This Row],[New recovered]]))</f>
        <v>1022</v>
      </c>
      <c r="R50" s="50">
        <f>Kd*t0d*_xlfn.GAMMA.DIST(Tabella2[[#This Row],[Day]]/t0d,wd+1,1,1)*_xlfn.GAMMA(wd+1)</f>
        <v>22970.789812762912</v>
      </c>
      <c r="S50" s="10">
        <f>Kd*((Tabella2[[#This Row],[Day]]/t0d)^wd)*EXP(-(Tabella2[[#This Row],[Day]]/t0d))</f>
        <v>1510.8270381238146</v>
      </c>
      <c r="T50" s="60">
        <f>Tabella2[[#This Row],[New_Recovered_fit]]*NOT(ISBLANK(Tabella2[[#This Row],[New recovered]]))</f>
        <v>1510.8270381238146</v>
      </c>
      <c r="U50" s="10">
        <f>Tabella2[[#This Row],[New_Recovered_fit]]+CId</f>
        <v>2015.9336223680689</v>
      </c>
      <c r="V50" s="10">
        <f>MAX(Tabella2[[#This Row],[New_Recovered_fit]]-CId,0)</f>
        <v>1005.7204538795604</v>
      </c>
      <c r="W50" s="10">
        <f>'dpc-covid19-ita-andamento-naz'!K44</f>
        <v>16523</v>
      </c>
      <c r="X50" s="26">
        <f>Tabella2[[#This Row],[Cum_deaths]]-W49</f>
        <v>636</v>
      </c>
      <c r="Y50" s="65">
        <f>Tabella2[[#This Row],[New deaths]]*NOT(ISBLANK(Tabella2[[#This Row],[New deaths]]))</f>
        <v>636</v>
      </c>
      <c r="Z50" s="50">
        <f>kt*t0t*_xlfn.GAMMA.DIST(Tabella2[[#This Row],[Day]]/t0t,wt+1,1,1)*_xlfn.GAMMA(wt+1)</f>
        <v>15988.349167450726</v>
      </c>
      <c r="AA50" s="10">
        <f>kt*((Tabella2[[#This Row],[Day]]/t0t)^wt)*EXP(-(Tabella2[[#This Row],[Day]]/t0t))</f>
        <v>639.10185051572216</v>
      </c>
      <c r="AB50" s="65">
        <f>Tabella2[[#This Row],[New_Deaths_fit]]*NOT(ISBLANK(Tabella2[[#This Row],[New deaths]]))</f>
        <v>639.10185051572216</v>
      </c>
      <c r="AC50" s="10">
        <f>Tabella2[[#This Row],[New_Deaths_fit]]+CIt</f>
        <v>772.47532360583591</v>
      </c>
      <c r="AD50" s="10">
        <f>MAX(Tabella2[[#This Row],[New_Deaths_fit]]-CIt,0)</f>
        <v>505.72837742560841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Tabella2[[#This Row],[New cases]]*NOT(ISBLANK(Tabella2[[#This Row],[New cases]]))</f>
        <v>3039</v>
      </c>
      <c r="G51" s="50">
        <f>Kn*t0n*_xlfn.GAMMA.DIST(Tabella2[[#This Row],[Day]]/t0n,wn+1,1,1)*_xlfn.GAMMA(wn+1)</f>
        <v>132397.51342790286</v>
      </c>
      <c r="H51" s="10">
        <f>Kn*((Tabella2[[#This Row],[Day]]/t0n)^wn)*EXP(-(Tabella2[[#This Row],[Day]]/t0n))</f>
        <v>3738.5835173621804</v>
      </c>
      <c r="I51" s="56">
        <f>Tabella2[[#This Row],[New_cases_fit]]*NOT(ISBLANK(Tabella2[[#This Row],[New cases]]))</f>
        <v>3738.5835173621804</v>
      </c>
      <c r="J51" s="10">
        <f>Tabella2[[#This Row],[New_cases_fit]]+CIn</f>
        <v>4798.4145869872409</v>
      </c>
      <c r="K51" s="10">
        <f>MAX(Tabella2[[#This Row],[New_cases_fit]]-CIn,0)</f>
        <v>2678.7524477371198</v>
      </c>
      <c r="L51" s="54">
        <f>'dpc-covid19-ita-andamento-naz'!G45</f>
        <v>94067</v>
      </c>
      <c r="M51" s="54">
        <f>'dpc-covid19-ita-andamento-naz'!H45</f>
        <v>880</v>
      </c>
      <c r="N51" s="54">
        <f>Tabella2[[#This Row],[New_cases_fit]]-Tabella2[[#This Row],[New_Recovered_fit]]-Tabella2[[#This Row],[New_Deaths_fit]]</f>
        <v>1565.0154725806433</v>
      </c>
      <c r="O51" s="10">
        <f>'dpc-covid19-ita-andamento-naz'!J45</f>
        <v>24392</v>
      </c>
      <c r="P51" s="48">
        <f>Tabella2[[#This Row],[Cum_recov]]-O50</f>
        <v>1555</v>
      </c>
      <c r="Q51" s="60">
        <f>Tabella2[[#This Row],[New recovered]]*NOT(ISBLANK(Tabella2[[#This Row],[New recovered]]))</f>
        <v>1555</v>
      </c>
      <c r="R51" s="50">
        <f>Kd*t0d*_xlfn.GAMMA.DIST(Tabella2[[#This Row],[Day]]/t0d,wd+1,1,1)*_xlfn.GAMMA(wd+1)</f>
        <v>24509.004550262634</v>
      </c>
      <c r="S51" s="10">
        <f>Kd*((Tabella2[[#This Row],[Day]]/t0d)^wd)*EXP(-(Tabella2[[#This Row],[Day]]/t0d))</f>
        <v>1565.5790676260242</v>
      </c>
      <c r="T51" s="60">
        <f>Tabella2[[#This Row],[New_Recovered_fit]]*NOT(ISBLANK(Tabella2[[#This Row],[New recovered]]))</f>
        <v>1565.5790676260242</v>
      </c>
      <c r="U51" s="10">
        <f>Tabella2[[#This Row],[New_Recovered_fit]]+CId</f>
        <v>2070.6856518702784</v>
      </c>
      <c r="V51" s="10">
        <f>MAX(Tabella2[[#This Row],[New_Recovered_fit]]-CId,0)</f>
        <v>1060.47248338177</v>
      </c>
      <c r="W51" s="10">
        <f>'dpc-covid19-ita-andamento-naz'!K45</f>
        <v>17127</v>
      </c>
      <c r="X51" s="26">
        <f>Tabella2[[#This Row],[Cum_deaths]]-W50</f>
        <v>604</v>
      </c>
      <c r="Y51" s="65">
        <f>Tabella2[[#This Row],[New deaths]]*NOT(ISBLANK(Tabella2[[#This Row],[New deaths]]))</f>
        <v>604</v>
      </c>
      <c r="Z51" s="50">
        <f>kt*t0t*_xlfn.GAMMA.DIST(Tabella2[[#This Row],[Day]]/t0t,wt+1,1,1)*_xlfn.GAMMA(wt+1)</f>
        <v>16611.993650639732</v>
      </c>
      <c r="AA51" s="10">
        <f>kt*((Tabella2[[#This Row],[Day]]/t0t)^wt)*EXP(-(Tabella2[[#This Row],[Day]]/t0t))</f>
        <v>607.98897715551254</v>
      </c>
      <c r="AB51" s="65">
        <f>Tabella2[[#This Row],[New_Deaths_fit]]*NOT(ISBLANK(Tabella2[[#This Row],[New deaths]]))</f>
        <v>607.98897715551254</v>
      </c>
      <c r="AC51" s="10">
        <f>Tabella2[[#This Row],[New_Deaths_fit]]+CIt</f>
        <v>741.36245024562629</v>
      </c>
      <c r="AD51" s="10">
        <f>MAX(Tabella2[[#This Row],[New_Deaths_fit]]-CIt,0)</f>
        <v>474.6155040653988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Tabella2[[#This Row],[New cases]]*NOT(ISBLANK(Tabella2[[#This Row],[New cases]]))</f>
        <v>3836</v>
      </c>
      <c r="G52" s="50">
        <f>Kn*t0n*_xlfn.GAMMA.DIST(Tabella2[[#This Row],[Day]]/t0n,wn+1,1,1)*_xlfn.GAMMA(wn+1)</f>
        <v>136034.23098241558</v>
      </c>
      <c r="H52" s="10">
        <f>Kn*((Tabella2[[#This Row],[Day]]/t0n)^wn)*EXP(-(Tabella2[[#This Row],[Day]]/t0n))</f>
        <v>3534.9823732845712</v>
      </c>
      <c r="I52" s="56">
        <f>Tabella2[[#This Row],[New_cases_fit]]*NOT(ISBLANK(Tabella2[[#This Row],[New cases]]))</f>
        <v>3534.9823732845712</v>
      </c>
      <c r="J52" s="10">
        <f>Tabella2[[#This Row],[New_cases_fit]]+CIn</f>
        <v>4594.8134429096317</v>
      </c>
      <c r="K52" s="10">
        <f>MAX(Tabella2[[#This Row],[New_cases_fit]]-CIn,0)</f>
        <v>2475.1513036595106</v>
      </c>
      <c r="L52" s="54">
        <f>'dpc-covid19-ita-andamento-naz'!G46</f>
        <v>95262</v>
      </c>
      <c r="M52" s="54">
        <f>'dpc-covid19-ita-andamento-naz'!H46</f>
        <v>1195</v>
      </c>
      <c r="N52" s="54">
        <f>Tabella2[[#This Row],[New_cases_fit]]-Tabella2[[#This Row],[New_Recovered_fit]]-Tabella2[[#This Row],[New_Deaths_fit]]</f>
        <v>1338.9073642113822</v>
      </c>
      <c r="O52" s="10">
        <f>'dpc-covid19-ita-andamento-naz'!J46</f>
        <v>26491</v>
      </c>
      <c r="P52" s="48">
        <f>Tabella2[[#This Row],[Cum_recov]]-O51</f>
        <v>2099</v>
      </c>
      <c r="Q52" s="60">
        <f>Tabella2[[#This Row],[New recovered]]*NOT(ISBLANK(Tabella2[[#This Row],[New recovered]]))</f>
        <v>2099</v>
      </c>
      <c r="R52" s="50">
        <f>Kd*t0d*_xlfn.GAMMA.DIST(Tabella2[[#This Row],[Day]]/t0d,wd+1,1,1)*_xlfn.GAMMA(wd+1)</f>
        <v>26101.892081576352</v>
      </c>
      <c r="S52" s="10">
        <f>Kd*((Tabella2[[#This Row],[Day]]/t0d)^wd)*EXP(-(Tabella2[[#This Row],[Day]]/t0d))</f>
        <v>1620.1635695440459</v>
      </c>
      <c r="T52" s="60">
        <f>Tabella2[[#This Row],[New_Recovered_fit]]*NOT(ISBLANK(Tabella2[[#This Row],[New recovered]]))</f>
        <v>1620.1635695440459</v>
      </c>
      <c r="U52" s="10">
        <f>Tabella2[[#This Row],[New_Recovered_fit]]+CId</f>
        <v>2125.2701537883004</v>
      </c>
      <c r="V52" s="10">
        <f>MAX(Tabella2[[#This Row],[New_Recovered_fit]]-CId,0)</f>
        <v>1115.0569852997917</v>
      </c>
      <c r="W52" s="10">
        <f>'dpc-covid19-ita-andamento-naz'!K46</f>
        <v>17669</v>
      </c>
      <c r="X52" s="26">
        <f>Tabella2[[#This Row],[Cum_deaths]]-W51</f>
        <v>542</v>
      </c>
      <c r="Y52" s="65">
        <f>Tabella2[[#This Row],[New deaths]]*NOT(ISBLANK(Tabella2[[#This Row],[New deaths]]))</f>
        <v>542</v>
      </c>
      <c r="Z52" s="50">
        <f>kt*t0t*_xlfn.GAMMA.DIST(Tabella2[[#This Row],[Day]]/t0t,wt+1,1,1)*_xlfn.GAMMA(wt+1)</f>
        <v>17204.005990142647</v>
      </c>
      <c r="AA52" s="10">
        <f>kt*((Tabella2[[#This Row],[Day]]/t0t)^wt)*EXP(-(Tabella2[[#This Row],[Day]]/t0t))</f>
        <v>575.91143952914319</v>
      </c>
      <c r="AB52" s="65">
        <f>Tabella2[[#This Row],[New_Deaths_fit]]*NOT(ISBLANK(Tabella2[[#This Row],[New deaths]]))</f>
        <v>575.91143952914319</v>
      </c>
      <c r="AC52" s="10">
        <f>Tabella2[[#This Row],[New_Deaths_fit]]+CIt</f>
        <v>709.28491261925694</v>
      </c>
      <c r="AD52" s="10">
        <f>MAX(Tabella2[[#This Row],[New_Deaths_fit]]-CIt,0)</f>
        <v>442.53796643902945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Tabella2[[#This Row],[New cases]]*NOT(ISBLANK(Tabella2[[#This Row],[New cases]]))</f>
        <v>4204</v>
      </c>
      <c r="G53" s="50">
        <f>Kn*t0n*_xlfn.GAMMA.DIST(Tabella2[[#This Row],[Day]]/t0n,wn+1,1,1)*_xlfn.GAMMA(wn+1)</f>
        <v>139468.00127273274</v>
      </c>
      <c r="H53" s="10">
        <f>Kn*((Tabella2[[#This Row],[Day]]/t0n)^wn)*EXP(-(Tabella2[[#This Row],[Day]]/t0n))</f>
        <v>3332.9434796889386</v>
      </c>
      <c r="I53" s="56">
        <f>Tabella2[[#This Row],[New_cases_fit]]*NOT(ISBLANK(Tabella2[[#This Row],[New cases]]))</f>
        <v>3332.9434796889386</v>
      </c>
      <c r="J53" s="10">
        <f>Tabella2[[#This Row],[New_cases_fit]]+CIn</f>
        <v>4392.7745493139992</v>
      </c>
      <c r="K53" s="10">
        <f>MAX(Tabella2[[#This Row],[New_cases_fit]]-CIn,0)</f>
        <v>2273.1124100638781</v>
      </c>
      <c r="L53" s="54">
        <f>'dpc-covid19-ita-andamento-naz'!G47</f>
        <v>96877</v>
      </c>
      <c r="M53" s="54">
        <f>'dpc-covid19-ita-andamento-naz'!H47</f>
        <v>1615</v>
      </c>
      <c r="N53" s="54">
        <f>Tabella2[[#This Row],[New_cases_fit]]-Tabella2[[#This Row],[New_Recovered_fit]]-Tabella2[[#This Row],[New_Deaths_fit]]</f>
        <v>1115.1234202483679</v>
      </c>
      <c r="O53" s="10">
        <f>'dpc-covid19-ita-andamento-naz'!J47</f>
        <v>28470</v>
      </c>
      <c r="P53" s="48">
        <f>Tabella2[[#This Row],[Cum_recov]]-O52</f>
        <v>1979</v>
      </c>
      <c r="Q53" s="60">
        <f>Tabella2[[#This Row],[New recovered]]*NOT(ISBLANK(Tabella2[[#This Row],[New recovered]]))</f>
        <v>1979</v>
      </c>
      <c r="R53" s="50">
        <f>Kd*t0d*_xlfn.GAMMA.DIST(Tabella2[[#This Row],[Day]]/t0d,wd+1,1,1)*_xlfn.GAMMA(wd+1)</f>
        <v>27749.258068434672</v>
      </c>
      <c r="S53" s="10">
        <f>Kd*((Tabella2[[#This Row],[Day]]/t0d)^wd)*EXP(-(Tabella2[[#This Row],[Day]]/t0d))</f>
        <v>1674.5272799352961</v>
      </c>
      <c r="T53" s="60">
        <f>Tabella2[[#This Row],[New_Recovered_fit]]*NOT(ISBLANK(Tabella2[[#This Row],[New recovered]]))</f>
        <v>1674.5272799352961</v>
      </c>
      <c r="U53" s="10">
        <f>Tabella2[[#This Row],[New_Recovered_fit]]+CId</f>
        <v>2179.6338641795505</v>
      </c>
      <c r="V53" s="10">
        <f>MAX(Tabella2[[#This Row],[New_Recovered_fit]]-CId,0)</f>
        <v>1169.4206956910418</v>
      </c>
      <c r="W53" s="10">
        <f>'dpc-covid19-ita-andamento-naz'!K47</f>
        <v>18279</v>
      </c>
      <c r="X53" s="26">
        <f>Tabella2[[#This Row],[Cum_deaths]]-W52</f>
        <v>610</v>
      </c>
      <c r="Y53" s="65">
        <f>Tabella2[[#This Row],[New deaths]]*NOT(ISBLANK(Tabella2[[#This Row],[New deaths]]))</f>
        <v>610</v>
      </c>
      <c r="Z53" s="50">
        <f>kt*t0t*_xlfn.GAMMA.DIST(Tabella2[[#This Row],[Day]]/t0t,wt+1,1,1)*_xlfn.GAMMA(wt+1)</f>
        <v>17763.636616396536</v>
      </c>
      <c r="AA53" s="10">
        <f>kt*((Tabella2[[#This Row],[Day]]/t0t)^wt)*EXP(-(Tabella2[[#This Row],[Day]]/t0t))</f>
        <v>543.29277950527455</v>
      </c>
      <c r="AB53" s="65">
        <f>Tabella2[[#This Row],[New_Deaths_fit]]*NOT(ISBLANK(Tabella2[[#This Row],[New deaths]]))</f>
        <v>543.29277950527455</v>
      </c>
      <c r="AC53" s="10">
        <f>Tabella2[[#This Row],[New_Deaths_fit]]+CIt</f>
        <v>676.6662525953883</v>
      </c>
      <c r="AD53" s="10">
        <f>MAX(Tabella2[[#This Row],[New_Deaths_fit]]-CIt,0)</f>
        <v>409.9193064151608</v>
      </c>
    </row>
    <row r="54" spans="2:30" x14ac:dyDescent="0.3">
      <c r="B54" s="9">
        <v>43931</v>
      </c>
      <c r="C54" s="4">
        <f t="shared" si="0"/>
        <v>46</v>
      </c>
      <c r="E54" s="30"/>
      <c r="F54" s="56">
        <f>Tabella2[[#This Row],[New cases]]*NOT(ISBLANK(Tabella2[[#This Row],[New cases]]))</f>
        <v>0</v>
      </c>
      <c r="G54" s="50">
        <f>Kn*t0n*_xlfn.GAMMA.DIST(Tabella2[[#This Row],[Day]]/t0n,wn+1,1,1)*_xlfn.GAMMA(wn+1)</f>
        <v>142701.11514303577</v>
      </c>
      <c r="H54" s="10">
        <f>Kn*((Tabella2[[#This Row],[Day]]/t0n)^wn)*EXP(-(Tabella2[[#This Row],[Day]]/t0n))</f>
        <v>3133.8893955613089</v>
      </c>
      <c r="I54" s="56">
        <f>Tabella2[[#This Row],[New_cases_fit]]*NOT(ISBLANK(Tabella2[[#This Row],[New cases]]))</f>
        <v>0</v>
      </c>
      <c r="L54" s="55"/>
      <c r="M54" s="54"/>
      <c r="N54" s="54">
        <f>Tabella2[[#This Row],[New_cases_fit]]-Tabella2[[#This Row],[New_Recovered_fit]]-Tabella2[[#This Row],[New_Deaths_fit]]</f>
        <v>894.75507545414212</v>
      </c>
      <c r="P54" s="48"/>
      <c r="Q54" s="60">
        <f>Tabella2[[#This Row],[New recovered]]*NOT(ISBLANK(Tabella2[[#This Row],[New recovered]]))</f>
        <v>0</v>
      </c>
      <c r="R54" s="50">
        <f>Kd*t0d*_xlfn.GAMMA.DIST(Tabella2[[#This Row],[Day]]/t0d,wd+1,1,1)*_xlfn.GAMMA(wd+1)</f>
        <v>29450.85597815357</v>
      </c>
      <c r="S54" s="10">
        <f>Kd*((Tabella2[[#This Row],[Day]]/t0d)^wd)*EXP(-(Tabella2[[#This Row],[Day]]/t0d))</f>
        <v>1728.6190710246515</v>
      </c>
      <c r="T54" s="60">
        <f>Tabella2[[#This Row],[New_Recovered_fit]]*NOT(ISBLANK(Tabella2[[#This Row],[New recovered]]))</f>
        <v>0</v>
      </c>
      <c r="X54" s="26"/>
      <c r="Y54" s="65">
        <f>Tabella2[[#This Row],[New deaths]]*NOT(ISBLANK(Tabella2[[#This Row],[New deaths]]))</f>
        <v>0</v>
      </c>
      <c r="Z54" s="50">
        <f>kt*t0t*_xlfn.GAMMA.DIST(Tabella2[[#This Row],[Day]]/t0t,wt+1,1,1)*_xlfn.GAMMA(wt+1)</f>
        <v>18290.539073624535</v>
      </c>
      <c r="AA54" s="10">
        <f>kt*((Tabella2[[#This Row],[Day]]/t0t)^wt)*EXP(-(Tabella2[[#This Row],[Day]]/t0t))</f>
        <v>510.51524908251525</v>
      </c>
      <c r="AB54" s="65">
        <f>Tabella2[[#This Row],[New_Deaths_fit]]*NOT(ISBLANK(Tabella2[[#This Row],[New deaths]]))</f>
        <v>0</v>
      </c>
    </row>
    <row r="55" spans="2:30" x14ac:dyDescent="0.3">
      <c r="B55" s="9">
        <v>43932</v>
      </c>
      <c r="C55" s="4">
        <f t="shared" si="0"/>
        <v>47</v>
      </c>
      <c r="E55" s="30"/>
      <c r="F55" s="56">
        <f>Tabella2[[#This Row],[New cases]]*NOT(ISBLANK(Tabella2[[#This Row],[New cases]]))</f>
        <v>0</v>
      </c>
      <c r="G55" s="50">
        <f>Kn*t0n*_xlfn.GAMMA.DIST(Tabella2[[#This Row],[Day]]/t0n,wn+1,1,1)*_xlfn.GAMMA(wn+1)</f>
        <v>145737.18350026655</v>
      </c>
      <c r="H55" s="10">
        <f>Kn*((Tabella2[[#This Row],[Day]]/t0n)^wn)*EXP(-(Tabella2[[#This Row],[Day]]/t0n))</f>
        <v>2939.0391638180076</v>
      </c>
      <c r="I55" s="56">
        <f>Tabella2[[#This Row],[New_cases_fit]]*NOT(ISBLANK(Tabella2[[#This Row],[New cases]]))</f>
        <v>0</v>
      </c>
      <c r="L55" s="55"/>
      <c r="M55" s="54"/>
      <c r="N55" s="54">
        <f>Tabella2[[#This Row],[New_cases_fit]]-Tabella2[[#This Row],[New_Recovered_fit]]-Tabella2[[#This Row],[New_Deaths_fit]]</f>
        <v>678.73128719179283</v>
      </c>
      <c r="P55" s="48"/>
      <c r="Q55" s="60">
        <f>Tabella2[[#This Row],[New recovered]]*NOT(ISBLANK(Tabella2[[#This Row],[New recovered]]))</f>
        <v>0</v>
      </c>
      <c r="R55" s="50">
        <f>Kd*t0d*_xlfn.GAMMA.DIST(Tabella2[[#This Row],[Day]]/t0d,wd+1,1,1)*_xlfn.GAMMA(wd+1)</f>
        <v>31206.389210494406</v>
      </c>
      <c r="S55" s="10">
        <f>Kd*((Tabella2[[#This Row],[Day]]/t0d)^wd)*EXP(-(Tabella2[[#This Row],[Day]]/t0d))</f>
        <v>1782.3899319621773</v>
      </c>
      <c r="T55" s="60">
        <f>Tabella2[[#This Row],[New_Recovered_fit]]*NOT(ISBLANK(Tabella2[[#This Row],[New recovered]]))</f>
        <v>0</v>
      </c>
      <c r="X55" s="26"/>
      <c r="Y55" s="65">
        <f>Tabella2[[#This Row],[New deaths]]*NOT(ISBLANK(Tabella2[[#This Row],[New deaths]]))</f>
        <v>0</v>
      </c>
      <c r="Z55" s="50">
        <f>kt*t0t*_xlfn.GAMMA.DIST(Tabella2[[#This Row],[Day]]/t0t,wt+1,1,1)*_xlfn.GAMMA(wt+1)</f>
        <v>18784.727676787144</v>
      </c>
      <c r="AA55" s="10">
        <f>kt*((Tabella2[[#This Row],[Day]]/t0t)^wt)*EXP(-(Tabella2[[#This Row],[Day]]/t0t))</f>
        <v>477.91794466403746</v>
      </c>
      <c r="AB55" s="65">
        <f>Tabella2[[#This Row],[New_Deaths_fit]]*NOT(ISBLANK(Tabella2[[#This Row],[New deaths]]))</f>
        <v>0</v>
      </c>
    </row>
    <row r="56" spans="2:30" x14ac:dyDescent="0.3">
      <c r="B56" s="9">
        <v>43933</v>
      </c>
      <c r="C56" s="4">
        <f t="shared" si="0"/>
        <v>48</v>
      </c>
      <c r="E56" s="30"/>
      <c r="F56" s="56">
        <f>Tabella2[[#This Row],[New cases]]*NOT(ISBLANK(Tabella2[[#This Row],[New cases]]))</f>
        <v>0</v>
      </c>
      <c r="G56" s="50">
        <f>Kn*t0n*_xlfn.GAMMA.DIST(Tabella2[[#This Row],[Day]]/t0n,wn+1,1,1)*_xlfn.GAMMA(wn+1)</f>
        <v>148580.9386290393</v>
      </c>
      <c r="H56" s="10">
        <f>Kn*((Tabella2[[#This Row],[Day]]/t0n)^wn)*EXP(-(Tabella2[[#This Row],[Day]]/t0n))</f>
        <v>2749.4183523631232</v>
      </c>
      <c r="I56" s="56">
        <f>Tabella2[[#This Row],[New_cases_fit]]*NOT(ISBLANK(Tabella2[[#This Row],[New cases]]))</f>
        <v>0</v>
      </c>
      <c r="L56" s="55"/>
      <c r="M56" s="54"/>
      <c r="N56" s="54">
        <f>Tabella2[[#This Row],[New_cases_fit]]-Tabella2[[#This Row],[New_Recovered_fit]]-Tabella2[[#This Row],[New_Deaths_fit]]</f>
        <v>467.82913136817575</v>
      </c>
      <c r="P56" s="48"/>
      <c r="Q56" s="60">
        <f>Tabella2[[#This Row],[New recovered]]*NOT(ISBLANK(Tabella2[[#This Row],[New recovered]]))</f>
        <v>0</v>
      </c>
      <c r="R56" s="50">
        <f>Kd*t0d*_xlfn.GAMMA.DIST(Tabella2[[#This Row],[Day]]/t0d,wd+1,1,1)*_xlfn.GAMMA(wd+1)</f>
        <v>33015.513203471077</v>
      </c>
      <c r="S56" s="10">
        <f>Kd*((Tabella2[[#This Row],[Day]]/t0d)^wd)*EXP(-(Tabella2[[#This Row],[Day]]/t0d))</f>
        <v>1835.7929460298162</v>
      </c>
      <c r="T56" s="60">
        <f>Tabella2[[#This Row],[New_Recovered_fit]]*NOT(ISBLANK(Tabella2[[#This Row],[New recovered]]))</f>
        <v>0</v>
      </c>
      <c r="X56" s="26"/>
      <c r="Y56" s="65">
        <f>Tabella2[[#This Row],[New deaths]]*NOT(ISBLANK(Tabella2[[#This Row],[New deaths]]))</f>
        <v>0</v>
      </c>
      <c r="Z56" s="50">
        <f>kt*t0t*_xlfn.GAMMA.DIST(Tabella2[[#This Row],[Day]]/t0t,wt+1,1,1)*_xlfn.GAMMA(wt+1)</f>
        <v>19246.533988001771</v>
      </c>
      <c r="AA56" s="10">
        <f>kt*((Tabella2[[#This Row],[Day]]/t0t)^wt)*EXP(-(Tabella2[[#This Row],[Day]]/t0t))</f>
        <v>445.7962749651312</v>
      </c>
      <c r="AB56" s="65">
        <f>Tabella2[[#This Row],[New_Deaths_fit]]*NOT(ISBLANK(Tabella2[[#This Row],[New deaths]]))</f>
        <v>0</v>
      </c>
    </row>
    <row r="57" spans="2:30" x14ac:dyDescent="0.3">
      <c r="B57" s="9">
        <v>43934</v>
      </c>
      <c r="C57" s="4">
        <f t="shared" si="0"/>
        <v>49</v>
      </c>
      <c r="E57" s="30"/>
      <c r="F57" s="56">
        <f>Tabella2[[#This Row],[New cases]]*NOT(ISBLANK(Tabella2[[#This Row],[New cases]]))</f>
        <v>0</v>
      </c>
      <c r="G57" s="50">
        <f>Kn*t0n*_xlfn.GAMMA.DIST(Tabella2[[#This Row],[Day]]/t0n,wn+1,1,1)*_xlfn.GAMMA(wn+1)</f>
        <v>151238.04657534629</v>
      </c>
      <c r="H57" s="10">
        <f>Kn*((Tabella2[[#This Row],[Day]]/t0n)^wn)*EXP(-(Tabella2[[#This Row],[Day]]/t0n))</f>
        <v>2565.871043853826</v>
      </c>
      <c r="I57" s="56">
        <f>Tabella2[[#This Row],[New_cases_fit]]*NOT(ISBLANK(Tabella2[[#This Row],[New cases]]))</f>
        <v>0</v>
      </c>
      <c r="L57" s="55"/>
      <c r="M57" s="54"/>
      <c r="N57" s="54">
        <f>Tabella2[[#This Row],[New_cases_fit]]-Tabella2[[#This Row],[New_Recovered_fit]]-Tabella2[[#This Row],[New_Deaths_fit]]</f>
        <v>262.68523628154321</v>
      </c>
      <c r="P57" s="48"/>
      <c r="Q57" s="60">
        <f>Tabella2[[#This Row],[New recovered]]*NOT(ISBLANK(Tabella2[[#This Row],[New recovered]]))</f>
        <v>0</v>
      </c>
      <c r="R57" s="50">
        <f>Kd*t0d*_xlfn.GAMMA.DIST(Tabella2[[#This Row],[Day]]/t0d,wd+1,1,1)*_xlfn.GAMMA(wd+1)</f>
        <v>34877.837514757222</v>
      </c>
      <c r="S57" s="10">
        <f>Kd*((Tabella2[[#This Row],[Day]]/t0d)^wd)*EXP(-(Tabella2[[#This Row],[Day]]/t0d))</f>
        <v>1888.7832646987877</v>
      </c>
      <c r="T57" s="60">
        <f>Tabella2[[#This Row],[New_Recovered_fit]]*NOT(ISBLANK(Tabella2[[#This Row],[New recovered]]))</f>
        <v>0</v>
      </c>
      <c r="X57" s="26"/>
      <c r="Y57" s="65">
        <f>Tabella2[[#This Row],[New deaths]]*NOT(ISBLANK(Tabella2[[#This Row],[New deaths]]))</f>
        <v>0</v>
      </c>
      <c r="Z57" s="50">
        <f>kt*t0t*_xlfn.GAMMA.DIST(Tabella2[[#This Row],[Day]]/t0t,wt+1,1,1)*_xlfn.GAMMA(wt+1)</f>
        <v>19676.563335988241</v>
      </c>
      <c r="AA57" s="10">
        <f>kt*((Tabella2[[#This Row],[Day]]/t0t)^wt)*EXP(-(Tabella2[[#This Row],[Day]]/t0t))</f>
        <v>414.40254287349512</v>
      </c>
      <c r="AB57" s="65">
        <f>Tabella2[[#This Row],[New_Deaths_fit]]*NOT(ISBLANK(Tabella2[[#This Row],[New deaths]]))</f>
        <v>0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Tabella2[[#This Row],[New cases]]*NOT(ISBLANK(Tabella2[[#This Row],[New cases]]))</f>
        <v>0</v>
      </c>
      <c r="G58" s="50">
        <f>Kn*t0n*_xlfn.GAMMA.DIST(Tabella2[[#This Row],[Day]]/t0n,wn+1,1,1)*_xlfn.GAMMA(wn+1)</f>
        <v>153714.93224136563</v>
      </c>
      <c r="H58" s="10">
        <f>Kn*((Tabella2[[#This Row],[Day]]/t0n)^wn)*EXP(-(Tabella2[[#This Row],[Day]]/t0n))</f>
        <v>2389.0731752436877</v>
      </c>
      <c r="I58" s="56">
        <f>Tabella2[[#This Row],[New_cases_fit]]*NOT(ISBLANK(Tabella2[[#This Row],[New cases]]))</f>
        <v>0</v>
      </c>
      <c r="L58" s="55"/>
      <c r="M58" s="54"/>
      <c r="N58" s="54">
        <f>Tabella2[[#This Row],[New_cases_fit]]-Tabella2[[#This Row],[New_Recovered_fit]]-Tabella2[[#This Row],[New_Deaths_fit]]</f>
        <v>63.807668109925885</v>
      </c>
      <c r="P58" s="48"/>
      <c r="Q58" s="60">
        <f>Tabella2[[#This Row],[New recovered]]*NOT(ISBLANK(Tabella2[[#This Row],[New recovered]]))</f>
        <v>0</v>
      </c>
      <c r="R58" s="50">
        <f>Kd*t0d*_xlfn.GAMMA.DIST(Tabella2[[#This Row],[Day]]/t0d,wd+1,1,1)*_xlfn.GAMMA(wd+1)</f>
        <v>36792.927875730129</v>
      </c>
      <c r="S58" s="10">
        <f>Kd*((Tabella2[[#This Row],[Day]]/t0d)^wd)*EXP(-(Tabella2[[#This Row],[Day]]/t0d))</f>
        <v>1941.318078903633</v>
      </c>
      <c r="T58" s="60">
        <f>Tabella2[[#This Row],[New_Recovered_fit]]*NOT(ISBLANK(Tabella2[[#This Row],[New recovered]]))</f>
        <v>0</v>
      </c>
      <c r="X58" s="26"/>
      <c r="Y58" s="65">
        <f>Tabella2[[#This Row],[New deaths]]*NOT(ISBLANK(Tabella2[[#This Row],[New deaths]]))</f>
        <v>0</v>
      </c>
      <c r="Z58" s="50">
        <f>kt*t0t*_xlfn.GAMMA.DIST(Tabella2[[#This Row],[Day]]/t0t,wt+1,1,1)*_xlfn.GAMMA(wt+1)</f>
        <v>20075.652385128597</v>
      </c>
      <c r="AA58" s="10">
        <f>kt*((Tabella2[[#This Row],[Day]]/t0t)^wt)*EXP(-(Tabella2[[#This Row],[Day]]/t0t))</f>
        <v>383.94742823012882</v>
      </c>
      <c r="AB58" s="65">
        <f>Tabella2[[#This Row],[New_Deaths_fit]]*NOT(ISBLANK(Tabella2[[#This Row],[New deaths]]))</f>
        <v>0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Tabella2[[#This Row],[New cases]]*NOT(ISBLANK(Tabella2[[#This Row],[New cases]]))</f>
        <v>0</v>
      </c>
      <c r="G59" s="50">
        <f>Kn*t0n*_xlfn.GAMMA.DIST(Tabella2[[#This Row],[Day]]/t0n,wn+1,1,1)*_xlfn.GAMMA(wn+1)</f>
        <v>156018.61827610651</v>
      </c>
      <c r="H59" s="10">
        <f>Kn*((Tabella2[[#This Row],[Day]]/t0n)^wn)*EXP(-(Tabella2[[#This Row],[Day]]/t0n))</f>
        <v>2219.546710556283</v>
      </c>
      <c r="I59" s="56">
        <f>Tabella2[[#This Row],[New_cases_fit]]*NOT(ISBLANK(Tabella2[[#This Row],[New cases]]))</f>
        <v>0</v>
      </c>
      <c r="L59" s="55"/>
      <c r="M59" s="54"/>
      <c r="N59" s="54">
        <f>Tabella2[[#This Row],[New_cases_fit]]-Tabella2[[#This Row],[New_Recovered_fit]]-Tabella2[[#This Row],[New_Deaths_fit]]</f>
        <v>-128.41204874986539</v>
      </c>
      <c r="P59" s="48"/>
      <c r="Q59" s="60">
        <f>Tabella2[[#This Row],[New recovered]]*NOT(ISBLANK(Tabella2[[#This Row],[New recovered]]))</f>
        <v>0</v>
      </c>
      <c r="R59" s="50">
        <f>Kd*t0d*_xlfn.GAMMA.DIST(Tabella2[[#This Row],[Day]]/t0d,wd+1,1,1)*_xlfn.GAMMA(wd+1)</f>
        <v>38760.308215537276</v>
      </c>
      <c r="S59" s="10">
        <f>Kd*((Tabella2[[#This Row],[Day]]/t0d)^wd)*EXP(-(Tabella2[[#This Row],[Day]]/t0d))</f>
        <v>1993.3565878664392</v>
      </c>
      <c r="T59" s="60">
        <f>Tabella2[[#This Row],[New_Recovered_fit]]*NOT(ISBLANK(Tabella2[[#This Row],[New recovered]]))</f>
        <v>0</v>
      </c>
      <c r="X59" s="26"/>
      <c r="Y59" s="65">
        <f>Tabella2[[#This Row],[New deaths]]*NOT(ISBLANK(Tabella2[[#This Row],[New deaths]]))</f>
        <v>0</v>
      </c>
      <c r="Z59" s="50">
        <f>kt*t0t*_xlfn.GAMMA.DIST(Tabella2[[#This Row],[Day]]/t0t,wt+1,1,1)*_xlfn.GAMMA(wt+1)</f>
        <v>20444.828553729421</v>
      </c>
      <c r="AA59" s="10">
        <f>kt*((Tabella2[[#This Row],[Day]]/t0t)^wt)*EXP(-(Tabella2[[#This Row],[Day]]/t0t))</f>
        <v>354.60217143970914</v>
      </c>
      <c r="AB59" s="65">
        <f>Tabella2[[#This Row],[New_Deaths_fit]]*NOT(ISBLANK(Tabella2[[#This Row],[New 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Tabella2[[#This Row],[New cases]]*NOT(ISBLANK(Tabella2[[#This Row],[New cases]]))</f>
        <v>0</v>
      </c>
      <c r="G60" s="50">
        <f>Kn*t0n*_xlfn.GAMMA.DIST(Tabella2[[#This Row],[Day]]/t0n,wn+1,1,1)*_xlfn.GAMMA(wn+1)</f>
        <v>158156.57837006962</v>
      </c>
      <c r="H60" s="10">
        <f>Kn*((Tabella2[[#This Row],[Day]]/t0n)^wn)*EXP(-(Tabella2[[#This Row],[Day]]/t0n))</f>
        <v>2057.6742096444837</v>
      </c>
      <c r="I60" s="56">
        <f>Tabella2[[#This Row],[New_cases_fit]]*NOT(ISBLANK(Tabella2[[#This Row],[New cases]]))</f>
        <v>0</v>
      </c>
      <c r="L60" s="55"/>
      <c r="M60" s="54"/>
      <c r="N60" s="54">
        <f>Tabella2[[#This Row],[New_cases_fit]]-Tabella2[[#This Row],[New_Recovered_fit]]-Tabella2[[#This Row],[New_Deaths_fit]]</f>
        <v>-313.68703123500063</v>
      </c>
      <c r="P60" s="48"/>
      <c r="Q60" s="60">
        <f>Tabella2[[#This Row],[New recovered]]*NOT(ISBLANK(Tabella2[[#This Row],[New recovered]]))</f>
        <v>0</v>
      </c>
      <c r="R60" s="50">
        <f>Kd*t0d*_xlfn.GAMMA.DIST(Tabella2[[#This Row],[Day]]/t0d,wd+1,1,1)*_xlfn.GAMMA(wd+1)</f>
        <v>40779.462652889866</v>
      </c>
      <c r="S60" s="10">
        <f>Kd*((Tabella2[[#This Row],[Day]]/t0d)^wd)*EXP(-(Tabella2[[#This Row],[Day]]/t0d))</f>
        <v>2044.8599657754289</v>
      </c>
      <c r="T60" s="60">
        <f>Tabella2[[#This Row],[New_Recovered_fit]]*NOT(ISBLANK(Tabella2[[#This Row],[New recovered]]))</f>
        <v>0</v>
      </c>
      <c r="X60" s="26"/>
      <c r="Y60" s="65">
        <f>Tabella2[[#This Row],[New deaths]]*NOT(ISBLANK(Tabella2[[#This Row],[New deaths]]))</f>
        <v>0</v>
      </c>
      <c r="Z60" s="50">
        <f>kt*t0t*_xlfn.GAMMA.DIST(Tabella2[[#This Row],[Day]]/t0t,wt+1,1,1)*_xlfn.GAMMA(wt+1)</f>
        <v>20785.271889337626</v>
      </c>
      <c r="AA60" s="10">
        <f>kt*((Tabella2[[#This Row],[Day]]/t0t)^wt)*EXP(-(Tabella2[[#This Row],[Day]]/t0t))</f>
        <v>326.50127510405537</v>
      </c>
      <c r="AB60" s="65">
        <f>Tabella2[[#This Row],[New_Deaths_fit]]*NOT(ISBLANK(Tabella2[[#This Row],[New 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Tabella2[[#This Row],[New cases]]*NOT(ISBLANK(Tabella2[[#This Row],[New cases]]))</f>
        <v>0</v>
      </c>
      <c r="G61" s="50">
        <f>Kn*t0n*_xlfn.GAMMA.DIST(Tabella2[[#This Row],[Day]]/t0n,wn+1,1,1)*_xlfn.GAMMA(wn+1)</f>
        <v>160136.60516256941</v>
      </c>
      <c r="H61" s="10">
        <f>Kn*((Tabella2[[#This Row],[Day]]/t0n)^wn)*EXP(-(Tabella2[[#This Row],[Day]]/t0n))</f>
        <v>1903.7134302112145</v>
      </c>
      <c r="I61" s="56">
        <f>Tabella2[[#This Row],[New_cases_fit]]*NOT(ISBLANK(Tabella2[[#This Row],[New cases]]))</f>
        <v>0</v>
      </c>
      <c r="L61" s="55"/>
      <c r="M61" s="54"/>
      <c r="N61" s="54">
        <f>Tabella2[[#This Row],[New_cases_fit]]-Tabella2[[#This Row],[New_Recovered_fit]]-Tabella2[[#This Row],[New_Deaths_fit]]</f>
        <v>-491.82345722273203</v>
      </c>
      <c r="P61" s="48"/>
      <c r="Q61" s="60">
        <f>Tabella2[[#This Row],[New recovered]]*NOT(ISBLANK(Tabella2[[#This Row],[New recovered]]))</f>
        <v>0</v>
      </c>
      <c r="R61" s="50">
        <f>Kd*t0d*_xlfn.GAMMA.DIST(Tabella2[[#This Row],[Day]]/t0d,wd+1,1,1)*_xlfn.GAMMA(wd+1)</f>
        <v>42849.837453579188</v>
      </c>
      <c r="S61" s="10">
        <f>Kd*((Tabella2[[#This Row],[Day]]/t0d)^wd)*EXP(-(Tabella2[[#This Row],[Day]]/t0d))</f>
        <v>2095.7913265954758</v>
      </c>
      <c r="T61" s="60">
        <f>Tabella2[[#This Row],[New_Recovered_fit]]*NOT(ISBLANK(Tabella2[[#This Row],[New recovered]]))</f>
        <v>0</v>
      </c>
      <c r="X61" s="26"/>
      <c r="Y61" s="65">
        <f>Tabella2[[#This Row],[New deaths]]*NOT(ISBLANK(Tabella2[[#This Row],[New deaths]]))</f>
        <v>0</v>
      </c>
      <c r="Z61" s="50">
        <f>kt*t0t*_xlfn.GAMMA.DIST(Tabella2[[#This Row],[Day]]/t0t,wt+1,1,1)*_xlfn.GAMMA(wt+1)</f>
        <v>21098.279835975394</v>
      </c>
      <c r="AA61" s="10">
        <f>kt*((Tabella2[[#This Row],[Day]]/t0t)^wt)*EXP(-(Tabella2[[#This Row],[Day]]/t0t))</f>
        <v>299.74556083847074</v>
      </c>
      <c r="AB61" s="65">
        <f>Tabella2[[#This Row],[New_Deaths_fit]]*NOT(ISBLANK(Tabella2[[#This Row],[New 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Tabella2[[#This Row],[New cases]]*NOT(ISBLANK(Tabella2[[#This Row],[New cases]]))</f>
        <v>0</v>
      </c>
      <c r="G62" s="50">
        <f>Kn*t0n*_xlfn.GAMMA.DIST(Tabella2[[#This Row],[Day]]/t0n,wn+1,1,1)*_xlfn.GAMMA(wn+1)</f>
        <v>161966.69264246841</v>
      </c>
      <c r="H62" s="10">
        <f>Kn*((Tabella2[[#This Row],[Day]]/t0n)^wn)*EXP(-(Tabella2[[#This Row],[Day]]/t0n))</f>
        <v>1757.8116689677706</v>
      </c>
      <c r="I62" s="56">
        <f>Tabella2[[#This Row],[New_cases_fit]]*NOT(ISBLANK(Tabella2[[#This Row],[New cases]]))</f>
        <v>0</v>
      </c>
      <c r="L62" s="55"/>
      <c r="M62" s="54"/>
      <c r="N62" s="54">
        <f>Tabella2[[#This Row],[New_cases_fit]]-Tabella2[[#This Row],[New_Recovered_fit]]-Tabella2[[#This Row],[New_Deaths_fit]]</f>
        <v>-662.70945800260915</v>
      </c>
      <c r="P62" s="48"/>
      <c r="Q62" s="60">
        <f>Tabella2[[#This Row],[New recovered]]*NOT(ISBLANK(Tabella2[[#This Row],[New recovered]]))</f>
        <v>0</v>
      </c>
      <c r="R62" s="50">
        <f>Kd*t0d*_xlfn.GAMMA.DIST(Tabella2[[#This Row],[Day]]/t0d,wd+1,1,1)*_xlfn.GAMMA(wd+1)</f>
        <v>44970.842951975537</v>
      </c>
      <c r="S62" s="10">
        <f>Kd*((Tabella2[[#This Row],[Day]]/t0d)^wd)*EXP(-(Tabella2[[#This Row],[Day]]/t0d))</f>
        <v>2146.1156872638667</v>
      </c>
      <c r="T62" s="60">
        <f>Tabella2[[#This Row],[New_Recovered_fit]]*NOT(ISBLANK(Tabella2[[#This Row],[New recovered]]))</f>
        <v>0</v>
      </c>
      <c r="X62" s="26"/>
      <c r="Y62" s="65">
        <f>Tabella2[[#This Row],[New deaths]]*NOT(ISBLANK(Tabella2[[#This Row],[New deaths]]))</f>
        <v>0</v>
      </c>
      <c r="Z62" s="50">
        <f>kt*t0t*_xlfn.GAMMA.DIST(Tabella2[[#This Row],[Day]]/t0t,wt+1,1,1)*_xlfn.GAMMA(wt+1)</f>
        <v>21385.235175898422</v>
      </c>
      <c r="AA62" s="10">
        <f>kt*((Tabella2[[#This Row],[Day]]/t0t)^wt)*EXP(-(Tabella2[[#This Row],[Day]]/t0t))</f>
        <v>274.40543970651311</v>
      </c>
      <c r="AB62" s="65">
        <f>Tabella2[[#This Row],[New_Deaths_fit]]*NOT(ISBLANK(Tabella2[[#This Row],[New 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Tabella2[[#This Row],[New cases]]*NOT(ISBLANK(Tabella2[[#This Row],[New cases]]))</f>
        <v>0</v>
      </c>
      <c r="G63" s="50">
        <f>Kn*t0n*_xlfn.GAMMA.DIST(Tabella2[[#This Row],[Day]]/t0n,wn+1,1,1)*_xlfn.GAMMA(wn+1)</f>
        <v>163654.93266052066</v>
      </c>
      <c r="H63" s="10">
        <f>Kn*((Tabella2[[#This Row],[Day]]/t0n)^wn)*EXP(-(Tabella2[[#This Row],[Day]]/t0n))</f>
        <v>1620.0196098123886</v>
      </c>
      <c r="I63" s="56">
        <f>Tabella2[[#This Row],[New_cases_fit]]*NOT(ISBLANK(Tabella2[[#This Row],[New cases]]))</f>
        <v>0</v>
      </c>
      <c r="L63" s="55"/>
      <c r="M63" s="54"/>
      <c r="N63" s="54">
        <f>Tabella2[[#This Row],[New_cases_fit]]-Tabella2[[#This Row],[New_Recovered_fit]]-Tabella2[[#This Row],[New_Deaths_fit]]</f>
        <v>-826.30459589016937</v>
      </c>
      <c r="P63" s="48"/>
      <c r="Q63" s="60">
        <f>Tabella2[[#This Row],[New recovered]]*NOT(ISBLANK(Tabella2[[#This Row],[New recovered]]))</f>
        <v>0</v>
      </c>
      <c r="R63" s="50">
        <f>Kd*t0d*_xlfn.GAMMA.DIST(Tabella2[[#This Row],[Day]]/t0d,wd+1,1,1)*_xlfn.GAMMA(wd+1)</f>
        <v>47141.855435013211</v>
      </c>
      <c r="S63" s="10">
        <f>Kd*((Tabella2[[#This Row],[Day]]/t0d)^wd)*EXP(-(Tabella2[[#This Row],[Day]]/t0d))</f>
        <v>2195.799929502592</v>
      </c>
      <c r="T63" s="60">
        <f>Tabella2[[#This Row],[New_Recovered_fit]]*NOT(ISBLANK(Tabella2[[#This Row],[New recovered]]))</f>
        <v>0</v>
      </c>
      <c r="X63" s="26"/>
      <c r="Y63" s="65">
        <f>Tabella2[[#This Row],[New deaths]]*NOT(ISBLANK(Tabella2[[#This Row],[New deaths]]))</f>
        <v>0</v>
      </c>
      <c r="Z63" s="50">
        <f>kt*t0t*_xlfn.GAMMA.DIST(Tabella2[[#This Row],[Day]]/t0t,wt+1,1,1)*_xlfn.GAMMA(wt+1)</f>
        <v>21647.577297683285</v>
      </c>
      <c r="AA63" s="10">
        <f>kt*((Tabella2[[#This Row],[Day]]/t0t)^wt)*EXP(-(Tabella2[[#This Row],[Day]]/t0t))</f>
        <v>250.52427619996587</v>
      </c>
      <c r="AB63" s="65">
        <f>Tabella2[[#This Row],[New_Deaths_fit]]*NOT(ISBLANK(Tabella2[[#This Row],[New 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Tabella2[[#This Row],[New cases]]*NOT(ISBLANK(Tabella2[[#This Row],[New cases]]))</f>
        <v>0</v>
      </c>
      <c r="G64" s="50">
        <f>Kn*t0n*_xlfn.GAMMA.DIST(Tabella2[[#This Row],[Day]]/t0n,wn+1,1,1)*_xlfn.GAMMA(wn+1)</f>
        <v>165209.42496753746</v>
      </c>
      <c r="H64" s="10">
        <f>Kn*((Tabella2[[#This Row],[Day]]/t0n)^wn)*EXP(-(Tabella2[[#This Row],[Day]]/t0n))</f>
        <v>1490.3045020196262</v>
      </c>
      <c r="I64" s="56">
        <f>Tabella2[[#This Row],[New_cases_fit]]*NOT(ISBLANK(Tabella2[[#This Row],[New cases]]))</f>
        <v>0</v>
      </c>
      <c r="L64" s="55"/>
      <c r="M64" s="54"/>
      <c r="N64" s="54">
        <f>Tabella2[[#This Row],[New_cases_fit]]-Tabella2[[#This Row],[New_Recovered_fit]]-Tabella2[[#This Row],[New_Deaths_fit]]</f>
        <v>-982.63000499826614</v>
      </c>
      <c r="P64" s="48"/>
      <c r="Q64" s="60">
        <f>Tabella2[[#This Row],[New recovered]]*NOT(ISBLANK(Tabella2[[#This Row],[New recovered]]))</f>
        <v>0</v>
      </c>
      <c r="R64" s="50">
        <f>Kd*t0d*_xlfn.GAMMA.DIST(Tabella2[[#This Row],[Day]]/t0d,wd+1,1,1)*_xlfn.GAMMA(wd+1)</f>
        <v>49362.218987384404</v>
      </c>
      <c r="S64" s="10">
        <f>Kd*((Tabella2[[#This Row],[Day]]/t0d)^wd)*EXP(-(Tabella2[[#This Row],[Day]]/t0d))</f>
        <v>2244.812760458326</v>
      </c>
      <c r="T64" s="60">
        <f>Tabella2[[#This Row],[New_Recovered_fit]]*NOT(ISBLANK(Tabella2[[#This Row],[New recovered]]))</f>
        <v>0</v>
      </c>
      <c r="X64" s="26"/>
      <c r="Y64" s="65">
        <f>Tabella2[[#This Row],[New deaths]]*NOT(ISBLANK(Tabella2[[#This Row],[New deaths]]))</f>
        <v>0</v>
      </c>
      <c r="Z64" s="50">
        <f>kt*t0t*_xlfn.GAMMA.DIST(Tabella2[[#This Row],[Day]]/t0t,wt+1,1,1)*_xlfn.GAMMA(wt+1)</f>
        <v>21886.776832891373</v>
      </c>
      <c r="AA64" s="10">
        <f>kt*((Tabella2[[#This Row],[Day]]/t0t)^wt)*EXP(-(Tabella2[[#This Row],[Day]]/t0t))</f>
        <v>228.1217465595663</v>
      </c>
      <c r="AB64" s="65">
        <f>Tabella2[[#This Row],[New_Deaths_fit]]*NOT(ISBLANK(Tabella2[[#This Row],[New 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Tabella2[[#This Row],[New cases]]*NOT(ISBLANK(Tabella2[[#This Row],[New cases]]))</f>
        <v>0</v>
      </c>
      <c r="G65" s="50">
        <f>Kn*t0n*_xlfn.GAMMA.DIST(Tabella2[[#This Row],[Day]]/t0n,wn+1,1,1)*_xlfn.GAMMA(wn+1)</f>
        <v>166638.20004024467</v>
      </c>
      <c r="H65" s="10">
        <f>Kn*((Tabella2[[#This Row],[Day]]/t0n)^wn)*EXP(-(Tabella2[[#This Row],[Day]]/t0n))</f>
        <v>1368.5625396221637</v>
      </c>
      <c r="I65" s="56">
        <f>Tabella2[[#This Row],[New_cases_fit]]*NOT(ISBLANK(Tabella2[[#This Row],[New cases]]))</f>
        <v>0</v>
      </c>
      <c r="L65" s="55"/>
      <c r="M65" s="54"/>
      <c r="N65" s="54">
        <f>Tabella2[[#This Row],[New_cases_fit]]-Tabella2[[#This Row],[New_Recovered_fit]]-Tabella2[[#This Row],[New_Deaths_fit]]</f>
        <v>-1131.759244607962</v>
      </c>
      <c r="P65" s="48"/>
      <c r="Q65" s="60">
        <f>Tabella2[[#This Row],[New recovered]]*NOT(ISBLANK(Tabella2[[#This Row],[New recovered]]))</f>
        <v>0</v>
      </c>
      <c r="R65" s="50">
        <f>Kd*t0d*_xlfn.GAMMA.DIST(Tabella2[[#This Row],[Day]]/t0d,wd+1,1,1)*_xlfn.GAMMA(wd+1)</f>
        <v>51631.247296868169</v>
      </c>
      <c r="S65" s="10">
        <f>Kd*((Tabella2[[#This Row],[Day]]/t0d)^wd)*EXP(-(Tabella2[[#This Row],[Day]]/t0d))</f>
        <v>2293.1246723628983</v>
      </c>
      <c r="T65" s="60">
        <f>Tabella2[[#This Row],[New_Recovered_fit]]*NOT(ISBLANK(Tabella2[[#This Row],[New recovered]]))</f>
        <v>0</v>
      </c>
      <c r="X65" s="26"/>
      <c r="Y65" s="65">
        <f>Tabella2[[#This Row],[New deaths]]*NOT(ISBLANK(Tabella2[[#This Row],[New deaths]]))</f>
        <v>0</v>
      </c>
      <c r="Z65" s="50">
        <f>kt*t0t*_xlfn.GAMMA.DIST(Tabella2[[#This Row],[Day]]/t0t,wt+1,1,1)*_xlfn.GAMMA(wt+1)</f>
        <v>22104.313614293183</v>
      </c>
      <c r="AA65" s="10">
        <f>kt*((Tabella2[[#This Row],[Day]]/t0t)^wt)*EXP(-(Tabella2[[#This Row],[Day]]/t0t))</f>
        <v>207.19711186722759</v>
      </c>
      <c r="AB65" s="65">
        <f>Tabella2[[#This Row],[New_Deaths_fit]]*NOT(ISBLANK(Tabella2[[#This Row],[New 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Tabella2[[#This Row],[New cases]]*NOT(ISBLANK(Tabella2[[#This Row],[New cases]]))</f>
        <v>0</v>
      </c>
      <c r="G66" s="50">
        <f>Kn*t0n*_xlfn.GAMMA.DIST(Tabella2[[#This Row],[Day]]/t0n,wn+1,1,1)*_xlfn.GAMMA(wn+1)</f>
        <v>167949.15384916725</v>
      </c>
      <c r="H66" s="10">
        <f>Kn*((Tabella2[[#This Row],[Day]]/t0n)^wn)*EXP(-(Tabella2[[#This Row],[Day]]/t0n))</f>
        <v>1254.6303546379622</v>
      </c>
      <c r="I66" s="56">
        <f>Tabella2[[#This Row],[New_cases_fit]]*NOT(ISBLANK(Tabella2[[#This Row],[New cases]]))</f>
        <v>0</v>
      </c>
      <c r="L66" s="55"/>
      <c r="M66" s="54"/>
      <c r="N66" s="54">
        <f>Tabella2[[#This Row],[New_cases_fit]]-Tabella2[[#This Row],[New_Recovered_fit]]-Tabella2[[#This Row],[New_Deaths_fit]]</f>
        <v>-1273.8098910790725</v>
      </c>
      <c r="P66" s="48"/>
      <c r="Q66" s="60">
        <f>Tabella2[[#This Row],[New recovered]]*NOT(ISBLANK(Tabella2[[#This Row],[New recovered]]))</f>
        <v>0</v>
      </c>
      <c r="R66" s="50">
        <f>Kd*t0d*_xlfn.GAMMA.DIST(Tabella2[[#This Row],[Day]]/t0d,wd+1,1,1)*_xlfn.GAMMA(wd+1)</f>
        <v>53948.225418904272</v>
      </c>
      <c r="S66" s="10">
        <f>Kd*((Tabella2[[#This Row],[Day]]/t0d)^wd)*EXP(-(Tabella2[[#This Row],[Day]]/t0d))</f>
        <v>2340.7079013902548</v>
      </c>
      <c r="T66" s="60">
        <f>Tabella2[[#This Row],[New_Recovered_fit]]*NOT(ISBLANK(Tabella2[[#This Row],[New recovered]]))</f>
        <v>0</v>
      </c>
      <c r="X66" s="26"/>
      <c r="Y66" s="65">
        <f>Tabella2[[#This Row],[New deaths]]*NOT(ISBLANK(Tabella2[[#This Row],[New deaths]]))</f>
        <v>0</v>
      </c>
      <c r="Z66" s="50">
        <f>kt*t0t*_xlfn.GAMMA.DIST(Tabella2[[#This Row],[Day]]/t0t,wt+1,1,1)*_xlfn.GAMMA(wt+1)</f>
        <v>22301.657838210358</v>
      </c>
      <c r="AA66" s="10">
        <f>kt*((Tabella2[[#This Row],[Day]]/t0t)^wt)*EXP(-(Tabella2[[#This Row],[Day]]/t0t))</f>
        <v>187.73234432677995</v>
      </c>
      <c r="AB66" s="65">
        <f>Tabella2[[#This Row],[New_Deaths_fit]]*NOT(ISBLANK(Tabella2[[#This Row],[New 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Tabella2[[#This Row],[New cases]]*NOT(ISBLANK(Tabella2[[#This Row],[New cases]]))</f>
        <v>0</v>
      </c>
      <c r="G67" s="50">
        <f>Kn*t0n*_xlfn.GAMMA.DIST(Tabella2[[#This Row],[Day]]/t0n,wn+1,1,1)*_xlfn.GAMMA(wn+1)</f>
        <v>169149.99365359257</v>
      </c>
      <c r="H67" s="10">
        <f>Kn*((Tabella2[[#This Row],[Day]]/t0n)^wn)*EXP(-(Tabella2[[#This Row],[Day]]/t0n))</f>
        <v>1148.2955718999003</v>
      </c>
      <c r="I67" s="56">
        <f>Tabella2[[#This Row],[New_cases_fit]]*NOT(ISBLANK(Tabella2[[#This Row],[New cases]]))</f>
        <v>0</v>
      </c>
      <c r="L67" s="55"/>
      <c r="M67" s="54"/>
      <c r="N67" s="54">
        <f>Tabella2[[#This Row],[New_cases_fit]]-Tabella2[[#This Row],[New_Recovered_fit]]-Tabella2[[#This Row],[New_Deaths_fit]]</f>
        <v>-1408.9358752061282</v>
      </c>
      <c r="P67" s="48"/>
      <c r="Q67" s="60">
        <f>Tabella2[[#This Row],[New recovered]]*NOT(ISBLANK(Tabella2[[#This Row],[New recovered]]))</f>
        <v>0</v>
      </c>
      <c r="R67" s="50">
        <f>Kd*t0d*_xlfn.GAMMA.DIST(Tabella2[[#This Row],[Day]]/t0d,wd+1,1,1)*_xlfn.GAMMA(wd+1)</f>
        <v>56312.41149968942</v>
      </c>
      <c r="S67" s="10">
        <f>Kd*((Tabella2[[#This Row],[Day]]/t0d)^wd)*EXP(-(Tabella2[[#This Row],[Day]]/t0d))</f>
        <v>2387.5363858705373</v>
      </c>
      <c r="T67" s="60">
        <f>Tabella2[[#This Row],[New_Recovered_fit]]*NOT(ISBLANK(Tabella2[[#This Row],[New recovered]]))</f>
        <v>0</v>
      </c>
      <c r="X67" s="26"/>
      <c r="Y67" s="65">
        <f>Tabella2[[#This Row],[New deaths]]*NOT(ISBLANK(Tabella2[[#This Row],[New deaths]]))</f>
        <v>0</v>
      </c>
      <c r="Z67" s="50">
        <f>kt*t0t*_xlfn.GAMMA.DIST(Tabella2[[#This Row],[Day]]/t0t,wt+1,1,1)*_xlfn.GAMMA(wt+1)</f>
        <v>22480.254260158104</v>
      </c>
      <c r="AA67" s="10">
        <f>kt*((Tabella2[[#This Row],[Day]]/t0t)^wt)*EXP(-(Tabella2[[#This Row],[Day]]/t0t))</f>
        <v>169.69506123549129</v>
      </c>
      <c r="AB67" s="65">
        <f>Tabella2[[#This Row],[New_Deaths_fit]]*NOT(ISBLANK(Tabella2[[#This Row],[New 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Tabella2[[#This Row],[New cases]]*NOT(ISBLANK(Tabella2[[#This Row],[New cases]]))</f>
        <v>0</v>
      </c>
      <c r="G68" s="50">
        <f>Kn*t0n*_xlfn.GAMMA.DIST(Tabella2[[#This Row],[Day]]/t0n,wn+1,1,1)*_xlfn.GAMMA(wn+1)</f>
        <v>170248.19387149118</v>
      </c>
      <c r="H68" s="10">
        <f>Kn*((Tabella2[[#This Row],[Day]]/t0n)^wn)*EXP(-(Tabella2[[#This Row],[Day]]/t0n))</f>
        <v>1049.3064024402872</v>
      </c>
      <c r="I68" s="56">
        <f>Tabella2[[#This Row],[New_cases_fit]]*NOT(ISBLANK(Tabella2[[#This Row],[New cases]]))</f>
        <v>0</v>
      </c>
      <c r="L68" s="55"/>
      <c r="M68" s="54"/>
      <c r="N68" s="54">
        <f>Tabella2[[#This Row],[New_cases_fit]]-Tabella2[[#This Row],[New_Recovered_fit]]-Tabella2[[#This Row],[New_Deaths_fit]]</f>
        <v>-1537.3205567807991</v>
      </c>
      <c r="P68" s="48"/>
      <c r="Q68" s="60">
        <f>Tabella2[[#This Row],[New recovered]]*NOT(ISBLANK(Tabella2[[#This Row],[New recovered]]))</f>
        <v>0</v>
      </c>
      <c r="R68" s="50">
        <f>Kd*t0d*_xlfn.GAMMA.DIST(Tabella2[[#This Row],[Day]]/t0d,wd+1,1,1)*_xlfn.GAMMA(wd+1)</f>
        <v>58723.038457228198</v>
      </c>
      <c r="S68" s="10">
        <f>Kd*((Tabella2[[#This Row],[Day]]/t0d)^wd)*EXP(-(Tabella2[[#This Row],[Day]]/t0d))</f>
        <v>2433.5857240078353</v>
      </c>
      <c r="T68" s="60">
        <f>Tabella2[[#This Row],[New_Recovered_fit]]*NOT(ISBLANK(Tabella2[[#This Row],[New recovered]]))</f>
        <v>0</v>
      </c>
      <c r="X68" s="26"/>
      <c r="Y68" s="65">
        <f>Tabella2[[#This Row],[New deaths]]*NOT(ISBLANK(Tabella2[[#This Row],[New deaths]]))</f>
        <v>0</v>
      </c>
      <c r="Z68" s="50">
        <f>kt*t0t*_xlfn.GAMMA.DIST(Tabella2[[#This Row],[Day]]/t0t,wt+1,1,1)*_xlfn.GAMMA(wt+1)</f>
        <v>22641.509214675327</v>
      </c>
      <c r="AA68" s="10">
        <f>kt*((Tabella2[[#This Row],[Day]]/t0t)^wt)*EXP(-(Tabella2[[#This Row],[Day]]/t0t))</f>
        <v>153.04123521325101</v>
      </c>
      <c r="AB68" s="65">
        <f>Tabella2[[#This Row],[New_Deaths_fit]]*NOT(ISBLANK(Tabella2[[#This Row],[New 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Tabella2[[#This Row],[New cases]]*NOT(ISBLANK(Tabella2[[#This Row],[New cases]]))</f>
        <v>0</v>
      </c>
      <c r="G69" s="50">
        <f>Kn*t0n*_xlfn.GAMMA.DIST(Tabella2[[#This Row],[Day]]/t0n,wn+1,1,1)*_xlfn.GAMMA(wn+1)</f>
        <v>171250.96106155706</v>
      </c>
      <c r="H69" s="10">
        <f>Kn*((Tabella2[[#This Row],[Day]]/t0n)^wn)*EXP(-(Tabella2[[#This Row],[Day]]/t0n))</f>
        <v>957.38027619154821</v>
      </c>
      <c r="I69" s="56">
        <f>Tabella2[[#This Row],[New_cases_fit]]*NOT(ISBLANK(Tabella2[[#This Row],[New cases]]))</f>
        <v>0</v>
      </c>
      <c r="L69" s="55"/>
      <c r="M69" s="54"/>
      <c r="N69" s="54">
        <f>Tabella2[[#This Row],[New_cases_fit]]-Tabella2[[#This Row],[New_Recovered_fit]]-Tabella2[[#This Row],[New_Deaths_fit]]</f>
        <v>-1659.170516328084</v>
      </c>
      <c r="P69" s="48"/>
      <c r="Q69" s="60">
        <f>Tabella2[[#This Row],[New recovered]]*NOT(ISBLANK(Tabella2[[#This Row],[New recovered]]))</f>
        <v>0</v>
      </c>
      <c r="R69" s="50">
        <f>Kd*t0d*_xlfn.GAMMA.DIST(Tabella2[[#This Row],[Day]]/t0d,wd+1,1,1)*_xlfn.GAMMA(wd+1)</f>
        <v>61179.315619909015</v>
      </c>
      <c r="S69" s="10">
        <f>Kd*((Tabella2[[#This Row],[Day]]/t0d)^wd)*EXP(-(Tabella2[[#This Row],[Day]]/t0d))</f>
        <v>2478.8331312352243</v>
      </c>
      <c r="T69" s="60">
        <f>Tabella2[[#This Row],[New_Recovered_fit]]*NOT(ISBLANK(Tabella2[[#This Row],[New recovered]]))</f>
        <v>0</v>
      </c>
      <c r="X69" s="26"/>
      <c r="Y69" s="65">
        <f>Tabella2[[#This Row],[New deaths]]*NOT(ISBLANK(Tabella2[[#This Row],[New deaths]]))</f>
        <v>0</v>
      </c>
      <c r="Z69" s="50">
        <f>kt*t0t*_xlfn.GAMMA.DIST(Tabella2[[#This Row],[Day]]/t0t,wt+1,1,1)*_xlfn.GAMMA(wt+1)</f>
        <v>22786.780224979044</v>
      </c>
      <c r="AA69" s="10">
        <f>kt*((Tabella2[[#This Row],[Day]]/t0t)^wt)*EXP(-(Tabella2[[#This Row],[Day]]/t0t))</f>
        <v>137.71766128440785</v>
      </c>
      <c r="AB69" s="65">
        <f>Tabella2[[#This Row],[New_Deaths_fit]]*NOT(ISBLANK(Tabella2[[#This Row],[New 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Tabella2[[#This Row],[New cases]]*NOT(ISBLANK(Tabella2[[#This Row],[New cases]]))</f>
        <v>0</v>
      </c>
      <c r="G70" s="50">
        <f>Kn*t0n*_xlfn.GAMMA.DIST(Tabella2[[#This Row],[Day]]/t0n,wn+1,1,1)*_xlfn.GAMMA(wn+1)</f>
        <v>172165.20706515689</v>
      </c>
      <c r="H70" s="10">
        <f>Kn*((Tabella2[[#This Row],[Day]]/t0n)^wn)*EXP(-(Tabella2[[#This Row],[Day]]/t0n))</f>
        <v>872.21153374295136</v>
      </c>
      <c r="I70" s="56">
        <f>Tabella2[[#This Row],[New_cases_fit]]*NOT(ISBLANK(Tabella2[[#This Row],[New cases]]))</f>
        <v>0</v>
      </c>
      <c r="L70" s="55"/>
      <c r="M70" s="54"/>
      <c r="N70" s="54">
        <f>Tabella2[[#This Row],[New_cases_fit]]-Tabella2[[#This Row],[New_Recovered_fit]]-Tabella2[[#This Row],[New_Deaths_fit]]</f>
        <v>-1774.7100350472231</v>
      </c>
      <c r="P70" s="48"/>
      <c r="Q70" s="60">
        <f>Tabella2[[#This Row],[New recovered]]*NOT(ISBLANK(Tabella2[[#This Row],[New recovered]]))</f>
        <v>0</v>
      </c>
      <c r="R70" s="50">
        <f>Kd*t0d*_xlfn.GAMMA.DIST(Tabella2[[#This Row],[Day]]/t0d,wd+1,1,1)*_xlfn.GAMMA(wd+1)</f>
        <v>63680.430322305903</v>
      </c>
      <c r="S70" s="10">
        <f>Kd*((Tabella2[[#This Row],[Day]]/t0d)^wd)*EXP(-(Tabella2[[#This Row],[Day]]/t0d))</f>
        <v>2523.2573973288368</v>
      </c>
      <c r="T70" s="60">
        <f>Tabella2[[#This Row],[New_Recovered_fit]]*NOT(ISBLANK(Tabella2[[#This Row],[New recovered]]))</f>
        <v>0</v>
      </c>
      <c r="X70" s="26"/>
      <c r="Y70" s="65">
        <f>Tabella2[[#This Row],[New deaths]]*NOT(ISBLANK(Tabella2[[#This Row],[New deaths]]))</f>
        <v>0</v>
      </c>
      <c r="Z70" s="50">
        <f>kt*t0t*_xlfn.GAMMA.DIST(Tabella2[[#This Row],[Day]]/t0t,wt+1,1,1)*_xlfn.GAMMA(wt+1)</f>
        <v>22917.367953861944</v>
      </c>
      <c r="AA70" s="10">
        <f>kt*((Tabella2[[#This Row],[Day]]/t0t)^wt)*EXP(-(Tabella2[[#This Row],[Day]]/t0t))</f>
        <v>123.6641714613376</v>
      </c>
      <c r="AB70" s="65">
        <f>Tabella2[[#This Row],[New_Deaths_fit]]*NOT(ISBLANK(Tabella2[[#This Row],[New 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Tabella2[[#This Row],[New cases]]*NOT(ISBLANK(Tabella2[[#This Row],[New cases]]))</f>
        <v>0</v>
      </c>
      <c r="G71" s="50">
        <f>Kn*t0n*_xlfn.GAMMA.DIST(Tabella2[[#This Row],[Day]]/t0n,wn+1,1,1)*_xlfn.GAMMA(wn+1)</f>
        <v>172997.52938340863</v>
      </c>
      <c r="H71" s="10">
        <f>Kn*((Tabella2[[#This Row],[Day]]/t0n)^wn)*EXP(-(Tabella2[[#This Row],[Day]]/t0n))</f>
        <v>793.47821160469312</v>
      </c>
      <c r="I71" s="56">
        <f>Tabella2[[#This Row],[New_cases_fit]]*NOT(ISBLANK(Tabella2[[#This Row],[New cases]]))</f>
        <v>0</v>
      </c>
      <c r="L71" s="55"/>
      <c r="M71" s="54"/>
      <c r="N71" s="54">
        <f>Tabella2[[#This Row],[New_cases_fit]]-Tabella2[[#This Row],[New_Recovered_fit]]-Tabella2[[#This Row],[New_Deaths_fit]]</f>
        <v>-1884.1762274644498</v>
      </c>
      <c r="P71" s="48"/>
      <c r="Q71" s="60">
        <f>Tabella2[[#This Row],[New recovered]]*NOT(ISBLANK(Tabella2[[#This Row],[New recovered]]))</f>
        <v>0</v>
      </c>
      <c r="R71" s="50">
        <f>Kd*t0d*_xlfn.GAMMA.DIST(Tabella2[[#This Row],[Day]]/t0d,wd+1,1,1)*_xlfn.GAMMA(wd+1)</f>
        <v>66225.549458020032</v>
      </c>
      <c r="S71" s="10">
        <f>Kd*((Tabella2[[#This Row],[Day]]/t0d)^wd)*EXP(-(Tabella2[[#This Row],[Day]]/t0d))</f>
        <v>2566.8388433918512</v>
      </c>
      <c r="T71" s="60">
        <f>Tabella2[[#This Row],[New_Recovered_fit]]*NOT(ISBLANK(Tabella2[[#This Row],[New recovered]]))</f>
        <v>0</v>
      </c>
      <c r="X71" s="26"/>
      <c r="Y71" s="65">
        <f>Tabella2[[#This Row],[New deaths]]*NOT(ISBLANK(Tabella2[[#This Row],[New deaths]]))</f>
        <v>0</v>
      </c>
      <c r="Z71" s="50">
        <f>kt*t0t*_xlfn.GAMMA.DIST(Tabella2[[#This Row],[Day]]/t0t,wt+1,1,1)*_xlfn.GAMMA(wt+1)</f>
        <v>23034.510242148659</v>
      </c>
      <c r="AA71" s="10">
        <f>kt*((Tabella2[[#This Row],[Day]]/t0t)^wt)*EXP(-(Tabella2[[#This Row],[Day]]/t0t))</f>
        <v>110.81559567729171</v>
      </c>
      <c r="AB71" s="65">
        <f>Tabella2[[#This Row],[New_Deaths_fit]]*NOT(ISBLANK(Tabella2[[#This Row],[New 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Tabella2[[#This Row],[New cases]]*NOT(ISBLANK(Tabella2[[#This Row],[New cases]]))</f>
        <v>0</v>
      </c>
      <c r="G72" s="50">
        <f>Kn*t0n*_xlfn.GAMMA.DIST(Tabella2[[#This Row],[Day]]/t0n,wn+1,1,1)*_xlfn.GAMMA(wn+1)</f>
        <v>173754.19790484375</v>
      </c>
      <c r="H72" s="10">
        <f>Kn*((Tabella2[[#This Row],[Day]]/t0n)^wn)*EXP(-(Tabella2[[#This Row],[Day]]/t0n))</f>
        <v>720.84796642678043</v>
      </c>
      <c r="I72" s="56">
        <f>Tabella2[[#This Row],[New_cases_fit]]*NOT(ISBLANK(Tabella2[[#This Row],[New cases]]))</f>
        <v>0</v>
      </c>
      <c r="L72" s="55"/>
      <c r="M72" s="54"/>
      <c r="N72" s="54">
        <f>Tabella2[[#This Row],[New_cases_fit]]-Tabella2[[#This Row],[New_Recovered_fit]]-Tabella2[[#This Row],[New_Deaths_fit]]</f>
        <v>-1987.814786797326</v>
      </c>
      <c r="P72" s="48"/>
      <c r="Q72" s="60">
        <f>Tabella2[[#This Row],[New recovered]]*NOT(ISBLANK(Tabella2[[#This Row],[New recovered]]))</f>
        <v>0</v>
      </c>
      <c r="R72" s="50">
        <f>Kd*t0d*_xlfn.GAMMA.DIST(Tabella2[[#This Row],[Day]]/t0d,wd+1,1,1)*_xlfn.GAMMA(wd+1)</f>
        <v>68813.82098948241</v>
      </c>
      <c r="S72" s="10">
        <f>Kd*((Tabella2[[#This Row],[Day]]/t0d)^wd)*EXP(-(Tabella2[[#This Row],[Day]]/t0d))</f>
        <v>2609.5592788091958</v>
      </c>
      <c r="T72" s="60">
        <f>Tabella2[[#This Row],[New_Recovered_fit]]*NOT(ISBLANK(Tabella2[[#This Row],[New recovered]]))</f>
        <v>0</v>
      </c>
      <c r="X72" s="26"/>
      <c r="Y72" s="65">
        <f>Tabella2[[#This Row],[New deaths]]*NOT(ISBLANK(Tabella2[[#This Row],[New deaths]]))</f>
        <v>0</v>
      </c>
      <c r="Z72" s="50">
        <f>kt*t0t*_xlfn.GAMMA.DIST(Tabella2[[#This Row],[Day]]/t0t,wt+1,1,1)*_xlfn.GAMMA(wt+1)</f>
        <v>23139.377983258073</v>
      </c>
      <c r="AA72" s="10">
        <f>kt*((Tabella2[[#This Row],[Day]]/t0t)^wt)*EXP(-(Tabella2[[#This Row],[Day]]/t0t))</f>
        <v>99.103474414910607</v>
      </c>
      <c r="AB72" s="65">
        <f>Tabella2[[#This Row],[New_Deaths_fit]]*NOT(ISBLANK(Tabella2[[#This Row],[New 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Tabella2[[#This Row],[New cases]]*NOT(ISBLANK(Tabella2[[#This Row],[New cases]]))</f>
        <v>0</v>
      </c>
      <c r="G73" s="50">
        <f>Kn*t0n*_xlfn.GAMMA.DIST(Tabella2[[#This Row],[Day]]/t0n,wn+1,1,1)*_xlfn.GAMMA(wn+1)</f>
        <v>174441.14714870509</v>
      </c>
      <c r="H73" s="10">
        <f>Kn*((Tabella2[[#This Row],[Day]]/t0n)^wn)*EXP(-(Tabella2[[#This Row],[Day]]/t0n))</f>
        <v>653.98319142829826</v>
      </c>
      <c r="I73" s="56">
        <f>Tabella2[[#This Row],[New_cases_fit]]*NOT(ISBLANK(Tabella2[[#This Row],[New cases]]))</f>
        <v>0</v>
      </c>
      <c r="L73" s="55"/>
      <c r="M73" s="54"/>
      <c r="N73" s="54">
        <f>Tabella2[[#This Row],[New_cases_fit]]-Tabella2[[#This Row],[New_Recovered_fit]]-Tabella2[[#This Row],[New_Deaths_fit]]</f>
        <v>-2085.8763001902048</v>
      </c>
      <c r="P73" s="48"/>
      <c r="Q73" s="60">
        <f>Tabella2[[#This Row],[New recovered]]*NOT(ISBLANK(Tabella2[[#This Row],[New recovered]]))</f>
        <v>0</v>
      </c>
      <c r="R73" s="50">
        <f>Kd*t0d*_xlfn.GAMMA.DIST(Tabella2[[#This Row],[Day]]/t0d,wd+1,1,1)*_xlfn.GAMMA(wd+1)</f>
        <v>71444.375414735157</v>
      </c>
      <c r="S73" s="10">
        <f>Kd*((Tabella2[[#This Row],[Day]]/t0d)^wd)*EXP(-(Tabella2[[#This Row],[Day]]/t0d))</f>
        <v>2651.4019582645947</v>
      </c>
      <c r="T73" s="60">
        <f>Tabella2[[#This Row],[New_Recovered_fit]]*NOT(ISBLANK(Tabella2[[#This Row],[New recovered]]))</f>
        <v>0</v>
      </c>
      <c r="X73" s="26"/>
      <c r="Y73" s="65">
        <f>Tabella2[[#This Row],[New deaths]]*NOT(ISBLANK(Tabella2[[#This Row],[New deaths]]))</f>
        <v>0</v>
      </c>
      <c r="Z73" s="50">
        <f>kt*t0t*_xlfn.GAMMA.DIST(Tabella2[[#This Row],[Day]]/t0t,wt+1,1,1)*_xlfn.GAMMA(wt+1)</f>
        <v>23233.072590372642</v>
      </c>
      <c r="AA73" s="10">
        <f>kt*((Tabella2[[#This Row],[Day]]/t0t)^wt)*EXP(-(Tabella2[[#This Row],[Day]]/t0t))</f>
        <v>88.457533353908488</v>
      </c>
      <c r="AB73" s="65">
        <f>Tabella2[[#This Row],[New_Deaths_fit]]*NOT(ISBLANK(Tabella2[[#This Row],[New 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Tabella2[[#This Row],[New cases]]*NOT(ISBLANK(Tabella2[[#This Row],[New cases]]))</f>
        <v>0</v>
      </c>
      <c r="G74" s="50">
        <f>Kn*t0n*_xlfn.GAMMA.DIST(Tabella2[[#This Row],[Day]]/t0n,wn+1,1,1)*_xlfn.GAMMA(wn+1)</f>
        <v>175063.97324494872</v>
      </c>
      <c r="H74" s="10">
        <f>Kn*((Tabella2[[#This Row],[Day]]/t0n)^wn)*EXP(-(Tabella2[[#This Row],[Day]]/t0n))</f>
        <v>592.54538340507133</v>
      </c>
      <c r="I74" s="56">
        <f>Tabella2[[#This Row],[New_cases_fit]]*NOT(ISBLANK(Tabella2[[#This Row],[New cases]]))</f>
        <v>0</v>
      </c>
      <c r="L74" s="55"/>
      <c r="M74" s="54"/>
      <c r="N74" s="54">
        <f>Tabella2[[#This Row],[New_cases_fit]]-Tabella2[[#This Row],[New_Recovered_fit]]-Tabella2[[#This Row],[New_Deaths_fit]]</f>
        <v>-2178.6130895027177</v>
      </c>
      <c r="P74" s="48"/>
      <c r="Q74" s="60">
        <f>Tabella2[[#This Row],[New recovered]]*NOT(ISBLANK(Tabella2[[#This Row],[New recovered]]))</f>
        <v>0</v>
      </c>
      <c r="R74" s="50">
        <f>Kd*t0d*_xlfn.GAMMA.DIST(Tabella2[[#This Row],[Day]]/t0d,wd+1,1,1)*_xlfn.GAMMA(wd+1)</f>
        <v>74116.327191296921</v>
      </c>
      <c r="S74" s="10">
        <f>Kd*((Tabella2[[#This Row],[Day]]/t0d)^wd)*EXP(-(Tabella2[[#This Row],[Day]]/t0d))</f>
        <v>2692.351538903064</v>
      </c>
      <c r="T74" s="60">
        <f>Tabella2[[#This Row],[New_Recovered_fit]]*NOT(ISBLANK(Tabella2[[#This Row],[New recovered]]))</f>
        <v>0</v>
      </c>
      <c r="X74" s="26"/>
      <c r="Y74" s="65">
        <f>Tabella2[[#This Row],[New deaths]]*NOT(ISBLANK(Tabella2[[#This Row],[New deaths]]))</f>
        <v>0</v>
      </c>
      <c r="Z74" s="50">
        <f>kt*t0t*_xlfn.GAMMA.DIST(Tabella2[[#This Row],[Day]]/t0t,wt+1,1,1)*_xlfn.GAMMA(wt+1)</f>
        <v>23316.624824964347</v>
      </c>
      <c r="AA74" s="10">
        <f>kt*((Tabella2[[#This Row],[Day]]/t0t)^wt)*EXP(-(Tabella2[[#This Row],[Day]]/t0t))</f>
        <v>78.806934004725093</v>
      </c>
      <c r="AB74" s="65">
        <f>Tabella2[[#This Row],[New_Deaths_fit]]*NOT(ISBLANK(Tabella2[[#This Row],[New 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Tabella2[[#This Row],[New cases]]*NOT(ISBLANK(Tabella2[[#This Row],[New cases]]))</f>
        <v>0</v>
      </c>
      <c r="G75" s="50">
        <f>Kn*t0n*_xlfn.GAMMA.DIST(Tabella2[[#This Row],[Day]]/t0n,wn+1,1,1)*_xlfn.GAMMA(wn+1)</f>
        <v>175627.9349319897</v>
      </c>
      <c r="H75" s="10">
        <f>Kn*((Tabella2[[#This Row],[Day]]/t0n)^wn)*EXP(-(Tabella2[[#This Row],[Day]]/t0n))</f>
        <v>536.19882155294283</v>
      </c>
      <c r="I75" s="56">
        <f>Tabella2[[#This Row],[New_cases_fit]]*NOT(ISBLANK(Tabella2[[#This Row],[New cases]]))</f>
        <v>0</v>
      </c>
      <c r="L75" s="55"/>
      <c r="M75" s="54"/>
      <c r="N75" s="54">
        <f>Tabella2[[#This Row],[New_cases_fit]]-Tabella2[[#This Row],[New_Recovered_fit]]-Tabella2[[#This Row],[New_Deaths_fit]]</f>
        <v>-2266.2765329538838</v>
      </c>
      <c r="P75" s="48"/>
      <c r="Q75" s="60">
        <f>Tabella2[[#This Row],[New recovered]]*NOT(ISBLANK(Tabella2[[#This Row],[New recovered]]))</f>
        <v>0</v>
      </c>
      <c r="R75" s="50">
        <f>Kd*t0d*_xlfn.GAMMA.DIST(Tabella2[[#This Row],[Day]]/t0d,wd+1,1,1)*_xlfn.GAMMA(wd+1)</f>
        <v>76828.776117293572</v>
      </c>
      <c r="S75" s="10">
        <f>Kd*((Tabella2[[#This Row],[Day]]/t0d)^wd)*EXP(-(Tabella2[[#This Row],[Day]]/t0d))</f>
        <v>2732.3940377141425</v>
      </c>
      <c r="T75" s="60">
        <f>Tabella2[[#This Row],[New_Recovered_fit]]*NOT(ISBLANK(Tabella2[[#This Row],[New recovered]]))</f>
        <v>0</v>
      </c>
      <c r="X75" s="26"/>
      <c r="Y75" s="65">
        <f>Tabella2[[#This Row],[New deaths]]*NOT(ISBLANK(Tabella2[[#This Row],[New deaths]]))</f>
        <v>0</v>
      </c>
      <c r="Z75" s="50">
        <f>kt*t0t*_xlfn.GAMMA.DIST(Tabella2[[#This Row],[Day]]/t0t,wt+1,1,1)*_xlfn.GAMMA(wt+1)</f>
        <v>23390.994770730209</v>
      </c>
      <c r="AA75" s="10">
        <f>kt*((Tabella2[[#This Row],[Day]]/t0t)^wt)*EXP(-(Tabella2[[#This Row],[Day]]/t0t))</f>
        <v>70.081316792683978</v>
      </c>
      <c r="AB75" s="65">
        <f>Tabella2[[#This Row],[New_Deaths_fit]]*NOT(ISBLANK(Tabella2[[#This Row],[New 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Tabella2[[#This Row],[New cases]]*NOT(ISBLANK(Tabella2[[#This Row],[New cases]]))</f>
        <v>0</v>
      </c>
      <c r="G76" s="50">
        <f>Kn*t0n*_xlfn.GAMMA.DIST(Tabella2[[#This Row],[Day]]/t0n,wn+1,1,1)*_xlfn.GAMMA(wn+1)</f>
        <v>176137.95791512393</v>
      </c>
      <c r="H76" s="10">
        <f>Kn*((Tabella2[[#This Row],[Day]]/t0n)^wn)*EXP(-(Tabella2[[#This Row],[Day]]/t0n))</f>
        <v>484.61362037801428</v>
      </c>
      <c r="I76" s="56">
        <f>Tabella2[[#This Row],[New_cases_fit]]*NOT(ISBLANK(Tabella2[[#This Row],[New cases]]))</f>
        <v>0</v>
      </c>
      <c r="L76" s="55"/>
      <c r="M76" s="54"/>
      <c r="N76" s="54">
        <f>Tabella2[[#This Row],[New_cases_fit]]-Tabella2[[#This Row],[New_Recovered_fit]]-Tabella2[[#This Row],[New_Deaths_fit]]</f>
        <v>-2349.1148234171146</v>
      </c>
      <c r="P76" s="48"/>
      <c r="Q76" s="60">
        <f>Tabella2[[#This Row],[New recovered]]*NOT(ISBLANK(Tabella2[[#This Row],[New recovered]]))</f>
        <v>0</v>
      </c>
      <c r="R76" s="50">
        <f>Kd*t0d*_xlfn.GAMMA.DIST(Tabella2[[#This Row],[Day]]/t0d,wd+1,1,1)*_xlfn.GAMMA(wd+1)</f>
        <v>79580.80867011263</v>
      </c>
      <c r="S76" s="10">
        <f>Kd*((Tabella2[[#This Row],[Day]]/t0d)^wd)*EXP(-(Tabella2[[#This Row],[Day]]/t0d))</f>
        <v>2771.516789203934</v>
      </c>
      <c r="T76" s="60">
        <f>Tabella2[[#This Row],[New_Recovered_fit]]*NOT(ISBLANK(Tabella2[[#This Row],[New recovered]]))</f>
        <v>0</v>
      </c>
      <c r="X76" s="26"/>
      <c r="Y76" s="65">
        <f>Tabella2[[#This Row],[New deaths]]*NOT(ISBLANK(Tabella2[[#This Row],[New deaths]]))</f>
        <v>0</v>
      </c>
      <c r="Z76" s="50">
        <f>kt*t0t*_xlfn.GAMMA.DIST(Tabella2[[#This Row],[Day]]/t0t,wt+1,1,1)*_xlfn.GAMMA(wt+1)</f>
        <v>23457.072754294859</v>
      </c>
      <c r="AA76" s="10">
        <f>kt*((Tabella2[[#This Row],[Day]]/t0t)^wt)*EXP(-(Tabella2[[#This Row],[Day]]/t0t))</f>
        <v>62.211654591195099</v>
      </c>
      <c r="AB76" s="65">
        <f>Tabella2[[#This Row],[New_Deaths_fit]]*NOT(ISBLANK(Tabella2[[#This Row],[New 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Tabella2[[#This Row],[New cases]]*NOT(ISBLANK(Tabella2[[#This Row],[New cases]]))</f>
        <v>0</v>
      </c>
      <c r="G77" s="50">
        <f>Kn*t0n*_xlfn.GAMMA.DIST(Tabella2[[#This Row],[Day]]/t0n,wn+1,1,1)*_xlfn.GAMMA(wn+1)</f>
        <v>176598.64199071872</v>
      </c>
      <c r="H77" s="10">
        <f>Kn*((Tabella2[[#This Row],[Day]]/t0n)^wn)*EXP(-(Tabella2[[#This Row],[Day]]/t0n))</f>
        <v>437.46821852819113</v>
      </c>
      <c r="I77" s="56">
        <f>Tabella2[[#This Row],[New_cases_fit]]*NOT(ISBLANK(Tabella2[[#This Row],[New cases]]))</f>
        <v>0</v>
      </c>
      <c r="L77" s="55"/>
      <c r="M77" s="54"/>
      <c r="N77" s="54">
        <f>Tabella2[[#This Row],[New_cases_fit]]-Tabella2[[#This Row],[New_Recovered_fit]]-Tabella2[[#This Row],[New_Deaths_fit]]</f>
        <v>-2427.3711203323655</v>
      </c>
      <c r="P77" s="48"/>
      <c r="Q77" s="60">
        <f>Tabella2[[#This Row],[New recovered]]*NOT(ISBLANK(Tabella2[[#This Row],[New recovered]]))</f>
        <v>0</v>
      </c>
      <c r="R77" s="50">
        <f>Kd*t0d*_xlfn.GAMMA.DIST(Tabella2[[#This Row],[Day]]/t0d,wd+1,1,1)*_xlfn.GAMMA(wd+1)</f>
        <v>82371.499302899218</v>
      </c>
      <c r="S77" s="10">
        <f>Kd*((Tabella2[[#This Row],[Day]]/t0d)^wd)*EXP(-(Tabella2[[#This Row],[Day]]/t0d))</f>
        <v>2809.7084034173931</v>
      </c>
      <c r="T77" s="60">
        <f>Tabella2[[#This Row],[New_Recovered_fit]]*NOT(ISBLANK(Tabella2[[#This Row],[New recovered]]))</f>
        <v>0</v>
      </c>
      <c r="X77" s="26"/>
      <c r="Y77" s="65">
        <f>Tabella2[[#This Row],[New deaths]]*NOT(ISBLANK(Tabella2[[#This Row],[New deaths]]))</f>
        <v>0</v>
      </c>
      <c r="Z77" s="50">
        <f>kt*t0t*_xlfn.GAMMA.DIST(Tabella2[[#This Row],[Day]]/t0t,wt+1,1,1)*_xlfn.GAMMA(wt+1)</f>
        <v>23515.681032465938</v>
      </c>
      <c r="AA77" s="10">
        <f>kt*((Tabella2[[#This Row],[Day]]/t0t)^wt)*EXP(-(Tabella2[[#This Row],[Day]]/t0t))</f>
        <v>55.130935443163636</v>
      </c>
      <c r="AB77" s="65">
        <f>Tabella2[[#This Row],[New_Deaths_fit]]*NOT(ISBLANK(Tabella2[[#This Row],[New 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Tabella2[[#This Row],[New cases]]*NOT(ISBLANK(Tabella2[[#This Row],[New cases]]))</f>
        <v>0</v>
      </c>
      <c r="G78" s="50">
        <f>Kn*t0n*_xlfn.GAMMA.DIST(Tabella2[[#This Row],[Day]]/t0n,wn+1,1,1)*_xlfn.GAMMA(wn+1)</f>
        <v>177014.27040238903</v>
      </c>
      <c r="H78" s="10">
        <f>Kn*((Tabella2[[#This Row],[Day]]/t0n)^wn)*EXP(-(Tabella2[[#This Row],[Day]]/t0n))</f>
        <v>394.45136379165587</v>
      </c>
      <c r="I78" s="56">
        <f>Tabella2[[#This Row],[New_cases_fit]]*NOT(ISBLANK(Tabella2[[#This Row],[New cases]]))</f>
        <v>0</v>
      </c>
      <c r="L78" s="55"/>
      <c r="M78" s="54"/>
      <c r="N78" s="54">
        <f>Tabella2[[#This Row],[New_cases_fit]]-Tabella2[[#This Row],[New_Recovered_fit]]-Tabella2[[#This Row],[New_Deaths_fit]]</f>
        <v>-2501.2820538872438</v>
      </c>
      <c r="P78" s="48"/>
      <c r="Q78" s="60">
        <f>Tabella2[[#This Row],[New recovered]]*NOT(ISBLANK(Tabella2[[#This Row],[New recovered]]))</f>
        <v>0</v>
      </c>
      <c r="R78" s="50">
        <f>Kd*t0d*_xlfn.GAMMA.DIST(Tabella2[[#This Row],[Day]]/t0d,wd+1,1,1)*_xlfn.GAMMA(wd+1)</f>
        <v>85199.911699272707</v>
      </c>
      <c r="S78" s="10">
        <f>Kd*((Tabella2[[#This Row],[Day]]/t0d)^wd)*EXP(-(Tabella2[[#This Row],[Day]]/t0d))</f>
        <v>2846.9587243661499</v>
      </c>
      <c r="T78" s="60">
        <f>Tabella2[[#This Row],[New_Recovered_fit]]*NOT(ISBLANK(Tabella2[[#This Row],[New recovered]]))</f>
        <v>0</v>
      </c>
      <c r="X78" s="26"/>
      <c r="Y78" s="65">
        <f>Tabella2[[#This Row],[New deaths]]*NOT(ISBLANK(Tabella2[[#This Row],[New deaths]]))</f>
        <v>0</v>
      </c>
      <c r="Z78" s="50">
        <f>kt*t0t*_xlfn.GAMMA.DIST(Tabella2[[#This Row],[Day]]/t0t,wt+1,1,1)*_xlfn.GAMMA(wt+1)</f>
        <v>23567.576084665699</v>
      </c>
      <c r="AA78" s="10">
        <f>kt*((Tabella2[[#This Row],[Day]]/t0t)^wt)*EXP(-(Tabella2[[#This Row],[Day]]/t0t))</f>
        <v>48.774693312749534</v>
      </c>
      <c r="AB78" s="65">
        <f>Tabella2[[#This Row],[New_Deaths_fit]]*NOT(ISBLANK(Tabella2[[#This Row],[New deaths]]))</f>
        <v>0</v>
      </c>
    </row>
  </sheetData>
  <mergeCells count="7">
    <mergeCell ref="AI3:AL3"/>
    <mergeCell ref="B2:H2"/>
    <mergeCell ref="B4:G4"/>
    <mergeCell ref="B5:G5"/>
    <mergeCell ref="AI4:AL4"/>
    <mergeCell ref="AI5:AL5"/>
    <mergeCell ref="H3:H6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T286"/>
  <sheetViews>
    <sheetView tabSelected="1" zoomScale="40" zoomScaleNormal="40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6.88671875" style="2" bestFit="1" customWidth="1"/>
    <col min="9" max="9" width="15.44140625" style="2" customWidth="1"/>
    <col min="10" max="10" width="11.33203125" style="2" customWidth="1"/>
    <col min="11" max="11" width="13" style="2" bestFit="1" customWidth="1"/>
    <col min="12" max="12" width="13.33203125" style="2" bestFit="1" customWidth="1"/>
    <col min="13" max="13" width="13.5546875" style="2" bestFit="1" customWidth="1"/>
    <col min="14" max="14" width="11.44140625" style="2" bestFit="1" customWidth="1"/>
    <col min="15" max="18" width="8.88671875" style="2"/>
    <col min="19" max="19" width="11" style="2" bestFit="1" customWidth="1"/>
    <col min="20" max="30" width="8.88671875" style="2"/>
    <col min="31" max="31" width="0.77734375" style="2" customWidth="1"/>
    <col min="32" max="32" width="14" style="2" customWidth="1"/>
    <col min="33" max="33" width="16.109375" style="2" customWidth="1"/>
    <col min="34" max="37" width="8.88671875" style="2"/>
    <col min="38" max="38" width="8.88671875" style="2" customWidth="1"/>
    <col min="39" max="16384" width="8.88671875" style="2"/>
  </cols>
  <sheetData>
    <row r="2" spans="2:46" ht="23.4" x14ac:dyDescent="0.45">
      <c r="B2" s="99" t="s">
        <v>11</v>
      </c>
      <c r="C2" s="99"/>
      <c r="D2" s="99"/>
      <c r="E2" s="99"/>
      <c r="F2" s="99"/>
      <c r="G2" s="99"/>
      <c r="H2" s="99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03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79" t="s">
        <v>108</v>
      </c>
      <c r="AI3" s="102" t="s">
        <v>71</v>
      </c>
      <c r="AJ3" s="102"/>
      <c r="AK3" s="102"/>
      <c r="AL3" s="102"/>
      <c r="AM3" s="102"/>
    </row>
    <row r="4" spans="2:46" ht="20.399999999999999" thickBot="1" x14ac:dyDescent="0.45">
      <c r="B4" s="100" t="s">
        <v>49</v>
      </c>
      <c r="C4" s="100"/>
      <c r="D4" s="100"/>
      <c r="E4" s="100"/>
      <c r="F4" s="100"/>
      <c r="G4" s="100"/>
      <c r="H4" s="103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78" t="s">
        <v>93</v>
      </c>
      <c r="AI4" s="102" t="s">
        <v>71</v>
      </c>
      <c r="AJ4" s="102"/>
      <c r="AK4" s="102"/>
      <c r="AL4" s="102"/>
      <c r="AM4" s="102"/>
    </row>
    <row r="5" spans="2:46" ht="18.600000000000001" thickTop="1" thickBot="1" x14ac:dyDescent="0.4">
      <c r="B5" s="101" t="s">
        <v>58</v>
      </c>
      <c r="C5" s="101"/>
      <c r="D5" s="101"/>
      <c r="E5" s="101"/>
      <c r="F5" s="101"/>
      <c r="G5" s="101"/>
      <c r="H5" s="103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78" t="s">
        <v>1</v>
      </c>
      <c r="AI5" s="102" t="s">
        <v>71</v>
      </c>
      <c r="AJ5" s="102"/>
      <c r="AK5" s="102"/>
      <c r="AL5" s="102"/>
      <c r="AM5" s="102"/>
    </row>
    <row r="6" spans="2:46" ht="19.2" thickTop="1" thickBot="1" x14ac:dyDescent="0.4">
      <c r="B6" s="27"/>
      <c r="C6" s="13"/>
      <c r="D6" s="13"/>
      <c r="E6" s="13"/>
      <c r="F6" s="13"/>
      <c r="G6" s="13"/>
      <c r="H6" s="103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9.4" customHeight="1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102</v>
      </c>
      <c r="V7" s="8" t="s">
        <v>103</v>
      </c>
      <c r="W7" s="4" t="s">
        <v>62</v>
      </c>
      <c r="X7" s="53" t="s">
        <v>63</v>
      </c>
      <c r="Y7" s="64" t="s">
        <v>84</v>
      </c>
      <c r="Z7" s="8" t="s">
        <v>64</v>
      </c>
      <c r="AA7" s="8" t="s">
        <v>91</v>
      </c>
      <c r="AB7" s="64" t="s">
        <v>85</v>
      </c>
      <c r="AC7" s="8" t="s">
        <v>104</v>
      </c>
      <c r="AD7" s="8" t="s">
        <v>105</v>
      </c>
      <c r="AE7" s="8"/>
      <c r="AF7" s="66" t="s">
        <v>46</v>
      </c>
      <c r="AG7" s="67" t="s">
        <v>54</v>
      </c>
      <c r="AH7" s="3"/>
      <c r="AT7" s="38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Tabella211[[#This Row],[Cum_confirmed]]*NOT(ISBLANK(Tabella211[[#This Row],[Cum_confirmed]]))</f>
        <v>229</v>
      </c>
      <c r="G8" s="50">
        <f>k*t0*_xlfn.GAMMA.DIST(Tabella211[[#This Row],[Day]]/t0,w+1,1,1)*_xlfn.GAMMA(w+1)</f>
        <v>0</v>
      </c>
      <c r="H8" s="10">
        <f>k*((Tabella211[[#This Row],[Day]]/t0)^w)*EXP(-(Tabella211[[#This Row],[Day]]/t0))</f>
        <v>0</v>
      </c>
      <c r="I8" s="56">
        <f>Tabella211[[#This Row],[Cum_fit]]*NOT(ISBLANK(Tabella211[[#This Row],[Cum_confirmed]]))</f>
        <v>0</v>
      </c>
      <c r="J8" s="10">
        <f>Tabella211[[#This Row],[Cum_fit]]+CI</f>
        <v>8470.1213665620362</v>
      </c>
      <c r="K8" s="10">
        <f>MAX(Tabella211[[#This Row],[Cum_fit]]-CI,0)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Tabella211[[#This Row],[New_cases_fit]]-Tabella211[[#This Row],[New_Recovered_fit]]-Tabella211[[#This Row],[New_Deaths_fit]]</f>
        <v>0</v>
      </c>
      <c r="O8" s="10">
        <f>'dpc-covid19-ita-andamento-naz'!J2</f>
        <v>1</v>
      </c>
      <c r="P8" s="52"/>
      <c r="Q8" s="60">
        <f>Tabella211[[#This Row],[Cum_recov]]*NOT(ISBLANK(Tabella211[[#This Row],[Cum_recov]]))</f>
        <v>1</v>
      </c>
      <c r="R8" s="50">
        <f>kr*t0r*_xlfn.GAMMA.DIST(Tabella211[[#This Row],[Day]]/t0r,wr+1,1,1)*_xlfn.GAMMA(wr+1)</f>
        <v>0</v>
      </c>
      <c r="S8" s="10">
        <f>kr*((Tabella211[[#This Row],[Day]]/t0r)^wr)*EXP(-(Tabella211[[#This Row],[Day]]/t0r))</f>
        <v>0</v>
      </c>
      <c r="T8" s="60">
        <f>Tabella211[[#This Row],[Cum_R_fit]]*NOT(ISBLANK(Tabella211[[#This Row],[Cum_recov]]))</f>
        <v>0</v>
      </c>
      <c r="U8" s="10">
        <f>Tabella211[[#This Row],[Cum_R_fit]]+CIr</f>
        <v>920.81072326325341</v>
      </c>
      <c r="V8" s="10">
        <f>MAX(Tabella211[[#This Row],[Cum_R_fit]]-CIr,0)</f>
        <v>0</v>
      </c>
      <c r="W8" s="10">
        <f>'dpc-covid19-ita-andamento-naz'!K2</f>
        <v>7</v>
      </c>
      <c r="X8" s="63"/>
      <c r="Y8" s="65">
        <f>Tabella211[[#This Row],[Cum_deaths]]*NOT(ISBLANK(Tabella211[[#This Row],[Cum_deaths]]))</f>
        <v>7</v>
      </c>
      <c r="Z8" s="50">
        <f>kh*t0h*_xlfn.GAMMA.DIST(Tabella211[[#This Row],[Day]]/t0h,wh+1,1,1)*_xlfn.GAMMA(wh+1)</f>
        <v>0</v>
      </c>
      <c r="AA8" s="10">
        <f>kh*((Tabella211[[#This Row],[Day]]/t0h)^wh)*EXP(-(Tabella211[[#This Row],[Day]]/t0h))</f>
        <v>0</v>
      </c>
      <c r="AB8" s="65">
        <f>Tabella211[[#This Row],[Cum_D_fit]]*NOT(ISBLANK(Tabella211[[#This Row],[Cum_deaths]]))</f>
        <v>0</v>
      </c>
      <c r="AC8" s="10">
        <f>Tabella211[[#This Row],[Cum_D_fit]]+CIh</f>
        <v>979.8272439353417</v>
      </c>
      <c r="AD8" s="10">
        <f>MAX(Tabella211[[#This Row],[Cum_D_fit]]-CIh,0)</f>
        <v>0</v>
      </c>
      <c r="AE8" s="8"/>
      <c r="AF8" s="91" t="s">
        <v>108</v>
      </c>
      <c r="AG8" s="92">
        <f>Kn</f>
        <v>109.9405181680571</v>
      </c>
      <c r="AH8" s="3"/>
      <c r="AT8" s="39">
        <f>MAX($AG$14)</f>
        <v>0.99569054363530474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Tabella211[[#This Row],[Cum_confirmed]]*NOT(ISBLANK(Tabella211[[#This Row],[Cum_confirmed]]))</f>
        <v>322</v>
      </c>
      <c r="G9" s="50">
        <f>k*t0*_xlfn.GAMMA.DIST(Tabella211[[#This Row],[Day]]/t0,w+1,1,1)*_xlfn.GAMMA(w+1)</f>
        <v>1.2122006292482345E-3</v>
      </c>
      <c r="H9" s="10">
        <f>k*((Tabella211[[#This Row],[Day]]/t0)^w)*EXP(-(Tabella211[[#This Row],[Day]]/t0))</f>
        <v>7.7164758960758849E-3</v>
      </c>
      <c r="I9" s="56">
        <f>Tabella211[[#This Row],[Cum_fit]]*NOT(ISBLANK(Tabella211[[#This Row],[Cum_confirmed]]))</f>
        <v>1.2122006292482345E-3</v>
      </c>
      <c r="J9" s="10">
        <f>Tabella211[[#This Row],[Cum_fit]]+CI</f>
        <v>8470.1225787626663</v>
      </c>
      <c r="K9" s="10">
        <f>MAX(Tabella211[[#This Row],[Cum_fit]]-CI,0)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Tabella211[[#This Row],[New_cases_fit]]-Tabella211[[#This Row],[New_Recovered_fit]]-Tabella211[[#This Row],[New_Deaths_fit]]</f>
        <v>-0.38210284863937366</v>
      </c>
      <c r="O9" s="10">
        <f>'dpc-covid19-ita-andamento-naz'!J3</f>
        <v>1</v>
      </c>
      <c r="P9" s="48">
        <f>Tabella211[[#This Row],[Cum_recov]]-O8</f>
        <v>0</v>
      </c>
      <c r="Q9" s="60">
        <f>Tabella211[[#This Row],[Cum_recov]]*NOT(ISBLANK(Tabella211[[#This Row],[Cum_recov]]))</f>
        <v>1</v>
      </c>
      <c r="R9" s="50">
        <f>kr*t0r*_xlfn.GAMMA.DIST(Tabella211[[#This Row],[Day]]/t0r,wr+1,1,1)*_xlfn.GAMMA(wr+1)</f>
        <v>0.11344426478295069</v>
      </c>
      <c r="S9" s="10">
        <f>kr*((Tabella211[[#This Row],[Day]]/t0r)^wr)*EXP(-(Tabella211[[#This Row],[Day]]/t0r))</f>
        <v>0.38981797097388843</v>
      </c>
      <c r="T9" s="60">
        <f>Tabella211[[#This Row],[Cum_R_fit]]*NOT(ISBLANK(Tabella211[[#This Row],[Cum_recov]]))</f>
        <v>0.11344426478295069</v>
      </c>
      <c r="U9" s="10">
        <f>Tabella211[[#This Row],[Cum_R_fit]]+CIr</f>
        <v>920.92416752803638</v>
      </c>
      <c r="V9" s="10">
        <f>MAX(Tabella211[[#This Row],[Cum_R_fit]]-CIr,0)</f>
        <v>0</v>
      </c>
      <c r="W9" s="10">
        <f>'dpc-covid19-ita-andamento-naz'!K3</f>
        <v>10</v>
      </c>
      <c r="X9" s="26">
        <f>Tabella211[[#This Row],[Cum_deaths]]-W8</f>
        <v>3</v>
      </c>
      <c r="Y9" s="65">
        <f>Tabella211[[#This Row],[Cum_deaths]]*NOT(ISBLANK(Tabella211[[#This Row],[Cum_deaths]]))</f>
        <v>10</v>
      </c>
      <c r="Z9" s="50">
        <f>kh*t0h*_xlfn.GAMMA.DIST(Tabella211[[#This Row],[Day]]/t0h,wh+1,1,1)*_xlfn.GAMMA(wh+1)</f>
        <v>1.5507788720226275E-7</v>
      </c>
      <c r="AA9" s="10">
        <f>kh*((Tabella211[[#This Row],[Day]]/t0h)^wh)*EXP(-(Tabella211[[#This Row],[Day]]/t0h))</f>
        <v>1.353561561120374E-6</v>
      </c>
      <c r="AB9" s="65">
        <f>Tabella211[[#This Row],[Cum_D_fit]]*NOT(ISBLANK(Tabella211[[#This Row],[Cum_deaths]]))</f>
        <v>1.5507788720226275E-7</v>
      </c>
      <c r="AC9" s="10">
        <f>Tabella211[[#This Row],[Cum_D_fit]]+CIh</f>
        <v>979.82724409041964</v>
      </c>
      <c r="AD9" s="10">
        <f>MAX(Tabella211[[#This Row],[Cum_D_fit]]-CIh,0)</f>
        <v>0</v>
      </c>
      <c r="AE9" s="8"/>
      <c r="AF9" s="91" t="s">
        <v>106</v>
      </c>
      <c r="AG9" s="92">
        <f>t0n</f>
        <v>5.4647811302597225</v>
      </c>
      <c r="AH9" s="3"/>
      <c r="AT9" s="40">
        <f>COUNT($AG$9,$AG$10)</f>
        <v>2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Tabella211[[#This Row],[Cum_confirmed]]*NOT(ISBLANK(Tabella211[[#This Row],[Cum_confirmed]]))</f>
        <v>400</v>
      </c>
      <c r="G10" s="50">
        <f>k*t0*_xlfn.GAMMA.DIST(Tabella211[[#This Row],[Day]]/t0,w+1,1,1)*_xlfn.GAMMA(w+1)</f>
        <v>9.5247185431279469E-2</v>
      </c>
      <c r="H10" s="10">
        <f>k*((Tabella211[[#This Row],[Day]]/t0)^w)*EXP(-(Tabella211[[#This Row],[Day]]/t0))</f>
        <v>0.29566681926411087</v>
      </c>
      <c r="I10" s="56">
        <f>Tabella211[[#This Row],[Cum_fit]]*NOT(ISBLANK(Tabella211[[#This Row],[Cum_confirmed]]))</f>
        <v>9.5247185431279469E-2</v>
      </c>
      <c r="J10" s="10">
        <f>Tabella211[[#This Row],[Cum_fit]]+CI</f>
        <v>8470.2166137474669</v>
      </c>
      <c r="K10" s="10">
        <f>MAX(Tabella211[[#This Row],[Cum_fit]]-CI,0)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Tabella211[[#This Row],[New_cases_fit]]-Tabella211[[#This Row],[New_Recovered_fit]]-Tabella211[[#This Row],[New_Deaths_fit]]</f>
        <v>-1.7928502623888709</v>
      </c>
      <c r="O10" s="10">
        <f>'dpc-covid19-ita-andamento-naz'!J4</f>
        <v>3</v>
      </c>
      <c r="P10" s="48">
        <f>Tabella211[[#This Row],[Cum_recov]]-O9</f>
        <v>2</v>
      </c>
      <c r="Q10" s="60">
        <f>Tabella211[[#This Row],[Cum_recov]]*NOT(ISBLANK(Tabella211[[#This Row],[Cum_recov]]))</f>
        <v>3</v>
      </c>
      <c r="R10" s="50">
        <f>kr*t0r*_xlfn.GAMMA.DIST(Tabella211[[#This Row],[Day]]/t0r,wr+1,1,1)*_xlfn.GAMMA(wr+1)</f>
        <v>1.2215253711601863</v>
      </c>
      <c r="S10" s="10">
        <f>kr*((Tabella211[[#This Row],[Day]]/t0r)^wr)*EXP(-(Tabella211[[#This Row],[Day]]/t0r))</f>
        <v>2.0882546257848849</v>
      </c>
      <c r="T10" s="60">
        <f>Tabella211[[#This Row],[Cum_R_fit]]*NOT(ISBLANK(Tabella211[[#This Row],[Cum_recov]]))</f>
        <v>1.2215253711601863</v>
      </c>
      <c r="U10" s="10">
        <f>Tabella211[[#This Row],[Cum_R_fit]]+CIr</f>
        <v>922.03224863441358</v>
      </c>
      <c r="V10" s="10">
        <f>MAX(Tabella211[[#This Row],[Cum_R_fit]]-CIr,0)</f>
        <v>0</v>
      </c>
      <c r="W10" s="10">
        <f>'dpc-covid19-ita-andamento-naz'!K4</f>
        <v>12</v>
      </c>
      <c r="X10" s="26">
        <f>Tabella211[[#This Row],[Cum_deaths]]-W9</f>
        <v>2</v>
      </c>
      <c r="Y10" s="65">
        <f>Tabella211[[#This Row],[Cum_deaths]]*NOT(ISBLANK(Tabella211[[#This Row],[Cum_deaths]]))</f>
        <v>12</v>
      </c>
      <c r="Z10" s="50">
        <f>kh*t0h*_xlfn.GAMMA.DIST(Tabella211[[#This Row],[Day]]/t0h,wh+1,1,1)*_xlfn.GAMMA(wh+1)</f>
        <v>6.1632703058595454E-5</v>
      </c>
      <c r="AA10" s="10">
        <f>kh*((Tabella211[[#This Row],[Day]]/t0h)^wh)*EXP(-(Tabella211[[#This Row],[Day]]/t0h))</f>
        <v>2.6245586809707668E-4</v>
      </c>
      <c r="AB10" s="65">
        <f>Tabella211[[#This Row],[Cum_D_fit]]*NOT(ISBLANK(Tabella211[[#This Row],[Cum_deaths]]))</f>
        <v>6.1632703058595454E-5</v>
      </c>
      <c r="AC10" s="10">
        <f>Tabella211[[#This Row],[Cum_D_fit]]+CIh</f>
        <v>979.82730556804472</v>
      </c>
      <c r="AD10" s="10">
        <f>MAX(Tabella211[[#This Row],[Cum_D_fit]]-CIh,0)</f>
        <v>0</v>
      </c>
      <c r="AE10" s="8"/>
      <c r="AF10" s="91" t="s">
        <v>1</v>
      </c>
      <c r="AG10" s="92">
        <f>wn</f>
        <v>5.5238851037017227</v>
      </c>
      <c r="AH10" s="3"/>
      <c r="AT10" s="40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Tabella211[[#This Row],[Cum_confirmed]]*NOT(ISBLANK(Tabella211[[#This Row],[Cum_confirmed]]))</f>
        <v>650</v>
      </c>
      <c r="G11" s="50">
        <f>k*t0*_xlfn.GAMMA.DIST(Tabella211[[#This Row],[Day]]/t0,w+1,1,1)*_xlfn.GAMMA(w+1)</f>
        <v>1.1461775208227214</v>
      </c>
      <c r="H11" s="10">
        <f>k*((Tabella211[[#This Row],[Day]]/t0)^w)*EXP(-(Tabella211[[#This Row],[Day]]/t0))</f>
        <v>2.3122721509717667</v>
      </c>
      <c r="I11" s="56">
        <f>Tabella211[[#This Row],[Cum_fit]]*NOT(ISBLANK(Tabella211[[#This Row],[Cum_confirmed]]))</f>
        <v>1.1461775208227214</v>
      </c>
      <c r="J11" s="10">
        <f>Tabella211[[#This Row],[Cum_fit]]+CI</f>
        <v>8471.2675440828589</v>
      </c>
      <c r="K11" s="10">
        <f>MAX(Tabella211[[#This Row],[Cum_fit]]-CI,0)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Tabella211[[#This Row],[New_cases_fit]]-Tabella211[[#This Row],[New_Recovered_fit]]-Tabella211[[#This Row],[New_Deaths_fit]]</f>
        <v>-3.2160539639465351</v>
      </c>
      <c r="O11" s="10">
        <f>'dpc-covid19-ita-andamento-naz'!J5</f>
        <v>45</v>
      </c>
      <c r="P11" s="48">
        <f>Tabella211[[#This Row],[Cum_recov]]-O10</f>
        <v>42</v>
      </c>
      <c r="Q11" s="60">
        <f>Tabella211[[#This Row],[Cum_recov]]*NOT(ISBLANK(Tabella211[[#This Row],[Cum_recov]]))</f>
        <v>45</v>
      </c>
      <c r="R11" s="50">
        <f>kr*t0r*_xlfn.GAMMA.DIST(Tabella211[[#This Row],[Day]]/t0r,wr+1,1,1)*_xlfn.GAMMA(wr+1)</f>
        <v>4.8704808829436468</v>
      </c>
      <c r="S11" s="10">
        <f>kr*((Tabella211[[#This Row],[Day]]/t0r)^wr)*EXP(-(Tabella211[[#This Row],[Day]]/t0r))</f>
        <v>5.5231437406420802</v>
      </c>
      <c r="T11" s="60">
        <f>Tabella211[[#This Row],[Cum_R_fit]]*NOT(ISBLANK(Tabella211[[#This Row],[Cum_recov]]))</f>
        <v>4.8704808829436468</v>
      </c>
      <c r="U11" s="10">
        <f>Tabella211[[#This Row],[Cum_R_fit]]+CIr</f>
        <v>925.68120414619705</v>
      </c>
      <c r="V11" s="10">
        <f>MAX(Tabella211[[#This Row],[Cum_R_fit]]-CIr,0)</f>
        <v>0</v>
      </c>
      <c r="W11" s="10">
        <f>'dpc-covid19-ita-andamento-naz'!K5</f>
        <v>17</v>
      </c>
      <c r="X11" s="26">
        <f>Tabella211[[#This Row],[Cum_deaths]]-W10</f>
        <v>5</v>
      </c>
      <c r="Y11" s="65">
        <f>Tabella211[[#This Row],[Cum_deaths]]*NOT(ISBLANK(Tabella211[[#This Row],[Cum_deaths]]))</f>
        <v>17</v>
      </c>
      <c r="Z11" s="50">
        <f>kh*t0h*_xlfn.GAMMA.DIST(Tabella211[[#This Row],[Day]]/t0h,wh+1,1,1)*_xlfn.GAMMA(wh+1)</f>
        <v>1.8717274310697553E-3</v>
      </c>
      <c r="AA11" s="10">
        <f>kh*((Tabella211[[#This Row],[Day]]/t0h)^wh)*EXP(-(Tabella211[[#This Row],[Day]]/t0h))</f>
        <v>5.1823742762216896E-3</v>
      </c>
      <c r="AB11" s="65">
        <f>Tabella211[[#This Row],[Cum_D_fit]]*NOT(ISBLANK(Tabella211[[#This Row],[Cum_deaths]]))</f>
        <v>1.8717274310697553E-3</v>
      </c>
      <c r="AC11" s="10">
        <f>Tabella211[[#This Row],[Cum_D_fit]]+CIh</f>
        <v>979.82911566277278</v>
      </c>
      <c r="AD11" s="10">
        <f>MAX(Tabella211[[#This Row],[Cum_D_fit]]-CIh,0)</f>
        <v>0</v>
      </c>
      <c r="AE11" s="8"/>
      <c r="AF11" s="93" t="s">
        <v>2</v>
      </c>
      <c r="AG11" s="94">
        <f>AVERAGE(Tabella211[Cum_confirmed])</f>
        <v>51385.717391304344</v>
      </c>
      <c r="AH11" s="3"/>
      <c r="AT11" s="40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Tabella211[[#This Row],[Cum_confirmed]]*NOT(ISBLANK(Tabella211[[#This Row],[Cum_confirmed]]))</f>
        <v>888</v>
      </c>
      <c r="G12" s="50">
        <f>k*t0*_xlfn.GAMMA.DIST(Tabella211[[#This Row],[Day]]/t0,w+1,1,1)*_xlfn.GAMMA(w+1)</f>
        <v>6.3995944542441174</v>
      </c>
      <c r="H12" s="10">
        <f>k*((Tabella211[[#This Row],[Day]]/t0)^w)*EXP(-(Tabella211[[#This Row],[Day]]/t0))</f>
        <v>9.4344079417322728</v>
      </c>
      <c r="I12" s="56">
        <f>Tabella211[[#This Row],[Cum_fit]]*NOT(ISBLANK(Tabella211[[#This Row],[Cum_confirmed]]))</f>
        <v>6.3995944542441174</v>
      </c>
      <c r="J12" s="10">
        <f>Tabella211[[#This Row],[Cum_fit]]+CI</f>
        <v>8476.5209610162801</v>
      </c>
      <c r="K12" s="10">
        <f>MAX(Tabella211[[#This Row],[Cum_fit]]-CI,0)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Tabella211[[#This Row],[New_cases_fit]]-Tabella211[[#This Row],[New_Recovered_fit]]-Tabella211[[#This Row],[New_Deaths_fit]]</f>
        <v>-1.5476879140371924</v>
      </c>
      <c r="O12" s="10">
        <f>'dpc-covid19-ita-andamento-naz'!J6</f>
        <v>46</v>
      </c>
      <c r="P12" s="48">
        <f>Tabella211[[#This Row],[Cum_recov]]-O11</f>
        <v>1</v>
      </c>
      <c r="Q12" s="60">
        <f>Tabella211[[#This Row],[Cum_recov]]*NOT(ISBLANK(Tabella211[[#This Row],[Cum_recov]]))</f>
        <v>46</v>
      </c>
      <c r="R12" s="50">
        <f>kr*t0r*_xlfn.GAMMA.DIST(Tabella211[[#This Row],[Day]]/t0r,wr+1,1,1)*_xlfn.GAMMA(wr+1)</f>
        <v>12.930055712633489</v>
      </c>
      <c r="S12" s="10">
        <f>kr*((Tabella211[[#This Row],[Day]]/t0r)^wr)*EXP(-(Tabella211[[#This Row],[Day]]/t0r))</f>
        <v>10.94193411966069</v>
      </c>
      <c r="T12" s="60">
        <f>Tabella211[[#This Row],[Cum_R_fit]]*NOT(ISBLANK(Tabella211[[#This Row],[Cum_recov]]))</f>
        <v>12.930055712633489</v>
      </c>
      <c r="U12" s="10">
        <f>Tabella211[[#This Row],[Cum_R_fit]]+CIr</f>
        <v>933.74077897588688</v>
      </c>
      <c r="V12" s="10">
        <f>MAX(Tabella211[[#This Row],[Cum_R_fit]]-CIr,0)</f>
        <v>0</v>
      </c>
      <c r="W12" s="10">
        <f>'dpc-covid19-ita-andamento-naz'!K6</f>
        <v>21</v>
      </c>
      <c r="X12" s="26">
        <f>Tabella211[[#This Row],[Cum_deaths]]-W11</f>
        <v>4</v>
      </c>
      <c r="Y12" s="65">
        <f>Tabella211[[#This Row],[Cum_deaths]]*NOT(ISBLANK(Tabella211[[#This Row],[Cum_deaths]]))</f>
        <v>21</v>
      </c>
      <c r="Z12" s="50">
        <f>kh*t0h*_xlfn.GAMMA.DIST(Tabella211[[#This Row],[Day]]/t0h,wh+1,1,1)*_xlfn.GAMMA(wh+1)</f>
        <v>1.9840575042095174E-2</v>
      </c>
      <c r="AA12" s="10">
        <f>kh*((Tabella211[[#This Row],[Day]]/t0h)^wh)*EXP(-(Tabella211[[#This Row],[Day]]/t0h))</f>
        <v>4.0161736108775097E-2</v>
      </c>
      <c r="AB12" s="65">
        <f>Tabella211[[#This Row],[Cum_D_fit]]*NOT(ISBLANK(Tabella211[[#This Row],[Cum_deaths]]))</f>
        <v>1.9840575042095174E-2</v>
      </c>
      <c r="AC12" s="10">
        <f>Tabella211[[#This Row],[Cum_D_fit]]+CIh</f>
        <v>979.84708451038375</v>
      </c>
      <c r="AD12" s="10">
        <f>MAX(Tabella211[[#This Row],[Cum_D_fit]]-CIh,0)</f>
        <v>0</v>
      </c>
      <c r="AE12" s="1"/>
      <c r="AF12" s="93" t="s">
        <v>3</v>
      </c>
      <c r="AG12" s="94">
        <f>COUNT(Tabella211[Cum_confirmed])-COUNT(AG8:AG10)</f>
        <v>43</v>
      </c>
      <c r="AT12" s="40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Tabella211[[#This Row],[Cum_confirmed]]*NOT(ISBLANK(Tabella211[[#This Row],[Cum_confirmed]]))</f>
        <v>1128</v>
      </c>
      <c r="G13" s="50">
        <f>k*t0*_xlfn.GAMMA.DIST(Tabella211[[#This Row],[Day]]/t0,w+1,1,1)*_xlfn.GAMMA(w+1)</f>
        <v>23.464806816597722</v>
      </c>
      <c r="H13" s="10">
        <f>k*((Tabella211[[#This Row],[Day]]/t0)^w)*EXP(-(Tabella211[[#This Row],[Day]]/t0))</f>
        <v>26.950256620018717</v>
      </c>
      <c r="I13" s="56">
        <f>Tabella211[[#This Row],[Cum_fit]]*NOT(ISBLANK(Tabella211[[#This Row],[Cum_confirmed]]))</f>
        <v>23.464806816597722</v>
      </c>
      <c r="J13" s="10">
        <f>Tabella211[[#This Row],[Cum_fit]]+CI</f>
        <v>8493.5861733786332</v>
      </c>
      <c r="K13" s="10">
        <f>MAX(Tabella211[[#This Row],[Cum_fit]]-CI,0)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Tabella211[[#This Row],[New_cases_fit]]-Tabella211[[#This Row],[New_Recovered_fit]]-Tabella211[[#This Row],[New_Deaths_fit]]</f>
        <v>8.2610188524364734</v>
      </c>
      <c r="O13" s="10">
        <f>'dpc-covid19-ita-andamento-naz'!J7</f>
        <v>50</v>
      </c>
      <c r="P13" s="48">
        <f>Tabella211[[#This Row],[Cum_recov]]-O12</f>
        <v>4</v>
      </c>
      <c r="Q13" s="60">
        <f>Tabella211[[#This Row],[Cum_recov]]*NOT(ISBLANK(Tabella211[[#This Row],[Cum_recov]]))</f>
        <v>50</v>
      </c>
      <c r="R13" s="50">
        <f>kr*t0r*_xlfn.GAMMA.DIST(Tabella211[[#This Row],[Day]]/t0r,wr+1,1,1)*_xlfn.GAMMA(wr+1)</f>
        <v>27.468996517321862</v>
      </c>
      <c r="S13" s="10">
        <f>kr*((Tabella211[[#This Row],[Day]]/t0r)^wr)*EXP(-(Tabella211[[#This Row],[Day]]/t0r))</f>
        <v>18.502802775863262</v>
      </c>
      <c r="T13" s="60">
        <f>Tabella211[[#This Row],[Cum_R_fit]]*NOT(ISBLANK(Tabella211[[#This Row],[Cum_recov]]))</f>
        <v>27.468996517321862</v>
      </c>
      <c r="U13" s="10">
        <f>Tabella211[[#This Row],[Cum_R_fit]]+CIr</f>
        <v>948.27971978057531</v>
      </c>
      <c r="V13" s="10">
        <f>MAX(Tabella211[[#This Row],[Cum_R_fit]]-CIr,0)</f>
        <v>0</v>
      </c>
      <c r="W13" s="10">
        <f>'dpc-covid19-ita-andamento-naz'!K7</f>
        <v>29</v>
      </c>
      <c r="X13" s="26">
        <f>Tabella211[[#This Row],[Cum_deaths]]-W12</f>
        <v>8</v>
      </c>
      <c r="Y13" s="65">
        <f>Tabella211[[#This Row],[Cum_deaths]]*NOT(ISBLANK(Tabella211[[#This Row],[Cum_deaths]]))</f>
        <v>29</v>
      </c>
      <c r="Z13" s="50">
        <f>kh*t0h*_xlfn.GAMMA.DIST(Tabella211[[#This Row],[Day]]/t0h,wh+1,1,1)*_xlfn.GAMMA(wh+1)</f>
        <v>0.11816728224321933</v>
      </c>
      <c r="AA13" s="10">
        <f>kh*((Tabella211[[#This Row],[Day]]/t0h)^wh)*EXP(-(Tabella211[[#This Row],[Day]]/t0h))</f>
        <v>0.1864349917189812</v>
      </c>
      <c r="AB13" s="65">
        <f>Tabella211[[#This Row],[Cum_D_fit]]*NOT(ISBLANK(Tabella211[[#This Row],[Cum_deaths]]))</f>
        <v>0.11816728224321933</v>
      </c>
      <c r="AC13" s="10">
        <f>Tabella211[[#This Row],[Cum_D_fit]]+CIh</f>
        <v>979.94541121758493</v>
      </c>
      <c r="AD13" s="10">
        <f>MAX(Tabella211[[#This Row],[Cum_D_fit]]-CIh,0)</f>
        <v>0</v>
      </c>
      <c r="AE13" s="1"/>
      <c r="AF13" s="93" t="s">
        <v>4</v>
      </c>
      <c r="AG13" s="95" cm="1">
        <f t="array" ref="AG13">SQRT(SUM((Tabella211[Colonna1]-Tabella211[Colonna2])^2)/df)</f>
        <v>4200.0070064262545</v>
      </c>
      <c r="AT13" s="41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Tabella211[[#This Row],[Cum_confirmed]]*NOT(ISBLANK(Tabella211[[#This Row],[Cum_confirmed]]))</f>
        <v>1694</v>
      </c>
      <c r="G14" s="50">
        <f>k*t0*_xlfn.GAMMA.DIST(Tabella211[[#This Row],[Day]]/t0,w+1,1,1)*_xlfn.GAMMA(w+1)</f>
        <v>65.954966285553652</v>
      </c>
      <c r="H14" s="10">
        <f>k*((Tabella211[[#This Row],[Day]]/t0)^w)*EXP(-(Tabella211[[#This Row],[Day]]/t0))</f>
        <v>61.444000914164775</v>
      </c>
      <c r="I14" s="56">
        <f>Tabella211[[#This Row],[Cum_fit]]*NOT(ISBLANK(Tabella211[[#This Row],[Cum_confirmed]]))</f>
        <v>65.954966285553652</v>
      </c>
      <c r="J14" s="10">
        <f>Tabella211[[#This Row],[Cum_fit]]+CI</f>
        <v>8536.0763328475896</v>
      </c>
      <c r="K14" s="10">
        <f>MAX(Tabella211[[#This Row],[Cum_fit]]-CI,0)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Tabella211[[#This Row],[New_cases_fit]]-Tabella211[[#This Row],[New_Recovered_fit]]-Tabella211[[#This Row],[New_Deaths_fit]]</f>
        <v>32.511670419696081</v>
      </c>
      <c r="O14" s="10">
        <f>'dpc-covid19-ita-andamento-naz'!J8</f>
        <v>83</v>
      </c>
      <c r="P14" s="48">
        <f>Tabella211[[#This Row],[Cum_recov]]-O13</f>
        <v>33</v>
      </c>
      <c r="Q14" s="60">
        <f>Tabella211[[#This Row],[Cum_recov]]*NOT(ISBLANK(Tabella211[[#This Row],[Cum_recov]]))</f>
        <v>83</v>
      </c>
      <c r="R14" s="50">
        <f>kr*t0r*_xlfn.GAMMA.DIST(Tabella211[[#This Row],[Day]]/t0r,wr+1,1,1)*_xlfn.GAMMA(wr+1)</f>
        <v>50.683714903198982</v>
      </c>
      <c r="S14" s="10">
        <f>kr*((Tabella211[[#This Row],[Day]]/t0r)^wr)*EXP(-(Tabella211[[#This Row],[Day]]/t0r))</f>
        <v>28.306491121754703</v>
      </c>
      <c r="T14" s="60">
        <f>Tabella211[[#This Row],[Cum_R_fit]]*NOT(ISBLANK(Tabella211[[#This Row],[Cum_recov]]))</f>
        <v>50.683714903198982</v>
      </c>
      <c r="U14" s="10">
        <f>Tabella211[[#This Row],[Cum_R_fit]]+CIr</f>
        <v>971.49443816645237</v>
      </c>
      <c r="V14" s="10">
        <f>MAX(Tabella211[[#This Row],[Cum_R_fit]]-CIr,0)</f>
        <v>0</v>
      </c>
      <c r="W14" s="10">
        <f>'dpc-covid19-ita-andamento-naz'!K8</f>
        <v>34</v>
      </c>
      <c r="X14" s="26">
        <f>Tabella211[[#This Row],[Cum_deaths]]-W13</f>
        <v>5</v>
      </c>
      <c r="Y14" s="65">
        <f>Tabella211[[#This Row],[Cum_deaths]]*NOT(ISBLANK(Tabella211[[#This Row],[Cum_deaths]]))</f>
        <v>34</v>
      </c>
      <c r="Z14" s="50">
        <f>kh*t0h*_xlfn.GAMMA.DIST(Tabella211[[#This Row],[Day]]/t0h,wh+1,1,1)*_xlfn.GAMMA(wh+1)</f>
        <v>0.48884177812012786</v>
      </c>
      <c r="AA14" s="10">
        <f>kh*((Tabella211[[#This Row],[Day]]/t0h)^wh)*EXP(-(Tabella211[[#This Row],[Day]]/t0h))</f>
        <v>0.62583937271398815</v>
      </c>
      <c r="AB14" s="65">
        <f>Tabella211[[#This Row],[Cum_D_fit]]*NOT(ISBLANK(Tabella211[[#This Row],[Cum_deaths]]))</f>
        <v>0.48884177812012786</v>
      </c>
      <c r="AC14" s="10">
        <f>Tabella211[[#This Row],[Cum_D_fit]]+CIh</f>
        <v>980.3160857134618</v>
      </c>
      <c r="AD14" s="10">
        <f>MAX(Tabella211[[#This Row],[Cum_D_fit]]-CIh,0)</f>
        <v>0</v>
      </c>
      <c r="AE14" s="1"/>
      <c r="AF14" s="93" t="s">
        <v>107</v>
      </c>
      <c r="AG14" s="96" cm="1">
        <f t="array" ref="AG14">1-SUM((Tabella211[Colonna1]-Tabella211[Colonna2])^2)/SUM((Tabella211[Colonna1]-Mean_of_y)^2)</f>
        <v>0.99569054363530474</v>
      </c>
      <c r="AT14" s="104" t="s">
        <v>98</v>
      </c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Tabella211[[#This Row],[Cum_confirmed]]*NOT(ISBLANK(Tabella211[[#This Row],[Cum_confirmed]]))</f>
        <v>2036</v>
      </c>
      <c r="G15" s="50">
        <f>k*t0*_xlfn.GAMMA.DIST(Tabella211[[#This Row],[Day]]/t0,w+1,1,1)*_xlfn.GAMMA(w+1)</f>
        <v>154.34576759859993</v>
      </c>
      <c r="H15" s="10">
        <f>k*((Tabella211[[#This Row],[Day]]/t0)^w)*EXP(-(Tabella211[[#This Row],[Day]]/t0))</f>
        <v>119.89866222003877</v>
      </c>
      <c r="I15" s="56">
        <f>Tabella211[[#This Row],[Cum_fit]]*NOT(ISBLANK(Tabella211[[#This Row],[Cum_confirmed]]))</f>
        <v>154.34576759859993</v>
      </c>
      <c r="J15" s="10">
        <f>Tabella211[[#This Row],[Cum_fit]]+CI</f>
        <v>8624.4671341606354</v>
      </c>
      <c r="K15" s="10">
        <f>MAX(Tabella211[[#This Row],[Cum_fit]]-CI,0)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Tabella211[[#This Row],[New_cases_fit]]-Tabella211[[#This Row],[New_Recovered_fit]]-Tabella211[[#This Row],[New_Deaths_fit]]</f>
        <v>77.806083086977807</v>
      </c>
      <c r="O15" s="10">
        <f>'dpc-covid19-ita-andamento-naz'!J9</f>
        <v>149</v>
      </c>
      <c r="P15" s="48">
        <f>Tabella211[[#This Row],[Cum_recov]]-O14</f>
        <v>66</v>
      </c>
      <c r="Q15" s="60">
        <f>Tabella211[[#This Row],[Cum_recov]]*NOT(ISBLANK(Tabella211[[#This Row],[Cum_recov]]))</f>
        <v>149</v>
      </c>
      <c r="R15" s="50">
        <f>kr*t0r*_xlfn.GAMMA.DIST(Tabella211[[#This Row],[Day]]/t0r,wr+1,1,1)*_xlfn.GAMMA(wr+1)</f>
        <v>84.849863023250023</v>
      </c>
      <c r="S15" s="10">
        <f>kr*((Tabella211[[#This Row],[Day]]/t0r)^wr)*EXP(-(Tabella211[[#This Row],[Day]]/t0r))</f>
        <v>40.412817251165542</v>
      </c>
      <c r="T15" s="60">
        <f>Tabella211[[#This Row],[Cum_R_fit]]*NOT(ISBLANK(Tabella211[[#This Row],[Cum_recov]]))</f>
        <v>84.849863023250023</v>
      </c>
      <c r="U15" s="10">
        <f>Tabella211[[#This Row],[Cum_R_fit]]+CIr</f>
        <v>1005.6605862865034</v>
      </c>
      <c r="V15" s="10">
        <f>MAX(Tabella211[[#This Row],[Cum_R_fit]]-CIr,0)</f>
        <v>0</v>
      </c>
      <c r="W15" s="10">
        <f>'dpc-covid19-ita-andamento-naz'!K9</f>
        <v>52</v>
      </c>
      <c r="X15" s="26">
        <f>Tabella211[[#This Row],[Cum_deaths]]-W14</f>
        <v>18</v>
      </c>
      <c r="Y15" s="65">
        <f>Tabella211[[#This Row],[Cum_deaths]]*NOT(ISBLANK(Tabella211[[#This Row],[Cum_deaths]]))</f>
        <v>52</v>
      </c>
      <c r="Z15" s="50">
        <f>kh*t0h*_xlfn.GAMMA.DIST(Tabella211[[#This Row],[Day]]/t0h,wh+1,1,1)*_xlfn.GAMMA(wh+1)</f>
        <v>1.5728903353200483</v>
      </c>
      <c r="AA15" s="10">
        <f>kh*((Tabella211[[#This Row],[Day]]/t0h)^wh)*EXP(-(Tabella211[[#This Row],[Day]]/t0h))</f>
        <v>1.6797618818954332</v>
      </c>
      <c r="AB15" s="65">
        <f>Tabella211[[#This Row],[Cum_D_fit]]*NOT(ISBLANK(Tabella211[[#This Row],[Cum_deaths]]))</f>
        <v>1.5728903353200483</v>
      </c>
      <c r="AC15" s="10">
        <f>Tabella211[[#This Row],[Cum_D_fit]]+CIh</f>
        <v>981.40013427066174</v>
      </c>
      <c r="AD15" s="10">
        <f>MAX(Tabella211[[#This Row],[Cum_D_fit]]-CIh,0)</f>
        <v>0</v>
      </c>
      <c r="AE15" s="1"/>
      <c r="AF15" s="93" t="s">
        <v>6</v>
      </c>
      <c r="AG15" s="96">
        <f>TINV(0.05,df)</f>
        <v>2.0166921992278248</v>
      </c>
      <c r="AT15" s="105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Tabella211[[#This Row],[Cum_confirmed]]*NOT(ISBLANK(Tabella211[[#This Row],[Cum_confirmed]]))</f>
        <v>2502</v>
      </c>
      <c r="G16" s="50">
        <f>k*t0*_xlfn.GAMMA.DIST(Tabella211[[#This Row],[Day]]/t0,w+1,1,1)*_xlfn.GAMMA(w+1)</f>
        <v>315.90834921541176</v>
      </c>
      <c r="H16" s="10">
        <f>k*((Tabella211[[#This Row],[Day]]/t0)^w)*EXP(-(Tabella211[[#This Row],[Day]]/t0))</f>
        <v>208.7774871058009</v>
      </c>
      <c r="I16" s="56">
        <f>Tabella211[[#This Row],[Cum_fit]]*NOT(ISBLANK(Tabella211[[#This Row],[Cum_confirmed]]))</f>
        <v>315.90834921541176</v>
      </c>
      <c r="J16" s="10">
        <f>Tabella211[[#This Row],[Cum_fit]]+CI</f>
        <v>8786.0297157774476</v>
      </c>
      <c r="K16" s="10">
        <f>MAX(Tabella211[[#This Row],[Cum_fit]]-CI,0)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Tabella211[[#This Row],[New_cases_fit]]-Tabella211[[#This Row],[New_Recovered_fit]]-Tabella211[[#This Row],[New_Deaths_fit]]</f>
        <v>150.09912167110201</v>
      </c>
      <c r="O16" s="10">
        <f>'dpc-covid19-ita-andamento-naz'!J10</f>
        <v>160</v>
      </c>
      <c r="P16" s="48">
        <f>Tabella211[[#This Row],[Cum_recov]]-O15</f>
        <v>11</v>
      </c>
      <c r="Q16" s="60">
        <f>Tabella211[[#This Row],[Cum_recov]]*NOT(ISBLANK(Tabella211[[#This Row],[Cum_recov]]))</f>
        <v>160</v>
      </c>
      <c r="R16" s="50">
        <f>kr*t0r*_xlfn.GAMMA.DIST(Tabella211[[#This Row],[Day]]/t0r,wr+1,1,1)*_xlfn.GAMMA(wr+1)</f>
        <v>132.28682698891598</v>
      </c>
      <c r="S16" s="10">
        <f>kr*((Tabella211[[#This Row],[Day]]/t0r)^wr)*EXP(-(Tabella211[[#This Row],[Day]]/t0r))</f>
        <v>54.850783454526201</v>
      </c>
      <c r="T16" s="60">
        <f>Tabella211[[#This Row],[Cum_R_fit]]*NOT(ISBLANK(Tabella211[[#This Row],[Cum_recov]]))</f>
        <v>132.28682698891598</v>
      </c>
      <c r="U16" s="10">
        <f>Tabella211[[#This Row],[Cum_R_fit]]+CIr</f>
        <v>1053.0975502521694</v>
      </c>
      <c r="V16" s="10">
        <f>MAX(Tabella211[[#This Row],[Cum_R_fit]]-CIr,0)</f>
        <v>0</v>
      </c>
      <c r="W16" s="10">
        <f>'dpc-covid19-ita-andamento-naz'!K10</f>
        <v>79</v>
      </c>
      <c r="X16" s="26">
        <f>Tabella211[[#This Row],[Cum_deaths]]-W15</f>
        <v>27</v>
      </c>
      <c r="Y16" s="65">
        <f>Tabella211[[#This Row],[Cum_deaths]]*NOT(ISBLANK(Tabella211[[#This Row],[Cum_deaths]]))</f>
        <v>79</v>
      </c>
      <c r="Z16" s="50">
        <f>kh*t0h*_xlfn.GAMMA.DIST(Tabella211[[#This Row],[Day]]/t0h,wh+1,1,1)*_xlfn.GAMMA(wh+1)</f>
        <v>4.2113164387393835</v>
      </c>
      <c r="AA16" s="10">
        <f>kh*((Tabella211[[#This Row],[Day]]/t0h)^wh)*EXP(-(Tabella211[[#This Row],[Day]]/t0h))</f>
        <v>3.827581980172674</v>
      </c>
      <c r="AB16" s="65">
        <f>Tabella211[[#This Row],[Cum_D_fit]]*NOT(ISBLANK(Tabella211[[#This Row],[Cum_deaths]]))</f>
        <v>4.2113164387393835</v>
      </c>
      <c r="AC16" s="10">
        <f>Tabella211[[#This Row],[Cum_D_fit]]+CIh</f>
        <v>984.03856037408104</v>
      </c>
      <c r="AD16" s="10">
        <f>MAX(Tabella211[[#This Row],[Cum_D_fit]]-CIh,0)</f>
        <v>0</v>
      </c>
      <c r="AE16" s="1"/>
      <c r="AF16" s="93" t="s">
        <v>7</v>
      </c>
      <c r="AG16" s="94">
        <f>Critical_t*SE_of_y</f>
        <v>8470.1213665620362</v>
      </c>
      <c r="AT16" s="105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Tabella211[[#This Row],[Cum_confirmed]]*NOT(ISBLANK(Tabella211[[#This Row],[Cum_confirmed]]))</f>
        <v>3089</v>
      </c>
      <c r="G17" s="50">
        <f>k*t0*_xlfn.GAMMA.DIST(Tabella211[[#This Row],[Day]]/t0,w+1,1,1)*_xlfn.GAMMA(w+1)</f>
        <v>583.78668342191338</v>
      </c>
      <c r="H17" s="10">
        <f>k*((Tabella211[[#This Row],[Day]]/t0)^w)*EXP(-(Tabella211[[#This Row],[Day]]/t0))</f>
        <v>333.25202670335267</v>
      </c>
      <c r="I17" s="56">
        <f>Tabella211[[#This Row],[Cum_fit]]*NOT(ISBLANK(Tabella211[[#This Row],[Cum_confirmed]]))</f>
        <v>583.78668342191338</v>
      </c>
      <c r="J17" s="10">
        <f>Tabella211[[#This Row],[Cum_fit]]+CI</f>
        <v>9053.9080499839492</v>
      </c>
      <c r="K17" s="10">
        <f>MAX(Tabella211[[#This Row],[Cum_fit]]-CI,0)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Tabella211[[#This Row],[New_cases_fit]]-Tabella211[[#This Row],[New_Recovered_fit]]-Tabella211[[#This Row],[New_Deaths_fit]]</f>
        <v>253.93016886133017</v>
      </c>
      <c r="O17" s="10">
        <f>'dpc-covid19-ita-andamento-naz'!J11</f>
        <v>276</v>
      </c>
      <c r="P17" s="48">
        <f>Tabella211[[#This Row],[Cum_recov]]-O16</f>
        <v>116</v>
      </c>
      <c r="Q17" s="60">
        <f>Tabella211[[#This Row],[Cum_recov]]*NOT(ISBLANK(Tabella211[[#This Row],[Cum_recov]]))</f>
        <v>276</v>
      </c>
      <c r="R17" s="50">
        <f>kr*t0r*_xlfn.GAMMA.DIST(Tabella211[[#This Row],[Day]]/t0r,wr+1,1,1)*_xlfn.GAMMA(wr+1)</f>
        <v>195.33052216368432</v>
      </c>
      <c r="S17" s="10">
        <f>kr*((Tabella211[[#This Row],[Day]]/t0r)^wr)*EXP(-(Tabella211[[#This Row],[Day]]/t0r))</f>
        <v>71.625394559724967</v>
      </c>
      <c r="T17" s="60">
        <f>Tabella211[[#This Row],[Cum_R_fit]]*NOT(ISBLANK(Tabella211[[#This Row],[Cum_recov]]))</f>
        <v>195.33052216368432</v>
      </c>
      <c r="U17" s="10">
        <f>Tabella211[[#This Row],[Cum_R_fit]]+CIr</f>
        <v>1116.1412454269378</v>
      </c>
      <c r="V17" s="10">
        <f>MAX(Tabella211[[#This Row],[Cum_R_fit]]-CIr,0)</f>
        <v>0</v>
      </c>
      <c r="W17" s="10">
        <f>'dpc-covid19-ita-andamento-naz'!K11</f>
        <v>107</v>
      </c>
      <c r="X17" s="26">
        <f>Tabella211[[#This Row],[Cum_deaths]]-W16</f>
        <v>28</v>
      </c>
      <c r="Y17" s="65">
        <f>Tabella211[[#This Row],[Cum_deaths]]*NOT(ISBLANK(Tabella211[[#This Row],[Cum_deaths]]))</f>
        <v>107</v>
      </c>
      <c r="Z17" s="50">
        <f>kh*t0h*_xlfn.GAMMA.DIST(Tabella211[[#This Row],[Day]]/t0h,wh+1,1,1)*_xlfn.GAMMA(wh+1)</f>
        <v>9.8005031285721458</v>
      </c>
      <c r="AA17" s="10">
        <f>kh*((Tabella211[[#This Row],[Day]]/t0h)^wh)*EXP(-(Tabella211[[#This Row],[Day]]/t0h))</f>
        <v>7.6964632822975352</v>
      </c>
      <c r="AB17" s="65">
        <f>Tabella211[[#This Row],[Cum_D_fit]]*NOT(ISBLANK(Tabella211[[#This Row],[Cum_deaths]]))</f>
        <v>9.8005031285721458</v>
      </c>
      <c r="AC17" s="10">
        <f>Tabella211[[#This Row],[Cum_D_fit]]+CIh</f>
        <v>989.62774706391383</v>
      </c>
      <c r="AD17" s="10">
        <f>MAX(Tabella211[[#This Row],[Cum_D_fit]]-CIh,0)</f>
        <v>0</v>
      </c>
      <c r="AE17" s="1"/>
      <c r="AF17" s="93" t="s">
        <v>99</v>
      </c>
      <c r="AG17" s="98">
        <f>k*t0*_xlfn.GAMMA(w+1)</f>
        <v>180538.05218633058</v>
      </c>
      <c r="AT17" s="106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Tabella211[[#This Row],[Cum_confirmed]]*NOT(ISBLANK(Tabella211[[#This Row],[Cum_confirmed]]))</f>
        <v>3858</v>
      </c>
      <c r="G18" s="50">
        <f>k*t0*_xlfn.GAMMA.DIST(Tabella211[[#This Row],[Day]]/t0,w+1,1,1)*_xlfn.GAMMA(w+1)</f>
        <v>995.4145471832162</v>
      </c>
      <c r="H18" s="10">
        <f>k*((Tabella211[[#This Row],[Day]]/t0)^w)*EXP(-(Tabella211[[#This Row],[Day]]/t0))</f>
        <v>496.66138617386855</v>
      </c>
      <c r="I18" s="56">
        <f>Tabella211[[#This Row],[Cum_fit]]*NOT(ISBLANK(Tabella211[[#This Row],[Cum_confirmed]]))</f>
        <v>995.4145471832162</v>
      </c>
      <c r="J18" s="10">
        <f>Tabella211[[#This Row],[Cum_fit]]+CI</f>
        <v>9465.5359137452524</v>
      </c>
      <c r="K18" s="10">
        <f>MAX(Tabella211[[#This Row],[Cum_fit]]-CI,0)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Tabella211[[#This Row],[New_cases_fit]]-Tabella211[[#This Row],[New_Recovered_fit]]-Tabella211[[#This Row],[New_Deaths_fit]]</f>
        <v>391.91658489616185</v>
      </c>
      <c r="O18" s="10">
        <f>'dpc-covid19-ita-andamento-naz'!J12</f>
        <v>414</v>
      </c>
      <c r="P18" s="48">
        <f>Tabella211[[#This Row],[Cum_recov]]-O17</f>
        <v>138</v>
      </c>
      <c r="Q18" s="60">
        <f>Tabella211[[#This Row],[Cum_recov]]*NOT(ISBLANK(Tabella211[[#This Row],[Cum_recov]]))</f>
        <v>414</v>
      </c>
      <c r="R18" s="50">
        <f>kr*t0r*_xlfn.GAMMA.DIST(Tabella211[[#This Row],[Day]]/t0r,wr+1,1,1)*_xlfn.GAMMA(wr+1)</f>
        <v>276.31197170739944</v>
      </c>
      <c r="S18" s="10">
        <f>kr*((Tabella211[[#This Row],[Day]]/t0r)^wr)*EXP(-(Tabella211[[#This Row],[Day]]/t0r))</f>
        <v>90.722562215783199</v>
      </c>
      <c r="T18" s="60">
        <f>Tabella211[[#This Row],[Cum_R_fit]]*NOT(ISBLANK(Tabella211[[#This Row],[Cum_recov]]))</f>
        <v>276.31197170739944</v>
      </c>
      <c r="U18" s="10">
        <f>Tabella211[[#This Row],[Cum_R_fit]]+CIr</f>
        <v>1197.1226949706529</v>
      </c>
      <c r="V18" s="10">
        <f>MAX(Tabella211[[#This Row],[Cum_R_fit]]-CIr,0)</f>
        <v>0</v>
      </c>
      <c r="W18" s="10">
        <f>'dpc-covid19-ita-andamento-naz'!K12</f>
        <v>148</v>
      </c>
      <c r="X18" s="26">
        <f>Tabella211[[#This Row],[Cum_deaths]]-W17</f>
        <v>41</v>
      </c>
      <c r="Y18" s="65">
        <f>Tabella211[[#This Row],[Cum_deaths]]*NOT(ISBLANK(Tabella211[[#This Row],[Cum_deaths]]))</f>
        <v>148</v>
      </c>
      <c r="Z18" s="50">
        <f>kh*t0h*_xlfn.GAMMA.DIST(Tabella211[[#This Row],[Day]]/t0h,wh+1,1,1)*_xlfn.GAMMA(wh+1)</f>
        <v>20.422670218701882</v>
      </c>
      <c r="AA18" s="10">
        <f>kh*((Tabella211[[#This Row],[Day]]/t0h)^wh)*EXP(-(Tabella211[[#This Row],[Day]]/t0h))</f>
        <v>14.02223906192345</v>
      </c>
      <c r="AB18" s="65">
        <f>Tabella211[[#This Row],[Cum_D_fit]]*NOT(ISBLANK(Tabella211[[#This Row],[Cum_deaths]]))</f>
        <v>20.422670218701882</v>
      </c>
      <c r="AC18" s="10">
        <f>Tabella211[[#This Row],[Cum_D_fit]]+CIh</f>
        <v>1000.2499141540436</v>
      </c>
      <c r="AD18" s="10">
        <f>MAX(Tabella211[[#This Row],[Cum_D_fit]]-CIh,0)</f>
        <v>0</v>
      </c>
      <c r="AE18" s="1"/>
      <c r="AF18" s="68"/>
      <c r="AG18" s="82"/>
      <c r="AT18" s="75">
        <f>MAX($AG$26)</f>
        <v>0.99811779742838358</v>
      </c>
    </row>
    <row r="19" spans="2:46" ht="19.2" customHeight="1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Tabella211[[#This Row],[Cum_confirmed]]*NOT(ISBLANK(Tabella211[[#This Row],[Cum_confirmed]]))</f>
        <v>4636</v>
      </c>
      <c r="G19" s="50">
        <f>k*t0*_xlfn.GAMMA.DIST(Tabella211[[#This Row],[Day]]/t0,w+1,1,1)*_xlfn.GAMMA(w+1)</f>
        <v>1590.5184548641305</v>
      </c>
      <c r="H19" s="10">
        <f>k*((Tabella211[[#This Row],[Day]]/t0)^w)*EXP(-(Tabella211[[#This Row],[Day]]/t0))</f>
        <v>700.22451233090646</v>
      </c>
      <c r="I19" s="56">
        <f>Tabella211[[#This Row],[Cum_fit]]*NOT(ISBLANK(Tabella211[[#This Row],[Cum_confirmed]]))</f>
        <v>1590.5184548641305</v>
      </c>
      <c r="J19" s="10">
        <f>Tabella211[[#This Row],[Cum_fit]]+CI</f>
        <v>10060.639821426166</v>
      </c>
      <c r="K19" s="10">
        <f>MAX(Tabella211[[#This Row],[Cum_fit]]-CI,0)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Tabella211[[#This Row],[New_cases_fit]]-Tabella211[[#This Row],[New_Recovered_fit]]-Tabella211[[#This Row],[New_Deaths_fit]]</f>
        <v>564.52411645354289</v>
      </c>
      <c r="O19" s="10">
        <f>'dpc-covid19-ita-andamento-naz'!J13</f>
        <v>523</v>
      </c>
      <c r="P19" s="48">
        <f>Tabella211[[#This Row],[Cum_recov]]-O18</f>
        <v>109</v>
      </c>
      <c r="Q19" s="60">
        <f>Tabella211[[#This Row],[Cum_recov]]*NOT(ISBLANK(Tabella211[[#This Row],[Cum_recov]]))</f>
        <v>523</v>
      </c>
      <c r="R19" s="50">
        <f>kr*t0r*_xlfn.GAMMA.DIST(Tabella211[[#This Row],[Day]]/t0r,wr+1,1,1)*_xlfn.GAMMA(wr+1)</f>
        <v>377.54014038237108</v>
      </c>
      <c r="S19" s="10">
        <f>kr*((Tabella211[[#This Row],[Day]]/t0r)^wr)*EXP(-(Tabella211[[#This Row],[Day]]/t0r))</f>
        <v>112.11279580889735</v>
      </c>
      <c r="T19" s="60">
        <f>Tabella211[[#This Row],[Cum_R_fit]]*NOT(ISBLANK(Tabella211[[#This Row],[Cum_recov]]))</f>
        <v>377.54014038237108</v>
      </c>
      <c r="U19" s="10">
        <f>Tabella211[[#This Row],[Cum_R_fit]]+CIr</f>
        <v>1298.3508636456245</v>
      </c>
      <c r="V19" s="10">
        <f>MAX(Tabella211[[#This Row],[Cum_R_fit]]-CIr,0)</f>
        <v>0</v>
      </c>
      <c r="W19" s="10">
        <f>'dpc-covid19-ita-andamento-naz'!K13</f>
        <v>197</v>
      </c>
      <c r="X19" s="26">
        <f>Tabella211[[#This Row],[Cum_deaths]]-W18</f>
        <v>49</v>
      </c>
      <c r="Y19" s="65">
        <f>Tabella211[[#This Row],[Cum_deaths]]*NOT(ISBLANK(Tabella211[[#This Row],[Cum_deaths]]))</f>
        <v>197</v>
      </c>
      <c r="Z19" s="50">
        <f>kh*t0h*_xlfn.GAMMA.DIST(Tabella211[[#This Row],[Day]]/t0h,wh+1,1,1)*_xlfn.GAMMA(wh+1)</f>
        <v>38.9251482267235</v>
      </c>
      <c r="AA19" s="10">
        <f>kh*((Tabella211[[#This Row],[Day]]/t0h)^wh)*EXP(-(Tabella211[[#This Row],[Day]]/t0h))</f>
        <v>23.587600068466266</v>
      </c>
      <c r="AB19" s="65">
        <f>Tabella211[[#This Row],[Cum_D_fit]]*NOT(ISBLANK(Tabella211[[#This Row],[Cum_deaths]]))</f>
        <v>38.9251482267235</v>
      </c>
      <c r="AC19" s="10">
        <f>Tabella211[[#This Row],[Cum_D_fit]]+CIh</f>
        <v>1018.7523921620652</v>
      </c>
      <c r="AD19" s="10">
        <f>MAX(Tabella211[[#This Row],[Cum_D_fit]]-CIh,0)</f>
        <v>0</v>
      </c>
      <c r="AE19" s="1"/>
      <c r="AF19" s="59" t="s">
        <v>81</v>
      </c>
      <c r="AG19" s="80" t="s">
        <v>97</v>
      </c>
      <c r="AT19" s="76">
        <f>COUNT($AG$21,$AG$22)</f>
        <v>2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Tabella211[[#This Row],[Cum_confirmed]]*NOT(ISBLANK(Tabella211[[#This Row],[Cum_confirmed]]))</f>
        <v>5883</v>
      </c>
      <c r="G20" s="50">
        <f>k*t0*_xlfn.GAMMA.DIST(Tabella211[[#This Row],[Day]]/t0,w+1,1,1)*_xlfn.GAMMA(w+1)</f>
        <v>2408.9526478481371</v>
      </c>
      <c r="H20" s="10">
        <f>k*((Tabella211[[#This Row],[Day]]/t0)^w)*EXP(-(Tabella211[[#This Row],[Day]]/t0))</f>
        <v>942.98645561112266</v>
      </c>
      <c r="I20" s="56">
        <f>Tabella211[[#This Row],[Cum_fit]]*NOT(ISBLANK(Tabella211[[#This Row],[Cum_confirmed]]))</f>
        <v>2408.9526478481371</v>
      </c>
      <c r="J20" s="10">
        <f>Tabella211[[#This Row],[Cum_fit]]+CI</f>
        <v>10879.074014410173</v>
      </c>
      <c r="K20" s="10">
        <f>MAX(Tabella211[[#This Row],[Cum_fit]]-CI,0)</f>
        <v>0</v>
      </c>
      <c r="L20" s="54">
        <f>'dpc-covid19-ita-andamento-naz'!G14</f>
        <v>5061</v>
      </c>
      <c r="M20" s="54">
        <f>'dpc-covid19-ita-andamento-naz'!H14</f>
        <v>1145</v>
      </c>
      <c r="N20" s="54">
        <f>Tabella211[[#This Row],[New_cases_fit]]-Tabella211[[#This Row],[New_Recovered_fit]]-Tabella211[[#This Row],[New_Deaths_fit]]</f>
        <v>770.08478316730589</v>
      </c>
      <c r="O20" s="10">
        <f>'dpc-covid19-ita-andamento-naz'!J14</f>
        <v>589</v>
      </c>
      <c r="P20" s="48">
        <f>Tabella211[[#This Row],[Cum_recov]]-O19</f>
        <v>66</v>
      </c>
      <c r="Q20" s="60">
        <f>Tabella211[[#This Row],[Cum_recov]]*NOT(ISBLANK(Tabella211[[#This Row],[Cum_recov]]))</f>
        <v>589</v>
      </c>
      <c r="R20" s="50">
        <f>kr*t0r*_xlfn.GAMMA.DIST(Tabella211[[#This Row],[Day]]/t0r,wr+1,1,1)*_xlfn.GAMMA(wr+1)</f>
        <v>501.28802487024939</v>
      </c>
      <c r="S20" s="10">
        <f>kr*((Tabella211[[#This Row],[Day]]/t0r)^wr)*EXP(-(Tabella211[[#This Row],[Day]]/t0r))</f>
        <v>135.75407442538619</v>
      </c>
      <c r="T20" s="60">
        <f>Tabella211[[#This Row],[Cum_R_fit]]*NOT(ISBLANK(Tabella211[[#This Row],[Cum_recov]]))</f>
        <v>501.28802487024939</v>
      </c>
      <c r="U20" s="10">
        <f>Tabella211[[#This Row],[Cum_R_fit]]+CIr</f>
        <v>1422.0987481335028</v>
      </c>
      <c r="V20" s="10">
        <f>MAX(Tabella211[[#This Row],[Cum_R_fit]]-CIr,0)</f>
        <v>0</v>
      </c>
      <c r="W20" s="10">
        <f>'dpc-covid19-ita-andamento-naz'!K14</f>
        <v>233</v>
      </c>
      <c r="X20" s="26">
        <f>Tabella211[[#This Row],[Cum_deaths]]-W19</f>
        <v>36</v>
      </c>
      <c r="Y20" s="65">
        <f>Tabella211[[#This Row],[Cum_deaths]]*NOT(ISBLANK(Tabella211[[#This Row],[Cum_deaths]]))</f>
        <v>233</v>
      </c>
      <c r="Z20" s="50">
        <f>kh*t0h*_xlfn.GAMMA.DIST(Tabella211[[#This Row],[Day]]/t0h,wh+1,1,1)*_xlfn.GAMMA(wh+1)</f>
        <v>68.93058027274347</v>
      </c>
      <c r="AA20" s="10">
        <f>kh*((Tabella211[[#This Row],[Day]]/t0h)^wh)*EXP(-(Tabella211[[#This Row],[Day]]/t0h))</f>
        <v>37.147598018430557</v>
      </c>
      <c r="AB20" s="65">
        <f>Tabella211[[#This Row],[Cum_D_fit]]*NOT(ISBLANK(Tabella211[[#This Row],[Cum_deaths]]))</f>
        <v>68.93058027274347</v>
      </c>
      <c r="AC20" s="10">
        <f>Tabella211[[#This Row],[Cum_D_fit]]+CIh</f>
        <v>1048.7578242080851</v>
      </c>
      <c r="AD20" s="10">
        <f>MAX(Tabella211[[#This Row],[Cum_D_fit]]-CIh,0)</f>
        <v>0</v>
      </c>
      <c r="AE20" s="1"/>
      <c r="AF20" s="83" t="s">
        <v>108</v>
      </c>
      <c r="AG20" s="84">
        <f>Kd</f>
        <v>4579.4605690999033</v>
      </c>
      <c r="AT20" s="76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Tabella211[[#This Row],[Cum_confirmed]]*NOT(ISBLANK(Tabella211[[#This Row],[Cum_confirmed]]))</f>
        <v>7375</v>
      </c>
      <c r="G21" s="50">
        <f>k*t0*_xlfn.GAMMA.DIST(Tabella211[[#This Row],[Day]]/t0,w+1,1,1)*_xlfn.GAMMA(w+1)</f>
        <v>3488.5804292315747</v>
      </c>
      <c r="H21" s="10">
        <f>k*((Tabella211[[#This Row],[Day]]/t0)^w)*EXP(-(Tabella211[[#This Row],[Day]]/t0))</f>
        <v>1221.9566869906375</v>
      </c>
      <c r="I21" s="56">
        <f>Tabella211[[#This Row],[Cum_fit]]*NOT(ISBLANK(Tabella211[[#This Row],[Cum_confirmed]]))</f>
        <v>3488.5804292315747</v>
      </c>
      <c r="J21" s="10">
        <f>Tabella211[[#This Row],[Cum_fit]]+CI</f>
        <v>11958.701795793611</v>
      </c>
      <c r="K21" s="10">
        <f>MAX(Tabella211[[#This Row],[Cum_fit]]-CI,0)</f>
        <v>0</v>
      </c>
      <c r="L21" s="54">
        <f>'dpc-covid19-ita-andamento-naz'!G15</f>
        <v>6387</v>
      </c>
      <c r="M21" s="54">
        <f>'dpc-covid19-ita-andamento-naz'!H15</f>
        <v>1326</v>
      </c>
      <c r="N21" s="54">
        <f>Tabella211[[#This Row],[New_cases_fit]]-Tabella211[[#This Row],[New_Recovered_fit]]-Tabella211[[#This Row],[New_Deaths_fit]]</f>
        <v>1005.0090036296175</v>
      </c>
      <c r="O21" s="10">
        <f>'dpc-covid19-ita-andamento-naz'!J15</f>
        <v>622</v>
      </c>
      <c r="P21" s="48">
        <f>Tabella211[[#This Row],[Cum_recov]]-O20</f>
        <v>33</v>
      </c>
      <c r="Q21" s="60">
        <f>Tabella211[[#This Row],[Cum_recov]]*NOT(ISBLANK(Tabella211[[#This Row],[Cum_recov]]))</f>
        <v>622</v>
      </c>
      <c r="R21" s="50">
        <f>kr*t0r*_xlfn.GAMMA.DIST(Tabella211[[#This Row],[Day]]/t0r,wr+1,1,1)*_xlfn.GAMMA(wr+1)</f>
        <v>649.78131045960731</v>
      </c>
      <c r="S21" s="10">
        <f>kr*((Tabella211[[#This Row],[Day]]/t0r)^wr)*EXP(-(Tabella211[[#This Row],[Day]]/t0r))</f>
        <v>161.59413889588097</v>
      </c>
      <c r="T21" s="60">
        <f>Tabella211[[#This Row],[Cum_R_fit]]*NOT(ISBLANK(Tabella211[[#This Row],[Cum_recov]]))</f>
        <v>649.78131045960731</v>
      </c>
      <c r="U21" s="10">
        <f>Tabella211[[#This Row],[Cum_R_fit]]+CIr</f>
        <v>1570.5920337228608</v>
      </c>
      <c r="V21" s="10">
        <f>MAX(Tabella211[[#This Row],[Cum_R_fit]]-CIr,0)</f>
        <v>0</v>
      </c>
      <c r="W21" s="10">
        <f>'dpc-covid19-ita-andamento-naz'!K15</f>
        <v>366</v>
      </c>
      <c r="X21" s="26">
        <f>Tabella211[[#This Row],[Cum_deaths]]-W20</f>
        <v>133</v>
      </c>
      <c r="Y21" s="65">
        <f>Tabella211[[#This Row],[Cum_deaths]]*NOT(ISBLANK(Tabella211[[#This Row],[Cum_deaths]]))</f>
        <v>366</v>
      </c>
      <c r="Z21" s="50">
        <f>kh*t0h*_xlfn.GAMMA.DIST(Tabella211[[#This Row],[Day]]/t0h,wh+1,1,1)*_xlfn.GAMMA(wh+1)</f>
        <v>114.77092063785612</v>
      </c>
      <c r="AA21" s="10">
        <f>kh*((Tabella211[[#This Row],[Day]]/t0h)^wh)*EXP(-(Tabella211[[#This Row],[Day]]/t0h))</f>
        <v>55.353544465139201</v>
      </c>
      <c r="AB21" s="65">
        <f>Tabella211[[#This Row],[Cum_D_fit]]*NOT(ISBLANK(Tabella211[[#This Row],[Cum_deaths]]))</f>
        <v>114.77092063785612</v>
      </c>
      <c r="AC21" s="10">
        <f>Tabella211[[#This Row],[Cum_D_fit]]+CIh</f>
        <v>1094.5981645731979</v>
      </c>
      <c r="AD21" s="10">
        <f>MAX(Tabella211[[#This Row],[Cum_D_fit]]-CIh,0)</f>
        <v>0</v>
      </c>
      <c r="AE21" s="1"/>
      <c r="AF21" s="83" t="s">
        <v>100</v>
      </c>
      <c r="AG21" s="84">
        <f>t0d</f>
        <v>45.18745727758786</v>
      </c>
      <c r="AT21" s="76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Tabella211[[#This Row],[Cum_confirmed]]*NOT(ISBLANK(Tabella211[[#This Row],[Cum_confirmed]]))</f>
        <v>9172</v>
      </c>
      <c r="G22" s="50">
        <f>k*t0*_xlfn.GAMMA.DIST(Tabella211[[#This Row],[Day]]/t0,w+1,1,1)*_xlfn.GAMMA(w+1)</f>
        <v>4863.3685769932436</v>
      </c>
      <c r="H22" s="10">
        <f>k*((Tabella211[[#This Row],[Day]]/t0)^w)*EXP(-(Tabella211[[#This Row],[Day]]/t0))</f>
        <v>1532.3881393924614</v>
      </c>
      <c r="I22" s="56">
        <f>Tabella211[[#This Row],[Cum_fit]]*NOT(ISBLANK(Tabella211[[#This Row],[Cum_confirmed]]))</f>
        <v>4863.3685769932436</v>
      </c>
      <c r="J22" s="10">
        <f>Tabella211[[#This Row],[Cum_fit]]+CI</f>
        <v>13333.48994355528</v>
      </c>
      <c r="K22" s="10">
        <f>MAX(Tabella211[[#This Row],[Cum_fit]]-CI,0)</f>
        <v>0</v>
      </c>
      <c r="L22" s="54">
        <f>'dpc-covid19-ita-andamento-naz'!G16</f>
        <v>7985</v>
      </c>
      <c r="M22" s="54">
        <f>'dpc-covid19-ita-andamento-naz'!H16</f>
        <v>1598</v>
      </c>
      <c r="N22" s="54">
        <f>Tabella211[[#This Row],[New_cases_fit]]-Tabella211[[#This Row],[New_Recovered_fit]]-Tabella211[[#This Row],[New_Deaths_fit]]</f>
        <v>1264.1305022961637</v>
      </c>
      <c r="O22" s="10">
        <f>'dpc-covid19-ita-andamento-naz'!J16</f>
        <v>724</v>
      </c>
      <c r="P22" s="48">
        <f>Tabella211[[#This Row],[Cum_recov]]-O21</f>
        <v>102</v>
      </c>
      <c r="Q22" s="60">
        <f>Tabella211[[#This Row],[Cum_recov]]*NOT(ISBLANK(Tabella211[[#This Row],[Cum_recov]]))</f>
        <v>724</v>
      </c>
      <c r="R22" s="50">
        <f>kr*t0r*_xlfn.GAMMA.DIST(Tabella211[[#This Row],[Day]]/t0r,wr+1,1,1)*_xlfn.GAMMA(wr+1)</f>
        <v>825.18909621737509</v>
      </c>
      <c r="S22" s="10">
        <f>kr*((Tabella211[[#This Row],[Day]]/t0r)^wr)*EXP(-(Tabella211[[#This Row],[Day]]/t0r))</f>
        <v>189.57235733175966</v>
      </c>
      <c r="T22" s="60">
        <f>Tabella211[[#This Row],[Cum_R_fit]]*NOT(ISBLANK(Tabella211[[#This Row],[Cum_recov]]))</f>
        <v>825.18909621737509</v>
      </c>
      <c r="U22" s="10">
        <f>Tabella211[[#This Row],[Cum_R_fit]]+CIr</f>
        <v>1745.9998194806285</v>
      </c>
      <c r="V22" s="10">
        <f>MAX(Tabella211[[#This Row],[Cum_R_fit]]-CIr,0)</f>
        <v>0</v>
      </c>
      <c r="W22" s="10">
        <f>'dpc-covid19-ita-andamento-naz'!K16</f>
        <v>463</v>
      </c>
      <c r="X22" s="26">
        <f>Tabella211[[#This Row],[Cum_deaths]]-W21</f>
        <v>97</v>
      </c>
      <c r="Y22" s="65">
        <f>Tabella211[[#This Row],[Cum_deaths]]*NOT(ISBLANK(Tabella211[[#This Row],[Cum_deaths]]))</f>
        <v>463</v>
      </c>
      <c r="Z22" s="50">
        <f>kh*t0h*_xlfn.GAMMA.DIST(Tabella211[[#This Row],[Day]]/t0h,wh+1,1,1)*_xlfn.GAMMA(wh+1)</f>
        <v>181.3487744152612</v>
      </c>
      <c r="AA22" s="10">
        <f>kh*((Tabella211[[#This Row],[Day]]/t0h)^wh)*EXP(-(Tabella211[[#This Row],[Day]]/t0h))</f>
        <v>78.685279764538208</v>
      </c>
      <c r="AB22" s="65">
        <f>Tabella211[[#This Row],[Cum_D_fit]]*NOT(ISBLANK(Tabella211[[#This Row],[Cum_deaths]]))</f>
        <v>181.3487744152612</v>
      </c>
      <c r="AC22" s="10">
        <f>Tabella211[[#This Row],[Cum_D_fit]]+CIh</f>
        <v>1161.1760183506028</v>
      </c>
      <c r="AD22" s="10">
        <f>MAX(Tabella211[[#This Row],[Cum_D_fit]]-CIh,0)</f>
        <v>0</v>
      </c>
      <c r="AE22" s="1"/>
      <c r="AF22" s="83" t="s">
        <v>1</v>
      </c>
      <c r="AG22" s="84">
        <f>wd</f>
        <v>2.4533520183827178</v>
      </c>
      <c r="AT22" s="76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Tabella211[[#This Row],[Cum_confirmed]]*NOT(ISBLANK(Tabella211[[#This Row],[Cum_confirmed]]))</f>
        <v>10149</v>
      </c>
      <c r="G23" s="50">
        <f>k*t0*_xlfn.GAMMA.DIST(Tabella211[[#This Row],[Day]]/t0,w+1,1,1)*_xlfn.GAMMA(w+1)</f>
        <v>6561.809490838923</v>
      </c>
      <c r="H23" s="10">
        <f>k*((Tabella211[[#This Row],[Day]]/t0)^w)*EXP(-(Tabella211[[#This Row],[Day]]/t0))</f>
        <v>1868.1453433483396</v>
      </c>
      <c r="I23" s="56">
        <f>Tabella211[[#This Row],[Cum_fit]]*NOT(ISBLANK(Tabella211[[#This Row],[Cum_confirmed]]))</f>
        <v>6561.809490838923</v>
      </c>
      <c r="J23" s="10">
        <f>Tabella211[[#This Row],[Cum_fit]]+CI</f>
        <v>15031.930857400959</v>
      </c>
      <c r="K23" s="10">
        <f>MAX(Tabella211[[#This Row],[Cum_fit]]-CI,0)</f>
        <v>0</v>
      </c>
      <c r="L23" s="54">
        <f>'dpc-covid19-ita-andamento-naz'!G17</f>
        <v>8514</v>
      </c>
      <c r="M23" s="54">
        <f>'dpc-covid19-ita-andamento-naz'!H17</f>
        <v>529</v>
      </c>
      <c r="N23" s="54">
        <f>Tabella211[[#This Row],[New_cases_fit]]-Tabella211[[#This Row],[New_Recovered_fit]]-Tabella211[[#This Row],[New_Deaths_fit]]</f>
        <v>1541.1247591932711</v>
      </c>
      <c r="O23" s="10">
        <f>'dpc-covid19-ita-andamento-naz'!J17</f>
        <v>1004</v>
      </c>
      <c r="P23" s="48">
        <f>Tabella211[[#This Row],[Cum_recov]]-O22</f>
        <v>280</v>
      </c>
      <c r="Q23" s="60">
        <f>Tabella211[[#This Row],[Cum_recov]]*NOT(ISBLANK(Tabella211[[#This Row],[Cum_recov]]))</f>
        <v>1004</v>
      </c>
      <c r="R23" s="50">
        <f>kr*t0r*_xlfn.GAMMA.DIST(Tabella211[[#This Row],[Day]]/t0r,wr+1,1,1)*_xlfn.GAMMA(wr+1)</f>
        <v>1029.6163169070887</v>
      </c>
      <c r="S23" s="10">
        <f>kr*((Tabella211[[#This Row],[Day]]/t0r)^wr)*EXP(-(Tabella211[[#This Row],[Day]]/t0r))</f>
        <v>219.62126723764101</v>
      </c>
      <c r="T23" s="60">
        <f>Tabella211[[#This Row],[Cum_R_fit]]*NOT(ISBLANK(Tabella211[[#This Row],[Cum_recov]]))</f>
        <v>1029.6163169070887</v>
      </c>
      <c r="U23" s="10">
        <f>Tabella211[[#This Row],[Cum_R_fit]]+CIr</f>
        <v>1950.427040170342</v>
      </c>
      <c r="V23" s="10">
        <f>MAX(Tabella211[[#This Row],[Cum_R_fit]]-CIr,0)</f>
        <v>108.80559364383532</v>
      </c>
      <c r="W23" s="10">
        <f>'dpc-covid19-ita-andamento-naz'!K17</f>
        <v>631</v>
      </c>
      <c r="X23" s="26">
        <f>Tabella211[[#This Row],[Cum_deaths]]-W22</f>
        <v>168</v>
      </c>
      <c r="Y23" s="65">
        <f>Tabella211[[#This Row],[Cum_deaths]]*NOT(ISBLANK(Tabella211[[#This Row],[Cum_deaths]]))</f>
        <v>631</v>
      </c>
      <c r="Z23" s="50">
        <f>kh*t0h*_xlfn.GAMMA.DIST(Tabella211[[#This Row],[Day]]/t0h,wh+1,1,1)*_xlfn.GAMMA(wh+1)</f>
        <v>273.9384418436702</v>
      </c>
      <c r="AA23" s="10">
        <f>kh*((Tabella211[[#This Row],[Day]]/t0h)^wh)*EXP(-(Tabella211[[#This Row],[Day]]/t0h))</f>
        <v>107.39931691742756</v>
      </c>
      <c r="AB23" s="65">
        <f>Tabella211[[#This Row],[Cum_D_fit]]*NOT(ISBLANK(Tabella211[[#This Row],[Cum_deaths]]))</f>
        <v>273.9384418436702</v>
      </c>
      <c r="AC23" s="10">
        <f>Tabella211[[#This Row],[Cum_D_fit]]+CIh</f>
        <v>1253.7656857790118</v>
      </c>
      <c r="AD23" s="10">
        <f>MAX(Tabella211[[#This Row],[Cum_D_fit]]-CIh,0)</f>
        <v>0</v>
      </c>
      <c r="AE23" s="1"/>
      <c r="AF23" s="85" t="s">
        <v>2</v>
      </c>
      <c r="AG23" s="86">
        <f>AVERAGE(Tabella211[Cum_recov])</f>
        <v>7547.630434782609</v>
      </c>
      <c r="AT23" s="77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Tabella211[[#This Row],[Cum_confirmed]]*NOT(ISBLANK(Tabella211[[#This Row],[Cum_confirmed]]))</f>
        <v>12462</v>
      </c>
      <c r="G24" s="50">
        <f>k*t0*_xlfn.GAMMA.DIST(Tabella211[[#This Row],[Day]]/t0,w+1,1,1)*_xlfn.GAMMA(w+1)</f>
        <v>8605.7363889129556</v>
      </c>
      <c r="H24" s="10">
        <f>k*((Tabella211[[#This Row],[Day]]/t0)^w)*EXP(-(Tabella211[[#This Row],[Day]]/t0))</f>
        <v>2222.1152864381188</v>
      </c>
      <c r="I24" s="56">
        <f>Tabella211[[#This Row],[Cum_fit]]*NOT(ISBLANK(Tabella211[[#This Row],[Cum_confirmed]]))</f>
        <v>8605.7363889129556</v>
      </c>
      <c r="J24" s="10">
        <f>Tabella211[[#This Row],[Cum_fit]]+CI</f>
        <v>17075.857755474994</v>
      </c>
      <c r="K24" s="10">
        <f>MAX(Tabella211[[#This Row],[Cum_fit]]-CI,0)</f>
        <v>135.61502235091939</v>
      </c>
      <c r="L24" s="54">
        <f>'dpc-covid19-ita-andamento-naz'!G18</f>
        <v>10590</v>
      </c>
      <c r="M24" s="54">
        <f>'dpc-covid19-ita-andamento-naz'!H18</f>
        <v>2076</v>
      </c>
      <c r="N24" s="54">
        <f>Tabella211[[#This Row],[New_cases_fit]]-Tabella211[[#This Row],[New_Recovered_fit]]-Tabella211[[#This Row],[New_Deaths_fit]]</f>
        <v>1828.9501085656132</v>
      </c>
      <c r="O24" s="10">
        <f>'dpc-covid19-ita-andamento-naz'!J18</f>
        <v>1045</v>
      </c>
      <c r="P24" s="48">
        <f>Tabella211[[#This Row],[Cum_recov]]-O23</f>
        <v>41</v>
      </c>
      <c r="Q24" s="60">
        <f>Tabella211[[#This Row],[Cum_recov]]*NOT(ISBLANK(Tabella211[[#This Row],[Cum_recov]]))</f>
        <v>1045</v>
      </c>
      <c r="R24" s="50">
        <f>kr*t0r*_xlfn.GAMMA.DIST(Tabella211[[#This Row],[Day]]/t0r,wr+1,1,1)*_xlfn.GAMMA(wr+1)</f>
        <v>1265.0975762427363</v>
      </c>
      <c r="S24" s="10">
        <f>kr*((Tabella211[[#This Row],[Day]]/t0r)^wr)*EXP(-(Tabella211[[#This Row],[Day]]/t0r))</f>
        <v>251.66786612593276</v>
      </c>
      <c r="T24" s="60">
        <f>Tabella211[[#This Row],[Cum_R_fit]]*NOT(ISBLANK(Tabella211[[#This Row],[Cum_recov]]))</f>
        <v>1265.0975762427363</v>
      </c>
      <c r="U24" s="10">
        <f>Tabella211[[#This Row],[Cum_R_fit]]+CIr</f>
        <v>2185.9082995059898</v>
      </c>
      <c r="V24" s="10">
        <f>MAX(Tabella211[[#This Row],[Cum_R_fit]]-CIr,0)</f>
        <v>344.28685297948289</v>
      </c>
      <c r="W24" s="10">
        <f>'dpc-covid19-ita-andamento-naz'!K18</f>
        <v>827</v>
      </c>
      <c r="X24" s="26">
        <f>Tabella211[[#This Row],[Cum_deaths]]-W23</f>
        <v>196</v>
      </c>
      <c r="Y24" s="65">
        <f>Tabella211[[#This Row],[Cum_deaths]]*NOT(ISBLANK(Tabella211[[#This Row],[Cum_deaths]]))</f>
        <v>827</v>
      </c>
      <c r="Z24" s="50">
        <f>kh*t0h*_xlfn.GAMMA.DIST(Tabella211[[#This Row],[Day]]/t0h,wh+1,1,1)*_xlfn.GAMMA(wh+1)</f>
        <v>397.94502877089354</v>
      </c>
      <c r="AA24" s="10">
        <f>kh*((Tabella211[[#This Row],[Day]]/t0h)^wh)*EXP(-(Tabella211[[#This Row],[Day]]/t0h))</f>
        <v>141.4973117465729</v>
      </c>
      <c r="AB24" s="65">
        <f>Tabella211[[#This Row],[Cum_D_fit]]*NOT(ISBLANK(Tabella211[[#This Row],[Cum_deaths]]))</f>
        <v>397.94502877089354</v>
      </c>
      <c r="AC24" s="10">
        <f>Tabella211[[#This Row],[Cum_D_fit]]+CIh</f>
        <v>1377.7722727062353</v>
      </c>
      <c r="AD24" s="10">
        <f>MAX(Tabella211[[#This Row],[Cum_D_fit]]-CIh,0)</f>
        <v>0</v>
      </c>
      <c r="AE24" s="1"/>
      <c r="AF24" s="85" t="s">
        <v>3</v>
      </c>
      <c r="AG24" s="86">
        <f>COUNT(Tabella211[Cum_recov])-COUNT(AG20:AG22)</f>
        <v>43</v>
      </c>
      <c r="AT24" s="104" t="s">
        <v>98</v>
      </c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Tabella211[[#This Row],[Cum_confirmed]]*NOT(ISBLANK(Tabella211[[#This Row],[Cum_confirmed]]))</f>
        <v>15113</v>
      </c>
      <c r="G25" s="50">
        <f>k*t0*_xlfn.GAMMA.DIST(Tabella211[[#This Row],[Day]]/t0,w+1,1,1)*_xlfn.GAMMA(w+1)</f>
        <v>11009.554420277089</v>
      </c>
      <c r="H25" s="10">
        <f>k*((Tabella211[[#This Row],[Day]]/t0)^w)*EXP(-(Tabella211[[#This Row],[Day]]/t0))</f>
        <v>2586.6227674729244</v>
      </c>
      <c r="I25" s="56">
        <f>Tabella211[[#This Row],[Cum_fit]]*NOT(ISBLANK(Tabella211[[#This Row],[Cum_confirmed]]))</f>
        <v>11009.554420277089</v>
      </c>
      <c r="J25" s="10">
        <f>Tabella211[[#This Row],[Cum_fit]]+CI</f>
        <v>19479.675786839125</v>
      </c>
      <c r="K25" s="10">
        <f>MAX(Tabella211[[#This Row],[Cum_fit]]-CI,0)</f>
        <v>2539.4330537150527</v>
      </c>
      <c r="L25" s="54">
        <f>'dpc-covid19-ita-andamento-naz'!G19</f>
        <v>12839</v>
      </c>
      <c r="M25" s="54">
        <f>'dpc-covid19-ita-andamento-naz'!H19</f>
        <v>2249</v>
      </c>
      <c r="N25" s="54">
        <f>Tabella211[[#This Row],[New_cases_fit]]-Tabella211[[#This Row],[New_Recovered_fit]]-Tabella211[[#This Row],[New_Deaths_fit]]</f>
        <v>2120.2717708981918</v>
      </c>
      <c r="O25" s="10">
        <f>'dpc-covid19-ita-andamento-naz'!J19</f>
        <v>1258</v>
      </c>
      <c r="P25" s="48">
        <f>Tabella211[[#This Row],[Cum_recov]]-O24</f>
        <v>213</v>
      </c>
      <c r="Q25" s="60">
        <f>Tabella211[[#This Row],[Cum_recov]]*NOT(ISBLANK(Tabella211[[#This Row],[Cum_recov]]))</f>
        <v>1258</v>
      </c>
      <c r="R25" s="50">
        <f>kr*t0r*_xlfn.GAMMA.DIST(Tabella211[[#This Row],[Day]]/t0r,wr+1,1,1)*_xlfn.GAMMA(wr+1)</f>
        <v>1533.5921672285838</v>
      </c>
      <c r="S25" s="10">
        <f>kr*((Tabella211[[#This Row],[Day]]/t0r)^wr)*EXP(-(Tabella211[[#This Row],[Day]]/t0r))</f>
        <v>285.63470242542348</v>
      </c>
      <c r="T25" s="60">
        <f>Tabella211[[#This Row],[Cum_R_fit]]*NOT(ISBLANK(Tabella211[[#This Row],[Cum_recov]]))</f>
        <v>1533.5921672285838</v>
      </c>
      <c r="U25" s="10">
        <f>Tabella211[[#This Row],[Cum_R_fit]]+CIr</f>
        <v>2454.4028904918373</v>
      </c>
      <c r="V25" s="10">
        <f>MAX(Tabella211[[#This Row],[Cum_R_fit]]-CIr,0)</f>
        <v>612.78144396533037</v>
      </c>
      <c r="W25" s="10">
        <f>'dpc-covid19-ita-andamento-naz'!K19</f>
        <v>1016</v>
      </c>
      <c r="X25" s="26">
        <f>Tabella211[[#This Row],[Cum_deaths]]-W24</f>
        <v>189</v>
      </c>
      <c r="Y25" s="65">
        <f>Tabella211[[#This Row],[Cum_deaths]]*NOT(ISBLANK(Tabella211[[#This Row],[Cum_deaths]]))</f>
        <v>1016</v>
      </c>
      <c r="Z25" s="50">
        <f>kh*t0h*_xlfn.GAMMA.DIST(Tabella211[[#This Row],[Day]]/t0h,wh+1,1,1)*_xlfn.GAMMA(wh+1)</f>
        <v>558.642904327054</v>
      </c>
      <c r="AA25" s="10">
        <f>kh*((Tabella211[[#This Row],[Day]]/t0h)^wh)*EXP(-(Tabella211[[#This Row],[Day]]/t0h))</f>
        <v>180.71629414930865</v>
      </c>
      <c r="AB25" s="65">
        <f>Tabella211[[#This Row],[Cum_D_fit]]*NOT(ISBLANK(Tabella211[[#This Row],[Cum_deaths]]))</f>
        <v>558.642904327054</v>
      </c>
      <c r="AC25" s="10">
        <f>Tabella211[[#This Row],[Cum_D_fit]]+CIh</f>
        <v>1538.4701482623957</v>
      </c>
      <c r="AD25" s="10">
        <f>MAX(Tabella211[[#This Row],[Cum_D_fit]]-CIh,0)</f>
        <v>0</v>
      </c>
      <c r="AE25" s="1"/>
      <c r="AF25" s="85" t="s">
        <v>4</v>
      </c>
      <c r="AG25" s="87" cm="1">
        <f t="array" ref="AG25">SQRT(SUM((Tabella211[Colonna3]-Tabella211[Colonna4])^2)/dfr)</f>
        <v>456.59457780211795</v>
      </c>
      <c r="AT25" s="105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Tabella211[[#This Row],[Cum_confirmed]]*NOT(ISBLANK(Tabella211[[#This Row],[Cum_confirmed]]))</f>
        <v>17660</v>
      </c>
      <c r="G26" s="50">
        <f>k*t0*_xlfn.GAMMA.DIST(Tabella211[[#This Row],[Day]]/t0,w+1,1,1)*_xlfn.GAMMA(w+1)</f>
        <v>13779.876876972921</v>
      </c>
      <c r="H26" s="10">
        <f>k*((Tabella211[[#This Row],[Day]]/t0)^w)*EXP(-(Tabella211[[#This Row],[Day]]/t0))</f>
        <v>2953.8211567144863</v>
      </c>
      <c r="I26" s="56">
        <f>Tabella211[[#This Row],[Cum_fit]]*NOT(ISBLANK(Tabella211[[#This Row],[Cum_confirmed]]))</f>
        <v>13779.876876972921</v>
      </c>
      <c r="J26" s="10">
        <f>Tabella211[[#This Row],[Cum_fit]]+CI</f>
        <v>22249.998243534959</v>
      </c>
      <c r="K26" s="10">
        <f>MAX(Tabella211[[#This Row],[Cum_fit]]-CI,0)</f>
        <v>5309.7555104108851</v>
      </c>
      <c r="L26" s="54">
        <f>'dpc-covid19-ita-andamento-naz'!G20</f>
        <v>14955</v>
      </c>
      <c r="M26" s="54">
        <f>'dpc-covid19-ita-andamento-naz'!H20</f>
        <v>2116</v>
      </c>
      <c r="N26" s="54">
        <f>Tabella211[[#This Row],[New_cases_fit]]-Tabella211[[#This Row],[New_Recovered_fit]]-Tabella211[[#This Row],[New_Deaths_fit]]</f>
        <v>2407.8408236232772</v>
      </c>
      <c r="O26" s="10">
        <f>'dpc-covid19-ita-andamento-naz'!J20</f>
        <v>1439</v>
      </c>
      <c r="P26" s="48">
        <f>Tabella211[[#This Row],[Cum_recov]]-O25</f>
        <v>181</v>
      </c>
      <c r="Q26" s="60">
        <f>Tabella211[[#This Row],[Cum_recov]]*NOT(ISBLANK(Tabella211[[#This Row],[Cum_recov]]))</f>
        <v>1439</v>
      </c>
      <c r="R26" s="50">
        <f>kr*t0r*_xlfn.GAMMA.DIST(Tabella211[[#This Row],[Day]]/t0r,wr+1,1,1)*_xlfn.GAMMA(wr+1)</f>
        <v>1836.9800999533693</v>
      </c>
      <c r="S26" s="10">
        <f>kr*((Tabella211[[#This Row],[Day]]/t0r)^wr)*EXP(-(Tabella211[[#This Row],[Day]]/t0r))</f>
        <v>321.4408049886585</v>
      </c>
      <c r="T26" s="60">
        <f>Tabella211[[#This Row],[Cum_R_fit]]*NOT(ISBLANK(Tabella211[[#This Row],[Cum_recov]]))</f>
        <v>1836.9800999533693</v>
      </c>
      <c r="U26" s="10">
        <f>Tabella211[[#This Row],[Cum_R_fit]]+CIr</f>
        <v>2757.7908232166228</v>
      </c>
      <c r="V26" s="10">
        <f>MAX(Tabella211[[#This Row],[Cum_R_fit]]-CIr,0)</f>
        <v>916.16937669011588</v>
      </c>
      <c r="W26" s="10">
        <f>'dpc-covid19-ita-andamento-naz'!K20</f>
        <v>1266</v>
      </c>
      <c r="X26" s="26">
        <f>Tabella211[[#This Row],[Cum_deaths]]-W25</f>
        <v>250</v>
      </c>
      <c r="Y26" s="65">
        <f>Tabella211[[#This Row],[Cum_deaths]]*NOT(ISBLANK(Tabella211[[#This Row],[Cum_deaths]]))</f>
        <v>1266</v>
      </c>
      <c r="Z26" s="50">
        <f>kh*t0h*_xlfn.GAMMA.DIST(Tabella211[[#This Row],[Day]]/t0h,wh+1,1,1)*_xlfn.GAMMA(wh+1)</f>
        <v>760.91488883855186</v>
      </c>
      <c r="AA26" s="10">
        <f>kh*((Tabella211[[#This Row],[Day]]/t0h)^wh)*EXP(-(Tabella211[[#This Row],[Day]]/t0h))</f>
        <v>224.53952810255055</v>
      </c>
      <c r="AB26" s="65">
        <f>Tabella211[[#This Row],[Cum_D_fit]]*NOT(ISBLANK(Tabella211[[#This Row],[Cum_deaths]]))</f>
        <v>760.91488883855186</v>
      </c>
      <c r="AC26" s="10">
        <f>Tabella211[[#This Row],[Cum_D_fit]]+CIh</f>
        <v>1740.7421327738934</v>
      </c>
      <c r="AD26" s="10">
        <f>MAX(Tabella211[[#This Row],[Cum_D_fit]]-CIh,0)</f>
        <v>0</v>
      </c>
      <c r="AE26" s="1"/>
      <c r="AF26" s="85" t="s">
        <v>101</v>
      </c>
      <c r="AG26" s="88" cm="1">
        <f t="array" ref="AG26">1-SUM((Tabella211[Colonna3]-Tabella211[Colonna4])^2)/SUM((Tabella211[Colonna3]-Mean_of_yr)^2)</f>
        <v>0.99811779742838358</v>
      </c>
      <c r="AT26" s="105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Tabella211[[#This Row],[Cum_confirmed]]*NOT(ISBLANK(Tabella211[[#This Row],[Cum_confirmed]]))</f>
        <v>21157</v>
      </c>
      <c r="G27" s="50">
        <f>k*t0*_xlfn.GAMMA.DIST(Tabella211[[#This Row],[Day]]/t0,w+1,1,1)*_xlfn.GAMMA(w+1)</f>
        <v>16915.531111812026</v>
      </c>
      <c r="H27" s="10">
        <f>k*((Tabella211[[#This Row],[Day]]/t0)^w)*EXP(-(Tabella211[[#This Row],[Day]]/t0))</f>
        <v>3316.0383834025865</v>
      </c>
      <c r="I27" s="56">
        <f>Tabella211[[#This Row],[Cum_fit]]*NOT(ISBLANK(Tabella211[[#This Row],[Cum_confirmed]]))</f>
        <v>16915.531111812026</v>
      </c>
      <c r="J27" s="10">
        <f>Tabella211[[#This Row],[Cum_fit]]+CI</f>
        <v>25385.652478374061</v>
      </c>
      <c r="K27" s="10">
        <f>MAX(Tabella211[[#This Row],[Cum_fit]]-CI,0)</f>
        <v>8445.40974524999</v>
      </c>
      <c r="L27" s="54">
        <f>'dpc-covid19-ita-andamento-naz'!G21</f>
        <v>17750</v>
      </c>
      <c r="M27" s="54">
        <f>'dpc-covid19-ita-andamento-naz'!H21</f>
        <v>2795</v>
      </c>
      <c r="N27" s="54">
        <f>Tabella211[[#This Row],[New_cases_fit]]-Tabella211[[#This Row],[New_Recovered_fit]]-Tabella211[[#This Row],[New_Deaths_fit]]</f>
        <v>2684.8109358744914</v>
      </c>
      <c r="O27" s="10">
        <f>'dpc-covid19-ita-andamento-naz'!J21</f>
        <v>1966</v>
      </c>
      <c r="P27" s="48">
        <f>Tabella211[[#This Row],[Cum_recov]]-O26</f>
        <v>527</v>
      </c>
      <c r="Q27" s="60">
        <f>Tabella211[[#This Row],[Cum_recov]]*NOT(ISBLANK(Tabella211[[#This Row],[Cum_recov]]))</f>
        <v>1966</v>
      </c>
      <c r="R27" s="50">
        <f>kr*t0r*_xlfn.GAMMA.DIST(Tabella211[[#This Row],[Day]]/t0r,wr+1,1,1)*_xlfn.GAMMA(wr+1)</f>
        <v>2177.0589905782408</v>
      </c>
      <c r="S27" s="10">
        <f>kr*((Tabella211[[#This Row],[Day]]/t0r)^wr)*EXP(-(Tabella211[[#This Row],[Day]]/t0r))</f>
        <v>359.00248018629469</v>
      </c>
      <c r="T27" s="60">
        <f>Tabella211[[#This Row],[Cum_R_fit]]*NOT(ISBLANK(Tabella211[[#This Row],[Cum_recov]]))</f>
        <v>2177.0589905782408</v>
      </c>
      <c r="U27" s="10">
        <f>Tabella211[[#This Row],[Cum_R_fit]]+CIr</f>
        <v>3097.8697138414941</v>
      </c>
      <c r="V27" s="10">
        <f>MAX(Tabella211[[#This Row],[Cum_R_fit]]-CIr,0)</f>
        <v>1256.2482673149875</v>
      </c>
      <c r="W27" s="10">
        <f>'dpc-covid19-ita-andamento-naz'!K21</f>
        <v>1441</v>
      </c>
      <c r="X27" s="26">
        <f>Tabella211[[#This Row],[Cum_deaths]]-W26</f>
        <v>175</v>
      </c>
      <c r="Y27" s="65">
        <f>Tabella211[[#This Row],[Cum_deaths]]*NOT(ISBLANK(Tabella211[[#This Row],[Cum_deaths]]))</f>
        <v>1441</v>
      </c>
      <c r="Z27" s="50">
        <f>kh*t0h*_xlfn.GAMMA.DIST(Tabella211[[#This Row],[Day]]/t0h,wh+1,1,1)*_xlfn.GAMMA(wh+1)</f>
        <v>1009.0114122833246</v>
      </c>
      <c r="AA27" s="10">
        <f>kh*((Tabella211[[#This Row],[Day]]/t0h)^wh)*EXP(-(Tabella211[[#This Row],[Day]]/t0h))</f>
        <v>272.22496734180072</v>
      </c>
      <c r="AB27" s="65">
        <f>Tabella211[[#This Row],[Cum_D_fit]]*NOT(ISBLANK(Tabella211[[#This Row],[Cum_deaths]]))</f>
        <v>1009.0114122833246</v>
      </c>
      <c r="AC27" s="10">
        <f>Tabella211[[#This Row],[Cum_D_fit]]+CIh</f>
        <v>1988.8386562186663</v>
      </c>
      <c r="AD27" s="10">
        <f>MAX(Tabella211[[#This Row],[Cum_D_fit]]-CIh,0)</f>
        <v>29.184168347982904</v>
      </c>
      <c r="AE27" s="1"/>
      <c r="AF27" s="85" t="s">
        <v>6</v>
      </c>
      <c r="AG27" s="88">
        <f>TINV(0.05,dfr)</f>
        <v>2.0166921992278248</v>
      </c>
      <c r="AT27" s="106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Tabella211[[#This Row],[Cum_confirmed]]*NOT(ISBLANK(Tabella211[[#This Row],[Cum_confirmed]]))</f>
        <v>24747</v>
      </c>
      <c r="G28" s="50">
        <f>k*t0*_xlfn.GAMMA.DIST(Tabella211[[#This Row],[Day]]/t0,w+1,1,1)*_xlfn.GAMMA(w+1)</f>
        <v>20407.882665104426</v>
      </c>
      <c r="H28" s="10">
        <f>k*((Tabella211[[#This Row],[Day]]/t0)^w)*EXP(-(Tabella211[[#This Row],[Day]]/t0))</f>
        <v>3666.065924461172</v>
      </c>
      <c r="I28" s="56">
        <f>Tabella211[[#This Row],[Cum_fit]]*NOT(ISBLANK(Tabella211[[#This Row],[Cum_confirmed]]))</f>
        <v>20407.882665104426</v>
      </c>
      <c r="J28" s="10">
        <f>Tabella211[[#This Row],[Cum_fit]]+CI</f>
        <v>28878.00403166646</v>
      </c>
      <c r="K28" s="10">
        <f>MAX(Tabella211[[#This Row],[Cum_fit]]-CI,0)</f>
        <v>11937.761298542389</v>
      </c>
      <c r="L28" s="54">
        <f>'dpc-covid19-ita-andamento-naz'!G22</f>
        <v>20603</v>
      </c>
      <c r="M28" s="54">
        <f>'dpc-covid19-ita-andamento-naz'!H22</f>
        <v>2853</v>
      </c>
      <c r="N28" s="54">
        <f>Tabella211[[#This Row],[New_cases_fit]]-Tabella211[[#This Row],[New_Recovered_fit]]-Tabella211[[#This Row],[New_Deaths_fit]]</f>
        <v>2944.9848275346712</v>
      </c>
      <c r="O28" s="10">
        <f>'dpc-covid19-ita-andamento-naz'!J22</f>
        <v>2335</v>
      </c>
      <c r="P28" s="48">
        <f>Tabella211[[#This Row],[Cum_recov]]-O27</f>
        <v>369</v>
      </c>
      <c r="Q28" s="60">
        <f>Tabella211[[#This Row],[Cum_recov]]*NOT(ISBLANK(Tabella211[[#This Row],[Cum_recov]]))</f>
        <v>2335</v>
      </c>
      <c r="R28" s="50">
        <f>kr*t0r*_xlfn.GAMMA.DIST(Tabella211[[#This Row],[Day]]/t0r,wr+1,1,1)*_xlfn.GAMMA(wr+1)</f>
        <v>2555.5416907597805</v>
      </c>
      <c r="S28" s="10">
        <f>kr*((Tabella211[[#This Row],[Day]]/t0r)^wr)*EXP(-(Tabella211[[#This Row],[Day]]/t0r))</f>
        <v>398.23399896793069</v>
      </c>
      <c r="T28" s="60">
        <f>Tabella211[[#This Row],[Cum_R_fit]]*NOT(ISBLANK(Tabella211[[#This Row],[Cum_recov]]))</f>
        <v>2555.5416907597805</v>
      </c>
      <c r="U28" s="10">
        <f>Tabella211[[#This Row],[Cum_R_fit]]+CIr</f>
        <v>3476.3524140230338</v>
      </c>
      <c r="V28" s="10">
        <f>MAX(Tabella211[[#This Row],[Cum_R_fit]]-CIr,0)</f>
        <v>1634.7309674965272</v>
      </c>
      <c r="W28" s="10">
        <f>'dpc-covid19-ita-andamento-naz'!K22</f>
        <v>1809</v>
      </c>
      <c r="X28" s="26">
        <f>Tabella211[[#This Row],[Cum_deaths]]-W27</f>
        <v>368</v>
      </c>
      <c r="Y28" s="65">
        <f>Tabella211[[#This Row],[Cum_deaths]]*NOT(ISBLANK(Tabella211[[#This Row],[Cum_deaths]]))</f>
        <v>1809</v>
      </c>
      <c r="Z28" s="50">
        <f>kh*t0h*_xlfn.GAMMA.DIST(Tabella211[[#This Row],[Day]]/t0h,wh+1,1,1)*_xlfn.GAMMA(wh+1)</f>
        <v>1306.3452030773597</v>
      </c>
      <c r="AA28" s="10">
        <f>kh*((Tabella211[[#This Row],[Day]]/t0h)^wh)*EXP(-(Tabella211[[#This Row],[Day]]/t0h))</f>
        <v>322.84709795857003</v>
      </c>
      <c r="AB28" s="65">
        <f>Tabella211[[#This Row],[Cum_D_fit]]*NOT(ISBLANK(Tabella211[[#This Row],[Cum_deaths]]))</f>
        <v>1306.3452030773597</v>
      </c>
      <c r="AC28" s="10">
        <f>Tabella211[[#This Row],[Cum_D_fit]]+CIh</f>
        <v>2286.1724470127015</v>
      </c>
      <c r="AD28" s="10">
        <f>MAX(Tabella211[[#This Row],[Cum_D_fit]]-CIh,0)</f>
        <v>326.51795914201796</v>
      </c>
      <c r="AE28" s="1"/>
      <c r="AF28" s="85" t="s">
        <v>7</v>
      </c>
      <c r="AG28" s="86">
        <f>Critical_tr*SE_of_yr</f>
        <v>920.81072326325341</v>
      </c>
      <c r="AT28" s="45">
        <f>MAX($AG$38)</f>
        <v>0.99597510648956522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Tabella211[[#This Row],[Cum_confirmed]]*NOT(ISBLANK(Tabella211[[#This Row],[Cum_confirmed]]))</f>
        <v>27980</v>
      </c>
      <c r="G29" s="50">
        <f>k*t0*_xlfn.GAMMA.DIST(Tabella211[[#This Row],[Day]]/t0,w+1,1,1)*_xlfn.GAMMA(w+1)</f>
        <v>24241.417311626858</v>
      </c>
      <c r="H29" s="10">
        <f>k*((Tabella211[[#This Row],[Day]]/t0)^w)*EXP(-(Tabella211[[#This Row],[Day]]/t0))</f>
        <v>3997.3852013611013</v>
      </c>
      <c r="I29" s="56">
        <f>Tabella211[[#This Row],[Cum_fit]]*NOT(ISBLANK(Tabella211[[#This Row],[Cum_confirmed]]))</f>
        <v>24241.417311626858</v>
      </c>
      <c r="J29" s="10">
        <f>Tabella211[[#This Row],[Cum_fit]]+CI</f>
        <v>32711.538678188896</v>
      </c>
      <c r="K29" s="10">
        <f>MAX(Tabella211[[#This Row],[Cum_fit]]-CI,0)</f>
        <v>15771.295945064821</v>
      </c>
      <c r="L29" s="54">
        <f>'dpc-covid19-ita-andamento-naz'!G23</f>
        <v>23073</v>
      </c>
      <c r="M29" s="54">
        <f>'dpc-covid19-ita-andamento-naz'!H23</f>
        <v>2470</v>
      </c>
      <c r="N29" s="54">
        <f>Tabella211[[#This Row],[New_cases_fit]]-Tabella211[[#This Row],[New_Recovered_fit]]-Tabella211[[#This Row],[New_Deaths_fit]]</f>
        <v>3182.9895530203803</v>
      </c>
      <c r="O29" s="10">
        <f>'dpc-covid19-ita-andamento-naz'!J23</f>
        <v>2749</v>
      </c>
      <c r="P29" s="48">
        <f>Tabella211[[#This Row],[Cum_recov]]-O28</f>
        <v>414</v>
      </c>
      <c r="Q29" s="60">
        <f>Tabella211[[#This Row],[Cum_recov]]*NOT(ISBLANK(Tabella211[[#This Row],[Cum_recov]]))</f>
        <v>2749</v>
      </c>
      <c r="R29" s="50">
        <f>kr*t0r*_xlfn.GAMMA.DIST(Tabella211[[#This Row],[Day]]/t0r,wr+1,1,1)*_xlfn.GAMMA(wr+1)</f>
        <v>2974.0545566065925</v>
      </c>
      <c r="S29" s="10">
        <f>kr*((Tabella211[[#This Row],[Day]]/t0r)^wr)*EXP(-(Tabella211[[#This Row],[Day]]/t0r))</f>
        <v>439.04819147104371</v>
      </c>
      <c r="T29" s="60">
        <f>Tabella211[[#This Row],[Cum_R_fit]]*NOT(ISBLANK(Tabella211[[#This Row],[Cum_recov]]))</f>
        <v>2974.0545566065925</v>
      </c>
      <c r="U29" s="10">
        <f>Tabella211[[#This Row],[Cum_R_fit]]+CIr</f>
        <v>3894.8652798698458</v>
      </c>
      <c r="V29" s="10">
        <f>MAX(Tabella211[[#This Row],[Cum_R_fit]]-CIr,0)</f>
        <v>2053.2438333433392</v>
      </c>
      <c r="W29" s="10">
        <f>'dpc-covid19-ita-andamento-naz'!K23</f>
        <v>2158</v>
      </c>
      <c r="X29" s="26">
        <f>Tabella211[[#This Row],[Cum_deaths]]-W28</f>
        <v>349</v>
      </c>
      <c r="Y29" s="65">
        <f>Tabella211[[#This Row],[Cum_deaths]]*NOT(ISBLANK(Tabella211[[#This Row],[Cum_deaths]]))</f>
        <v>2158</v>
      </c>
      <c r="Z29" s="50">
        <f>kh*t0h*_xlfn.GAMMA.DIST(Tabella211[[#This Row],[Day]]/t0h,wh+1,1,1)*_xlfn.GAMMA(wh+1)</f>
        <v>1655.3325551602754</v>
      </c>
      <c r="AA29" s="10">
        <f>kh*((Tabella211[[#This Row],[Day]]/t0h)^wh)*EXP(-(Tabella211[[#This Row],[Day]]/t0h))</f>
        <v>375.34745686967744</v>
      </c>
      <c r="AB29" s="65">
        <f>Tabella211[[#This Row],[Cum_D_fit]]*NOT(ISBLANK(Tabella211[[#This Row],[Cum_deaths]]))</f>
        <v>1655.3325551602754</v>
      </c>
      <c r="AC29" s="10">
        <f>Tabella211[[#This Row],[Cum_D_fit]]+CIh</f>
        <v>2635.159799095617</v>
      </c>
      <c r="AD29" s="10">
        <f>MAX(Tabella211[[#This Row],[Cum_D_fit]]-CIh,0)</f>
        <v>675.50531122493373</v>
      </c>
      <c r="AE29" s="1"/>
      <c r="AF29" s="89" t="s">
        <v>99</v>
      </c>
      <c r="AG29" s="86">
        <f>kr*t0r*_xlfn.GAMMA(wr+1)</f>
        <v>653456.27188937424</v>
      </c>
      <c r="AT29" s="46">
        <f>COUNT($AG$33,$AG$34)</f>
        <v>2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Tabella211[[#This Row],[Cum_confirmed]]*NOT(ISBLANK(Tabella211[[#This Row],[Cum_confirmed]]))</f>
        <v>31506</v>
      </c>
      <c r="G30" s="50">
        <f>k*t0*_xlfn.GAMMA.DIST(Tabella211[[#This Row],[Day]]/t0,w+1,1,1)*_xlfn.GAMMA(w+1)</f>
        <v>28394.517866304082</v>
      </c>
      <c r="H30" s="10">
        <f>k*((Tabella211[[#This Row],[Day]]/t0)^w)*EXP(-(Tabella211[[#This Row],[Day]]/t0))</f>
        <v>4304.3309944338198</v>
      </c>
      <c r="I30" s="56">
        <f>Tabella211[[#This Row],[Cum_fit]]*NOT(ISBLANK(Tabella211[[#This Row],[Cum_confirmed]]))</f>
        <v>28394.517866304082</v>
      </c>
      <c r="J30" s="10">
        <f>Tabella211[[#This Row],[Cum_fit]]+CI</f>
        <v>36864.639232866117</v>
      </c>
      <c r="K30" s="10">
        <f>MAX(Tabella211[[#This Row],[Cum_fit]]-CI,0)</f>
        <v>19924.396499742048</v>
      </c>
      <c r="L30" s="54">
        <f>'dpc-covid19-ita-andamento-naz'!G24</f>
        <v>26062</v>
      </c>
      <c r="M30" s="54">
        <f>'dpc-covid19-ita-andamento-naz'!H24</f>
        <v>2989</v>
      </c>
      <c r="N30" s="54">
        <f>Tabella211[[#This Row],[New_cases_fit]]-Tabella211[[#This Row],[New_Recovered_fit]]-Tabella211[[#This Row],[New_Deaths_fit]]</f>
        <v>3394.3848622228597</v>
      </c>
      <c r="O30" s="10">
        <f>'dpc-covid19-ita-andamento-naz'!J24</f>
        <v>2941</v>
      </c>
      <c r="P30" s="48">
        <f>Tabella211[[#This Row],[Cum_recov]]-O29</f>
        <v>192</v>
      </c>
      <c r="Q30" s="60">
        <f>Tabella211[[#This Row],[Cum_recov]]*NOT(ISBLANK(Tabella211[[#This Row],[Cum_recov]]))</f>
        <v>2941</v>
      </c>
      <c r="R30" s="50">
        <f>kr*t0r*_xlfn.GAMMA.DIST(Tabella211[[#This Row],[Day]]/t0r,wr+1,1,1)*_xlfn.GAMMA(wr+1)</f>
        <v>3434.1362719861477</v>
      </c>
      <c r="S30" s="10">
        <f>kr*((Tabella211[[#This Row],[Day]]/t0r)^wr)*EXP(-(Tabella211[[#This Row],[Day]]/t0r))</f>
        <v>481.35696320448329</v>
      </c>
      <c r="T30" s="60">
        <f>Tabella211[[#This Row],[Cum_R_fit]]*NOT(ISBLANK(Tabella211[[#This Row],[Cum_recov]]))</f>
        <v>3434.1362719861477</v>
      </c>
      <c r="U30" s="10">
        <f>Tabella211[[#This Row],[Cum_R_fit]]+CIr</f>
        <v>4354.946995249401</v>
      </c>
      <c r="V30" s="10">
        <f>MAX(Tabella211[[#This Row],[Cum_R_fit]]-CIr,0)</f>
        <v>2513.3255487228944</v>
      </c>
      <c r="W30" s="10">
        <f>'dpc-covid19-ita-andamento-naz'!K24</f>
        <v>2503</v>
      </c>
      <c r="X30" s="26">
        <f>Tabella211[[#This Row],[Cum_deaths]]-W29</f>
        <v>345</v>
      </c>
      <c r="Y30" s="65">
        <f>Tabella211[[#This Row],[Cum_deaths]]*NOT(ISBLANK(Tabella211[[#This Row],[Cum_deaths]]))</f>
        <v>2503</v>
      </c>
      <c r="Z30" s="50">
        <f>kh*t0h*_xlfn.GAMMA.DIST(Tabella211[[#This Row],[Day]]/t0h,wh+1,1,1)*_xlfn.GAMMA(wh+1)</f>
        <v>2057.2874967770758</v>
      </c>
      <c r="AA30" s="10">
        <f>kh*((Tabella211[[#This Row],[Day]]/t0h)^wh)*EXP(-(Tabella211[[#This Row],[Day]]/t0h))</f>
        <v>428.5891690064766</v>
      </c>
      <c r="AB30" s="65">
        <f>Tabella211[[#This Row],[Cum_D_fit]]*NOT(ISBLANK(Tabella211[[#This Row],[Cum_deaths]]))</f>
        <v>2057.2874967770758</v>
      </c>
      <c r="AC30" s="10">
        <f>Tabella211[[#This Row],[Cum_D_fit]]+CIh</f>
        <v>3037.1147407124176</v>
      </c>
      <c r="AD30" s="10">
        <f>MAX(Tabella211[[#This Row],[Cum_D_fit]]-CIh,0)</f>
        <v>1077.460252841734</v>
      </c>
      <c r="AE30" s="1"/>
      <c r="AF30" s="89"/>
      <c r="AG30" s="90"/>
      <c r="AT30" s="46">
        <f>{32767;32767;0.000001;0;FALSE;FALSE;TRUE;1;1;1;0.0001;TRUE}</f>
        <v>32767</v>
      </c>
    </row>
    <row r="31" spans="2:46" ht="14.4" customHeight="1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Tabella211[[#This Row],[Cum_confirmed]]*NOT(ISBLANK(Tabella211[[#This Row],[Cum_confirmed]]))</f>
        <v>35713</v>
      </c>
      <c r="G31" s="50">
        <f>k*t0*_xlfn.GAMMA.DIST(Tabella211[[#This Row],[Day]]/t0,w+1,1,1)*_xlfn.GAMMA(w+1)</f>
        <v>32840.374217219272</v>
      </c>
      <c r="H31" s="10">
        <f>k*((Tabella211[[#This Row],[Day]]/t0)^w)*EXP(-(Tabella211[[#This Row],[Day]]/t0))</f>
        <v>4582.1953054953592</v>
      </c>
      <c r="I31" s="56">
        <f>Tabella211[[#This Row],[Cum_fit]]*NOT(ISBLANK(Tabella211[[#This Row],[Cum_confirmed]]))</f>
        <v>32840.374217219272</v>
      </c>
      <c r="J31" s="10">
        <f>Tabella211[[#This Row],[Cum_fit]]+CI</f>
        <v>41310.49558378131</v>
      </c>
      <c r="K31" s="10">
        <f>MAX(Tabella211[[#This Row],[Cum_fit]]-CI,0)</f>
        <v>24370.252850657234</v>
      </c>
      <c r="L31" s="54">
        <f>'dpc-covid19-ita-andamento-naz'!G25</f>
        <v>28710</v>
      </c>
      <c r="M31" s="54">
        <f>'dpc-covid19-ita-andamento-naz'!H25</f>
        <v>2648</v>
      </c>
      <c r="N31" s="54">
        <f>Tabella211[[#This Row],[New_cases_fit]]-Tabella211[[#This Row],[New_Recovered_fit]]-Tabella211[[#This Row],[New_Deaths_fit]]</f>
        <v>3575.7122510753011</v>
      </c>
      <c r="O31" s="10">
        <f>'dpc-covid19-ita-andamento-naz'!J25</f>
        <v>4025</v>
      </c>
      <c r="P31" s="48">
        <f>Tabella211[[#This Row],[Cum_recov]]-O30</f>
        <v>1084</v>
      </c>
      <c r="Q31" s="60">
        <f>Tabella211[[#This Row],[Cum_recov]]*NOT(ISBLANK(Tabella211[[#This Row],[Cum_recov]]))</f>
        <v>4025</v>
      </c>
      <c r="R31" s="50">
        <f>kr*t0r*_xlfn.GAMMA.DIST(Tabella211[[#This Row],[Day]]/t0r,wr+1,1,1)*_xlfn.GAMMA(wr+1)</f>
        <v>3937.2371536227765</v>
      </c>
      <c r="S31" s="10">
        <f>kr*((Tabella211[[#This Row],[Day]]/t0r)^wr)*EXP(-(Tabella211[[#This Row],[Day]]/t0r))</f>
        <v>525.07174415032227</v>
      </c>
      <c r="T31" s="60">
        <f>Tabella211[[#This Row],[Cum_R_fit]]*NOT(ISBLANK(Tabella211[[#This Row],[Cum_recov]]))</f>
        <v>3937.2371536227765</v>
      </c>
      <c r="U31" s="10">
        <f>Tabella211[[#This Row],[Cum_R_fit]]+CIr</f>
        <v>4858.0478768860303</v>
      </c>
      <c r="V31" s="10">
        <f>MAX(Tabella211[[#This Row],[Cum_R_fit]]-CIr,0)</f>
        <v>3016.4264303595232</v>
      </c>
      <c r="W31" s="10">
        <f>'dpc-covid19-ita-andamento-naz'!K25</f>
        <v>2978</v>
      </c>
      <c r="X31" s="26">
        <f>Tabella211[[#This Row],[Cum_deaths]]-W30</f>
        <v>475</v>
      </c>
      <c r="Y31" s="65">
        <f>Tabella211[[#This Row],[Cum_deaths]]*NOT(ISBLANK(Tabella211[[#This Row],[Cum_deaths]]))</f>
        <v>2978</v>
      </c>
      <c r="Z31" s="50">
        <f>kh*t0h*_xlfn.GAMMA.DIST(Tabella211[[#This Row],[Day]]/t0h,wh+1,1,1)*_xlfn.GAMMA(wh+1)</f>
        <v>2512.3707313951745</v>
      </c>
      <c r="AA31" s="10">
        <f>kh*((Tabella211[[#This Row],[Day]]/t0h)^wh)*EXP(-(Tabella211[[#This Row],[Day]]/t0h))</f>
        <v>481.41131026973591</v>
      </c>
      <c r="AB31" s="65">
        <f>Tabella211[[#This Row],[Cum_D_fit]]*NOT(ISBLANK(Tabella211[[#This Row],[Cum_deaths]]))</f>
        <v>2512.3707313951745</v>
      </c>
      <c r="AC31" s="10">
        <f>Tabella211[[#This Row],[Cum_D_fit]]+CIh</f>
        <v>3492.1979753305163</v>
      </c>
      <c r="AD31" s="10">
        <f>MAX(Tabella211[[#This Row],[Cum_D_fit]]-CIh,0)</f>
        <v>1532.5434874598327</v>
      </c>
      <c r="AE31" s="1"/>
      <c r="AF31" s="23" t="s">
        <v>53</v>
      </c>
      <c r="AG31" s="69" t="s">
        <v>55</v>
      </c>
      <c r="AT31" s="46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Tabella211[[#This Row],[Cum_confirmed]]*NOT(ISBLANK(Tabella211[[#This Row],[Cum_confirmed]]))</f>
        <v>41035</v>
      </c>
      <c r="G32" s="50">
        <f>k*t0*_xlfn.GAMMA.DIST(Tabella211[[#This Row],[Day]]/t0,w+1,1,1)*_xlfn.GAMMA(w+1)</f>
        <v>37547.96987355344</v>
      </c>
      <c r="H32" s="10">
        <f>k*((Tabella211[[#This Row],[Day]]/t0)^w)*EXP(-(Tabella211[[#This Row],[Day]]/t0))</f>
        <v>4827.2776849200145</v>
      </c>
      <c r="I32" s="56">
        <f>Tabella211[[#This Row],[Cum_fit]]*NOT(ISBLANK(Tabella211[[#This Row],[Cum_confirmed]]))</f>
        <v>37547.96987355344</v>
      </c>
      <c r="J32" s="10">
        <f>Tabella211[[#This Row],[Cum_fit]]+CI</f>
        <v>46018.091240115478</v>
      </c>
      <c r="K32" s="10">
        <f>MAX(Tabella211[[#This Row],[Cum_fit]]-CI,0)</f>
        <v>29077.848506991402</v>
      </c>
      <c r="L32" s="54">
        <f>'dpc-covid19-ita-andamento-naz'!G26</f>
        <v>33190</v>
      </c>
      <c r="M32" s="54">
        <f>'dpc-covid19-ita-andamento-naz'!H26</f>
        <v>4480</v>
      </c>
      <c r="N32" s="54">
        <f>Tabella211[[#This Row],[New_cases_fit]]-Tabella211[[#This Row],[New_Recovered_fit]]-Tabella211[[#This Row],[New_Deaths_fit]]</f>
        <v>3724.4941747644889</v>
      </c>
      <c r="O32" s="10">
        <f>'dpc-covid19-ita-andamento-naz'!J26</f>
        <v>4440</v>
      </c>
      <c r="P32" s="48">
        <f>Tabella211[[#This Row],[Cum_recov]]-O31</f>
        <v>415</v>
      </c>
      <c r="Q32" s="60">
        <f>Tabella211[[#This Row],[Cum_recov]]*NOT(ISBLANK(Tabella211[[#This Row],[Cum_recov]]))</f>
        <v>4440</v>
      </c>
      <c r="R32" s="50">
        <f>kr*t0r*_xlfn.GAMMA.DIST(Tabella211[[#This Row],[Day]]/t0r,wr+1,1,1)*_xlfn.GAMMA(wr+1)</f>
        <v>4484.7188756986661</v>
      </c>
      <c r="S32" s="10">
        <f>kr*((Tabella211[[#This Row],[Day]]/t0r)^wr)*EXP(-(Tabella211[[#This Row],[Day]]/t0r))</f>
        <v>570.10388007041479</v>
      </c>
      <c r="T32" s="60">
        <f>Tabella211[[#This Row],[Cum_R_fit]]*NOT(ISBLANK(Tabella211[[#This Row],[Cum_recov]]))</f>
        <v>4484.7188756986661</v>
      </c>
      <c r="U32" s="10">
        <f>Tabella211[[#This Row],[Cum_R_fit]]+CIr</f>
        <v>5405.5295989619199</v>
      </c>
      <c r="V32" s="10">
        <f>MAX(Tabella211[[#This Row],[Cum_R_fit]]-CIr,0)</f>
        <v>3563.9081524354128</v>
      </c>
      <c r="W32" s="10">
        <f>'dpc-covid19-ita-andamento-naz'!K26</f>
        <v>3405</v>
      </c>
      <c r="X32" s="26">
        <f>Tabella211[[#This Row],[Cum_deaths]]-W31</f>
        <v>427</v>
      </c>
      <c r="Y32" s="65">
        <f>Tabella211[[#This Row],[Cum_deaths]]*NOT(ISBLANK(Tabella211[[#This Row],[Cum_deaths]]))</f>
        <v>3405</v>
      </c>
      <c r="Z32" s="50">
        <f>kh*t0h*_xlfn.GAMMA.DIST(Tabella211[[#This Row],[Day]]/t0h,wh+1,1,1)*_xlfn.GAMMA(wh+1)</f>
        <v>3019.5913755932297</v>
      </c>
      <c r="AA32" s="10">
        <f>kh*((Tabella211[[#This Row],[Day]]/t0h)^wh)*EXP(-(Tabella211[[#This Row],[Day]]/t0h))</f>
        <v>532.67963008511117</v>
      </c>
      <c r="AB32" s="65">
        <f>Tabella211[[#This Row],[Cum_D_fit]]*NOT(ISBLANK(Tabella211[[#This Row],[Cum_deaths]]))</f>
        <v>3019.5913755932297</v>
      </c>
      <c r="AC32" s="10">
        <f>Tabella211[[#This Row],[Cum_D_fit]]+CIh</f>
        <v>3999.4186195285715</v>
      </c>
      <c r="AD32" s="10">
        <f>MAX(Tabella211[[#This Row],[Cum_D_fit]]-CIh,0)</f>
        <v>2039.7641316578879</v>
      </c>
      <c r="AE32" s="1"/>
      <c r="AF32" s="70" t="s">
        <v>108</v>
      </c>
      <c r="AG32" s="71">
        <f>kt</f>
        <v>0.1595156635855057</v>
      </c>
      <c r="AT32" s="46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Tabella211[[#This Row],[Cum_confirmed]]*NOT(ISBLANK(Tabella211[[#This Row],[Cum_confirmed]]))</f>
        <v>47021</v>
      </c>
      <c r="G33" s="50">
        <f>k*t0*_xlfn.GAMMA.DIST(Tabella211[[#This Row],[Day]]/t0,w+1,1,1)*_xlfn.GAMMA(w+1)</f>
        <v>42483.095180787852</v>
      </c>
      <c r="H33" s="10">
        <f>k*((Tabella211[[#This Row],[Day]]/t0)^w)*EXP(-(Tabella211[[#This Row],[Day]]/t0))</f>
        <v>5036.8895793207357</v>
      </c>
      <c r="I33" s="56">
        <f>Tabella211[[#This Row],[Cum_fit]]*NOT(ISBLANK(Tabella211[[#This Row],[Cum_confirmed]]))</f>
        <v>42483.095180787852</v>
      </c>
      <c r="J33" s="10">
        <f>Tabella211[[#This Row],[Cum_fit]]+CI</f>
        <v>50953.21654734989</v>
      </c>
      <c r="K33" s="10">
        <f>MAX(Tabella211[[#This Row],[Cum_fit]]-CI,0)</f>
        <v>34012.973814225814</v>
      </c>
      <c r="L33" s="54">
        <f>'dpc-covid19-ita-andamento-naz'!G27</f>
        <v>37860</v>
      </c>
      <c r="M33" s="54">
        <f>'dpc-covid19-ita-andamento-naz'!H27</f>
        <v>4670</v>
      </c>
      <c r="N33" s="54">
        <f>Tabella211[[#This Row],[New_cases_fit]]-Tabella211[[#This Row],[New_Recovered_fit]]-Tabella211[[#This Row],[New_Deaths_fit]]</f>
        <v>3839.1935810874602</v>
      </c>
      <c r="O33" s="10">
        <f>'dpc-covid19-ita-andamento-naz'!J27</f>
        <v>5129</v>
      </c>
      <c r="P33" s="48">
        <f>Tabella211[[#This Row],[Cum_recov]]-O32</f>
        <v>689</v>
      </c>
      <c r="Q33" s="60">
        <f>Tabella211[[#This Row],[Cum_recov]]*NOT(ISBLANK(Tabella211[[#This Row],[Cum_recov]]))</f>
        <v>5129</v>
      </c>
      <c r="R33" s="50">
        <f>kr*t0r*_xlfn.GAMMA.DIST(Tabella211[[#This Row],[Day]]/t0r,wr+1,1,1)*_xlfn.GAMMA(wr+1)</f>
        <v>5077.8545601229671</v>
      </c>
      <c r="S33" s="10">
        <f>kr*((Tabella211[[#This Row],[Day]]/t0r)^wr)*EXP(-(Tabella211[[#This Row],[Day]]/t0r))</f>
        <v>616.36497370282132</v>
      </c>
      <c r="T33" s="60">
        <f>Tabella211[[#This Row],[Cum_R_fit]]*NOT(ISBLANK(Tabella211[[#This Row],[Cum_recov]]))</f>
        <v>5077.8545601229671</v>
      </c>
      <c r="U33" s="10">
        <f>Tabella211[[#This Row],[Cum_R_fit]]+CIr</f>
        <v>5998.6652833862208</v>
      </c>
      <c r="V33" s="10">
        <f>MAX(Tabella211[[#This Row],[Cum_R_fit]]-CIr,0)</f>
        <v>4157.0438368597133</v>
      </c>
      <c r="W33" s="10">
        <f>'dpc-covid19-ita-andamento-naz'!K27</f>
        <v>4032</v>
      </c>
      <c r="X33" s="26">
        <f>Tabella211[[#This Row],[Cum_deaths]]-W32</f>
        <v>627</v>
      </c>
      <c r="Y33" s="65">
        <f>Tabella211[[#This Row],[Cum_deaths]]*NOT(ISBLANK(Tabella211[[#This Row],[Cum_deaths]]))</f>
        <v>4032</v>
      </c>
      <c r="Z33" s="50">
        <f>kh*t0h*_xlfn.GAMMA.DIST(Tabella211[[#This Row],[Day]]/t0h,wh+1,1,1)*_xlfn.GAMMA(wh+1)</f>
        <v>3576.8564751966892</v>
      </c>
      <c r="AA33" s="10">
        <f>kh*((Tabella211[[#This Row],[Day]]/t0h)^wh)*EXP(-(Tabella211[[#This Row],[Day]]/t0h))</f>
        <v>581.33102453045444</v>
      </c>
      <c r="AB33" s="65">
        <f>Tabella211[[#This Row],[Cum_D_fit]]*NOT(ISBLANK(Tabella211[[#This Row],[Cum_deaths]]))</f>
        <v>3576.8564751966892</v>
      </c>
      <c r="AC33" s="10">
        <f>Tabella211[[#This Row],[Cum_D_fit]]+CIh</f>
        <v>4556.683719132031</v>
      </c>
      <c r="AD33" s="10">
        <f>MAX(Tabella211[[#This Row],[Cum_D_fit]]-CIh,0)</f>
        <v>2597.0292312613474</v>
      </c>
      <c r="AE33" s="1"/>
      <c r="AF33" s="70" t="s">
        <v>86</v>
      </c>
      <c r="AG33" s="71">
        <f>t0t</f>
        <v>4.2237471325815994</v>
      </c>
      <c r="AT33" s="47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Tabella211[[#This Row],[Cum_confirmed]]*NOT(ISBLANK(Tabella211[[#This Row],[Cum_confirmed]]))</f>
        <v>53578</v>
      </c>
      <c r="G34" s="50">
        <f>k*t0*_xlfn.GAMMA.DIST(Tabella211[[#This Row],[Day]]/t0,w+1,1,1)*_xlfn.GAMMA(w+1)</f>
        <v>47609.345323068919</v>
      </c>
      <c r="H34" s="10">
        <f>k*((Tabella211[[#This Row],[Day]]/t0)^w)*EXP(-(Tabella211[[#This Row],[Day]]/t0))</f>
        <v>5209.3209556989568</v>
      </c>
      <c r="I34" s="56">
        <f>Tabella211[[#This Row],[Cum_fit]]*NOT(ISBLANK(Tabella211[[#This Row],[Cum_confirmed]]))</f>
        <v>47609.345323068919</v>
      </c>
      <c r="J34" s="10">
        <f>Tabella211[[#This Row],[Cum_fit]]+CI</f>
        <v>56079.466689630957</v>
      </c>
      <c r="K34" s="10">
        <f>MAX(Tabella211[[#This Row],[Cum_fit]]-CI,0)</f>
        <v>39139.223956506881</v>
      </c>
      <c r="L34" s="54">
        <f>'dpc-covid19-ita-andamento-naz'!G28</f>
        <v>42681</v>
      </c>
      <c r="M34" s="54">
        <f>'dpc-covid19-ita-andamento-naz'!H28</f>
        <v>4821</v>
      </c>
      <c r="N34" s="54">
        <f>Tabella211[[#This Row],[New_cases_fit]]-Tabella211[[#This Row],[New_Recovered_fit]]-Tabella211[[#This Row],[New_Deaths_fit]]</f>
        <v>3919.143742420797</v>
      </c>
      <c r="O34" s="10">
        <f>'dpc-covid19-ita-andamento-naz'!J28</f>
        <v>6072</v>
      </c>
      <c r="P34" s="48">
        <f>Tabella211[[#This Row],[Cum_recov]]-O33</f>
        <v>943</v>
      </c>
      <c r="Q34" s="60">
        <f>Tabella211[[#This Row],[Cum_recov]]*NOT(ISBLANK(Tabella211[[#This Row],[Cum_recov]]))</f>
        <v>6072</v>
      </c>
      <c r="R34" s="50">
        <f>kr*t0r*_xlfn.GAMMA.DIST(Tabella211[[#This Row],[Day]]/t0r,wr+1,1,1)*_xlfn.GAMMA(wr+1)</f>
        <v>5717.8291856636615</v>
      </c>
      <c r="S34" s="10">
        <f>kr*((Tabella211[[#This Row],[Day]]/t0r)^wr)*EXP(-(Tabella211[[#This Row],[Day]]/t0r))</f>
        <v>663.76718227052822</v>
      </c>
      <c r="T34" s="60">
        <f>Tabella211[[#This Row],[Cum_R_fit]]*NOT(ISBLANK(Tabella211[[#This Row],[Cum_recov]]))</f>
        <v>5717.8291856636615</v>
      </c>
      <c r="U34" s="10">
        <f>Tabella211[[#This Row],[Cum_R_fit]]+CIr</f>
        <v>6638.6399089269153</v>
      </c>
      <c r="V34" s="10">
        <f>MAX(Tabella211[[#This Row],[Cum_R_fit]]-CIr,0)</f>
        <v>4797.0184624004078</v>
      </c>
      <c r="W34" s="10">
        <f>'dpc-covid19-ita-andamento-naz'!K28</f>
        <v>4825</v>
      </c>
      <c r="X34" s="26">
        <f>Tabella211[[#This Row],[Cum_deaths]]-W33</f>
        <v>793</v>
      </c>
      <c r="Y34" s="65">
        <f>Tabella211[[#This Row],[Cum_deaths]]*NOT(ISBLANK(Tabella211[[#This Row],[Cum_deaths]]))</f>
        <v>4825</v>
      </c>
      <c r="Z34" s="50">
        <f>kh*t0h*_xlfn.GAMMA.DIST(Tabella211[[#This Row],[Day]]/t0h,wh+1,1,1)*_xlfn.GAMMA(wh+1)</f>
        <v>4181.061113744121</v>
      </c>
      <c r="AA34" s="10">
        <f>kh*((Tabella211[[#This Row],[Day]]/t0h)^wh)*EXP(-(Tabella211[[#This Row],[Day]]/t0h))</f>
        <v>626.41003100763214</v>
      </c>
      <c r="AB34" s="65">
        <f>Tabella211[[#This Row],[Cum_D_fit]]*NOT(ISBLANK(Tabella211[[#This Row],[Cum_deaths]]))</f>
        <v>4181.061113744121</v>
      </c>
      <c r="AC34" s="10">
        <f>Tabella211[[#This Row],[Cum_D_fit]]+CIh</f>
        <v>5160.8883576794624</v>
      </c>
      <c r="AD34" s="10">
        <f>MAX(Tabella211[[#This Row],[Cum_D_fit]]-CIh,0)</f>
        <v>3201.2338698087792</v>
      </c>
      <c r="AE34" s="1"/>
      <c r="AF34" s="70" t="s">
        <v>1</v>
      </c>
      <c r="AG34" s="71">
        <f>wt</f>
        <v>7.9407381092022655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Tabella211[[#This Row],[Cum_confirmed]]*NOT(ISBLANK(Tabella211[[#This Row],[Cum_confirmed]]))</f>
        <v>59138</v>
      </c>
      <c r="G35" s="50">
        <f>k*t0*_xlfn.GAMMA.DIST(Tabella211[[#This Row],[Day]]/t0,w+1,1,1)*_xlfn.GAMMA(w+1)</f>
        <v>52889.069562894583</v>
      </c>
      <c r="H35" s="10">
        <f>k*((Tabella211[[#This Row],[Day]]/t0)^w)*EXP(-(Tabella211[[#This Row],[Day]]/t0))</f>
        <v>5343.7775152609256</v>
      </c>
      <c r="I35" s="56">
        <f>Tabella211[[#This Row],[Cum_fit]]*NOT(ISBLANK(Tabella211[[#This Row],[Cum_confirmed]]))</f>
        <v>52889.069562894583</v>
      </c>
      <c r="J35" s="10">
        <f>Tabella211[[#This Row],[Cum_fit]]+CI</f>
        <v>61359.190929456621</v>
      </c>
      <c r="K35" s="10">
        <f>MAX(Tabella211[[#This Row],[Cum_fit]]-CI,0)</f>
        <v>44418.948196332545</v>
      </c>
      <c r="L35" s="54">
        <f>'dpc-covid19-ita-andamento-naz'!G29</f>
        <v>46638</v>
      </c>
      <c r="M35" s="54">
        <f>'dpc-covid19-ita-andamento-naz'!H29</f>
        <v>3957</v>
      </c>
      <c r="N35" s="54">
        <f>Tabella211[[#This Row],[New_cases_fit]]-Tabella211[[#This Row],[New_Recovered_fit]]-Tabella211[[#This Row],[New_Deaths_fit]]</f>
        <v>3964.457599716558</v>
      </c>
      <c r="O35" s="10">
        <f>'dpc-covid19-ita-andamento-naz'!J29</f>
        <v>7024</v>
      </c>
      <c r="P35" s="48">
        <f>Tabella211[[#This Row],[Cum_recov]]-O34</f>
        <v>952</v>
      </c>
      <c r="Q35" s="60">
        <f>Tabella211[[#This Row],[Cum_recov]]*NOT(ISBLANK(Tabella211[[#This Row],[Cum_recov]]))</f>
        <v>7024</v>
      </c>
      <c r="R35" s="50">
        <f>kr*t0r*_xlfn.GAMMA.DIST(Tabella211[[#This Row],[Day]]/t0r,wr+1,1,1)*_xlfn.GAMMA(wr+1)</f>
        <v>6405.7402750368055</v>
      </c>
      <c r="S35" s="10">
        <f>kr*((Tabella211[[#This Row],[Day]]/t0r)^wr)*EXP(-(Tabella211[[#This Row],[Day]]/t0r))</f>
        <v>712.22347671703801</v>
      </c>
      <c r="T35" s="60">
        <f>Tabella211[[#This Row],[Cum_R_fit]]*NOT(ISBLANK(Tabella211[[#This Row],[Cum_recov]]))</f>
        <v>6405.7402750368055</v>
      </c>
      <c r="U35" s="10">
        <f>Tabella211[[#This Row],[Cum_R_fit]]+CIr</f>
        <v>7326.5509983000593</v>
      </c>
      <c r="V35" s="10">
        <f>MAX(Tabella211[[#This Row],[Cum_R_fit]]-CIr,0)</f>
        <v>5484.9295517735518</v>
      </c>
      <c r="W35" s="10">
        <f>'dpc-covid19-ita-andamento-naz'!K29</f>
        <v>5476</v>
      </c>
      <c r="X35" s="26">
        <f>Tabella211[[#This Row],[Cum_deaths]]-W34</f>
        <v>651</v>
      </c>
      <c r="Y35" s="65">
        <f>Tabella211[[#This Row],[Cum_deaths]]*NOT(ISBLANK(Tabella211[[#This Row],[Cum_deaths]]))</f>
        <v>5476</v>
      </c>
      <c r="Z35" s="50">
        <f>kh*t0h*_xlfn.GAMMA.DIST(Tabella211[[#This Row],[Day]]/t0h,wh+1,1,1)*_xlfn.GAMMA(wh+1)</f>
        <v>4828.2106173314496</v>
      </c>
      <c r="AA35" s="10">
        <f>kh*((Tabella211[[#This Row],[Day]]/t0h)^wh)*EXP(-(Tabella211[[#This Row],[Day]]/t0h))</f>
        <v>667.09643882732928</v>
      </c>
      <c r="AB35" s="65">
        <f>Tabella211[[#This Row],[Cum_D_fit]]*NOT(ISBLANK(Tabella211[[#This Row],[Cum_deaths]]))</f>
        <v>4828.2106173314496</v>
      </c>
      <c r="AC35" s="10">
        <f>Tabella211[[#This Row],[Cum_D_fit]]+CIh</f>
        <v>5808.037861266791</v>
      </c>
      <c r="AD35" s="10">
        <f>MAX(Tabella211[[#This Row],[Cum_D_fit]]-CIh,0)</f>
        <v>3848.3833733961078</v>
      </c>
      <c r="AF35" s="72" t="s">
        <v>2</v>
      </c>
      <c r="AG35" s="35">
        <f>AVERAGE(Tabella211[Cum_deaths])</f>
        <v>5636.086956521739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Tabella211[[#This Row],[Cum_confirmed]]*NOT(ISBLANK(Tabella211[[#This Row],[Cum_confirmed]]))</f>
        <v>63927</v>
      </c>
      <c r="G36" s="50">
        <f>k*t0*_xlfn.GAMMA.DIST(Tabella211[[#This Row],[Day]]/t0,w+1,1,1)*_xlfn.GAMMA(w+1)</f>
        <v>58284.246310121125</v>
      </c>
      <c r="H36" s="10">
        <f>k*((Tabella211[[#This Row],[Day]]/t0)^w)*EXP(-(Tabella211[[#This Row],[Day]]/t0))</f>
        <v>5440.2964036867024</v>
      </c>
      <c r="I36" s="56">
        <f>Tabella211[[#This Row],[Cum_fit]]*NOT(ISBLANK(Tabella211[[#This Row],[Cum_confirmed]]))</f>
        <v>58284.246310121125</v>
      </c>
      <c r="J36" s="10">
        <f>Tabella211[[#This Row],[Cum_fit]]+CI</f>
        <v>66754.367676683163</v>
      </c>
      <c r="K36" s="10">
        <f>MAX(Tabella211[[#This Row],[Cum_fit]]-CI,0)</f>
        <v>49814.124943559087</v>
      </c>
      <c r="L36" s="54">
        <f>'dpc-covid19-ita-andamento-naz'!G30</f>
        <v>50418</v>
      </c>
      <c r="M36" s="54">
        <f>'dpc-covid19-ita-andamento-naz'!H30</f>
        <v>3780</v>
      </c>
      <c r="N36" s="54">
        <f>Tabella211[[#This Row],[New_cases_fit]]-Tabella211[[#This Row],[New_Recovered_fit]]-Tabella211[[#This Row],[New_Deaths_fit]]</f>
        <v>3975.9247118977446</v>
      </c>
      <c r="O36" s="10">
        <f>'dpc-covid19-ita-andamento-naz'!J30</f>
        <v>7432</v>
      </c>
      <c r="P36" s="48">
        <f>Tabella211[[#This Row],[Cum_recov]]-O35</f>
        <v>408</v>
      </c>
      <c r="Q36" s="60">
        <f>Tabella211[[#This Row],[Cum_recov]]*NOT(ISBLANK(Tabella211[[#This Row],[Cum_recov]]))</f>
        <v>7432</v>
      </c>
      <c r="R36" s="50">
        <f>kr*t0r*_xlfn.GAMMA.DIST(Tabella211[[#This Row],[Day]]/t0r,wr+1,1,1)*_xlfn.GAMMA(wr+1)</f>
        <v>7142.5988240416827</v>
      </c>
      <c r="S36" s="10">
        <f>kr*((Tabella211[[#This Row],[Day]]/t0r)^wr)*EXP(-(Tabella211[[#This Row],[Day]]/t0r))</f>
        <v>761.64786727011381</v>
      </c>
      <c r="T36" s="60">
        <f>Tabella211[[#This Row],[Cum_R_fit]]*NOT(ISBLANK(Tabella211[[#This Row],[Cum_recov]]))</f>
        <v>7142.5988240416827</v>
      </c>
      <c r="U36" s="10">
        <f>Tabella211[[#This Row],[Cum_R_fit]]+CIr</f>
        <v>8063.4095473049365</v>
      </c>
      <c r="V36" s="10">
        <f>MAX(Tabella211[[#This Row],[Cum_R_fit]]-CIr,0)</f>
        <v>6221.788100778429</v>
      </c>
      <c r="W36" s="10">
        <f>'dpc-covid19-ita-andamento-naz'!K30</f>
        <v>6077</v>
      </c>
      <c r="X36" s="26">
        <f>Tabella211[[#This Row],[Cum_deaths]]-W35</f>
        <v>601</v>
      </c>
      <c r="Y36" s="65">
        <f>Tabella211[[#This Row],[Cum_deaths]]*NOT(ISBLANK(Tabella211[[#This Row],[Cum_deaths]]))</f>
        <v>6077</v>
      </c>
      <c r="Z36" s="50">
        <f>kh*t0h*_xlfn.GAMMA.DIST(Tabella211[[#This Row],[Day]]/t0h,wh+1,1,1)*_xlfn.GAMMA(wh+1)</f>
        <v>5513.565822072329</v>
      </c>
      <c r="AA36" s="10">
        <f>kh*((Tabella211[[#This Row],[Day]]/t0h)^wh)*EXP(-(Tabella211[[#This Row],[Day]]/t0h))</f>
        <v>702.72382451884391</v>
      </c>
      <c r="AB36" s="65">
        <f>Tabella211[[#This Row],[Cum_D_fit]]*NOT(ISBLANK(Tabella211[[#This Row],[Cum_deaths]]))</f>
        <v>5513.565822072329</v>
      </c>
      <c r="AC36" s="10">
        <f>Tabella211[[#This Row],[Cum_D_fit]]+CIh</f>
        <v>6493.3930660076703</v>
      </c>
      <c r="AD36" s="10">
        <f>MAX(Tabella211[[#This Row],[Cum_D_fit]]-CIh,0)</f>
        <v>4533.7385781369876</v>
      </c>
      <c r="AF36" s="72" t="s">
        <v>3</v>
      </c>
      <c r="AG36" s="35">
        <f>COUNT(Tabella211[Cum_deaths])-COUNT(AG32:AG34)</f>
        <v>43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Tabella211[[#This Row],[Cum_confirmed]]*NOT(ISBLANK(Tabella211[[#This Row],[Cum_confirmed]]))</f>
        <v>69176</v>
      </c>
      <c r="G37" s="50">
        <f>k*t0*_xlfn.GAMMA.DIST(Tabella211[[#This Row],[Day]]/t0,w+1,1,1)*_xlfn.GAMMA(w+1)</f>
        <v>63757.266180804247</v>
      </c>
      <c r="H37" s="10">
        <f>k*((Tabella211[[#This Row],[Day]]/t0)^w)*EXP(-(Tabella211[[#This Row],[Day]]/t0))</f>
        <v>5499.6476076470344</v>
      </c>
      <c r="I37" s="56">
        <f>Tabella211[[#This Row],[Cum_fit]]*NOT(ISBLANK(Tabella211[[#This Row],[Cum_confirmed]]))</f>
        <v>63757.266180804247</v>
      </c>
      <c r="J37" s="10">
        <f>Tabella211[[#This Row],[Cum_fit]]+CI</f>
        <v>72227.387547366277</v>
      </c>
      <c r="K37" s="10">
        <f>MAX(Tabella211[[#This Row],[Cum_fit]]-CI,0)</f>
        <v>55287.144814242209</v>
      </c>
      <c r="L37" s="54">
        <f>'dpc-covid19-ita-andamento-naz'!G31</f>
        <v>54030</v>
      </c>
      <c r="M37" s="54">
        <f>'dpc-covid19-ita-andamento-naz'!H31</f>
        <v>3612</v>
      </c>
      <c r="N37" s="54">
        <f>Tabella211[[#This Row],[New_cases_fit]]-Tabella211[[#This Row],[New_Recovered_fit]]-Tabella211[[#This Row],[New_Deaths_fit]]</f>
        <v>3954.9026108154458</v>
      </c>
      <c r="O37" s="10">
        <f>'dpc-covid19-ita-andamento-naz'!J31</f>
        <v>8326</v>
      </c>
      <c r="P37" s="48">
        <f>Tabella211[[#This Row],[Cum_recov]]-O36</f>
        <v>894</v>
      </c>
      <c r="Q37" s="60">
        <f>Tabella211[[#This Row],[Cum_recov]]*NOT(ISBLANK(Tabella211[[#This Row],[Cum_recov]]))</f>
        <v>8326</v>
      </c>
      <c r="R37" s="50">
        <f>kr*t0r*_xlfn.GAMMA.DIST(Tabella211[[#This Row],[Day]]/t0r,wr+1,1,1)*_xlfn.GAMMA(wr+1)</f>
        <v>7929.3304410890551</v>
      </c>
      <c r="S37" s="10">
        <f>kr*((Tabella211[[#This Row],[Day]]/t0r)^wr)*EXP(-(Tabella211[[#This Row],[Day]]/t0r))</f>
        <v>811.95559927202885</v>
      </c>
      <c r="T37" s="60">
        <f>Tabella211[[#This Row],[Cum_R_fit]]*NOT(ISBLANK(Tabella211[[#This Row],[Cum_recov]]))</f>
        <v>7929.3304410890551</v>
      </c>
      <c r="U37" s="10">
        <f>Tabella211[[#This Row],[Cum_R_fit]]+CIr</f>
        <v>8850.1411643523079</v>
      </c>
      <c r="V37" s="10">
        <f>MAX(Tabella211[[#This Row],[Cum_R_fit]]-CIr,0)</f>
        <v>7008.5197178258013</v>
      </c>
      <c r="W37" s="10">
        <f>'dpc-covid19-ita-andamento-naz'!K31</f>
        <v>6820</v>
      </c>
      <c r="X37" s="26">
        <f>Tabella211[[#This Row],[Cum_deaths]]-W36</f>
        <v>743</v>
      </c>
      <c r="Y37" s="65">
        <f>Tabella211[[#This Row],[Cum_deaths]]*NOT(ISBLANK(Tabella211[[#This Row],[Cum_deaths]]))</f>
        <v>6820</v>
      </c>
      <c r="Z37" s="50">
        <f>kh*t0h*_xlfn.GAMMA.DIST(Tabella211[[#This Row],[Day]]/t0h,wh+1,1,1)*_xlfn.GAMMA(wh+1)</f>
        <v>6231.8024797794196</v>
      </c>
      <c r="AA37" s="10">
        <f>kh*((Tabella211[[#This Row],[Day]]/t0h)^wh)*EXP(-(Tabella211[[#This Row],[Day]]/t0h))</f>
        <v>732.7893975595598</v>
      </c>
      <c r="AB37" s="65">
        <f>Tabella211[[#This Row],[Cum_D_fit]]*NOT(ISBLANK(Tabella211[[#This Row],[Cum_deaths]]))</f>
        <v>6231.8024797794196</v>
      </c>
      <c r="AC37" s="10">
        <f>Tabella211[[#This Row],[Cum_D_fit]]+CIh</f>
        <v>7211.629723714761</v>
      </c>
      <c r="AD37" s="10">
        <f>MAX(Tabella211[[#This Row],[Cum_D_fit]]-CIh,0)</f>
        <v>5251.9752358440783</v>
      </c>
      <c r="AF37" s="72" t="s">
        <v>4</v>
      </c>
      <c r="AG37" s="73" cm="1">
        <f t="array" ref="AG37">SQRT(SUM((Tabella211[Colonna5]-Tabella211[Colonna6])^2)/dfh)</f>
        <v>485.85859771288335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Tabella211[[#This Row],[Cum_confirmed]]*NOT(ISBLANK(Tabella211[[#This Row],[Cum_confirmed]]))</f>
        <v>74386</v>
      </c>
      <c r="G38" s="50">
        <f>k*t0*_xlfn.GAMMA.DIST(Tabella211[[#This Row],[Day]]/t0,w+1,1,1)*_xlfn.GAMMA(w+1)</f>
        <v>69271.611956143679</v>
      </c>
      <c r="H38" s="10">
        <f>k*((Tabella211[[#This Row],[Day]]/t0)^w)*EXP(-(Tabella211[[#This Row],[Day]]/t0))</f>
        <v>5523.2273255164155</v>
      </c>
      <c r="I38" s="56">
        <f>Tabella211[[#This Row],[Cum_fit]]*NOT(ISBLANK(Tabella211[[#This Row],[Cum_confirmed]]))</f>
        <v>69271.611956143679</v>
      </c>
      <c r="J38" s="10">
        <f>Tabella211[[#This Row],[Cum_fit]]+CI</f>
        <v>77741.73332270571</v>
      </c>
      <c r="K38" s="10">
        <f>MAX(Tabella211[[#This Row],[Cum_fit]]-CI,0)</f>
        <v>60801.490589581641</v>
      </c>
      <c r="L38" s="54">
        <f>'dpc-covid19-ita-andamento-naz'!G32</f>
        <v>57521</v>
      </c>
      <c r="M38" s="54">
        <f>'dpc-covid19-ita-andamento-naz'!H32</f>
        <v>3491</v>
      </c>
      <c r="N38" s="54">
        <f>Tabella211[[#This Row],[New_cases_fit]]-Tabella211[[#This Row],[New_Recovered_fit]]-Tabella211[[#This Row],[New_Deaths_fit]]</f>
        <v>3903.2080307841261</v>
      </c>
      <c r="O38" s="10">
        <f>'dpc-covid19-ita-andamento-naz'!J32</f>
        <v>9362</v>
      </c>
      <c r="P38" s="48">
        <f>Tabella211[[#This Row],[Cum_recov]]-O37</f>
        <v>1036</v>
      </c>
      <c r="Q38" s="60">
        <f>Tabella211[[#This Row],[Cum_recov]]*NOT(ISBLANK(Tabella211[[#This Row],[Cum_recov]]))</f>
        <v>9362</v>
      </c>
      <c r="R38" s="50">
        <f>kr*t0r*_xlfn.GAMMA.DIST(Tabella211[[#This Row],[Day]]/t0r,wr+1,1,1)*_xlfn.GAMMA(wr+1)</f>
        <v>8766.7766691267625</v>
      </c>
      <c r="S38" s="10">
        <f>kr*((Tabella211[[#This Row],[Day]]/t0r)^wr)*EXP(-(Tabella211[[#This Row],[Day]]/t0r))</f>
        <v>863.0633226693102</v>
      </c>
      <c r="T38" s="60">
        <f>Tabella211[[#This Row],[Cum_R_fit]]*NOT(ISBLANK(Tabella211[[#This Row],[Cum_recov]]))</f>
        <v>8766.7766691267625</v>
      </c>
      <c r="U38" s="10">
        <f>Tabella211[[#This Row],[Cum_R_fit]]+CIr</f>
        <v>9687.5873923900162</v>
      </c>
      <c r="V38" s="10">
        <f>MAX(Tabella211[[#This Row],[Cum_R_fit]]-CIr,0)</f>
        <v>7845.9659458635088</v>
      </c>
      <c r="W38" s="10">
        <f>'dpc-covid19-ita-andamento-naz'!K32</f>
        <v>7503</v>
      </c>
      <c r="X38" s="26">
        <f>Tabella211[[#This Row],[Cum_deaths]]-W37</f>
        <v>683</v>
      </c>
      <c r="Y38" s="65">
        <f>Tabella211[[#This Row],[Cum_deaths]]*NOT(ISBLANK(Tabella211[[#This Row],[Cum_deaths]]))</f>
        <v>7503</v>
      </c>
      <c r="Z38" s="50">
        <f>kh*t0h*_xlfn.GAMMA.DIST(Tabella211[[#This Row],[Day]]/t0h,wh+1,1,1)*_xlfn.GAMMA(wh+1)</f>
        <v>6977.1764903236208</v>
      </c>
      <c r="AA38" s="10">
        <f>kh*((Tabella211[[#This Row],[Day]]/t0h)^wh)*EXP(-(Tabella211[[#This Row],[Day]]/t0h))</f>
        <v>756.95597206297953</v>
      </c>
      <c r="AB38" s="65">
        <f>Tabella211[[#This Row],[Cum_D_fit]]*NOT(ISBLANK(Tabella211[[#This Row],[Cum_deaths]]))</f>
        <v>6977.1764903236208</v>
      </c>
      <c r="AC38" s="10">
        <f>Tabella211[[#This Row],[Cum_D_fit]]+CIh</f>
        <v>7957.0037342589621</v>
      </c>
      <c r="AD38" s="10">
        <f>MAX(Tabella211[[#This Row],[Cum_D_fit]]-CIh,0)</f>
        <v>5997.3492463882794</v>
      </c>
      <c r="AF38" s="72" t="s">
        <v>87</v>
      </c>
      <c r="AG38" s="74" cm="1">
        <f t="array" ref="AG38">1-SUM((Tabella211[Colonna5]-Tabella211[Colonna6])^2)/SUM((Tabella211[Colonna5]-Mean_of_yh)^2)</f>
        <v>0.99597510648956522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Tabella211[[#This Row],[Cum_confirmed]]*NOT(ISBLANK(Tabella211[[#This Row],[Cum_confirmed]]))</f>
        <v>80539</v>
      </c>
      <c r="G39" s="50">
        <f>k*t0*_xlfn.GAMMA.DIST(Tabella211[[#This Row],[Day]]/t0,w+1,1,1)*_xlfn.GAMMA(w+1)</f>
        <v>74792.430149605512</v>
      </c>
      <c r="H39" s="10">
        <f>k*((Tabella211[[#This Row],[Day]]/t0)^w)*EXP(-(Tabella211[[#This Row],[Day]]/t0))</f>
        <v>5512.9486125604508</v>
      </c>
      <c r="I39" s="56">
        <f>Tabella211[[#This Row],[Cum_fit]]*NOT(ISBLANK(Tabella211[[#This Row],[Cum_confirmed]]))</f>
        <v>74792.430149605512</v>
      </c>
      <c r="J39" s="10">
        <f>Tabella211[[#This Row],[Cum_fit]]+CI</f>
        <v>83262.551516167543</v>
      </c>
      <c r="K39" s="10">
        <f>MAX(Tabella211[[#This Row],[Cum_fit]]-CI,0)</f>
        <v>66322.308783043482</v>
      </c>
      <c r="L39" s="54">
        <f>'dpc-covid19-ita-andamento-naz'!G33</f>
        <v>62013</v>
      </c>
      <c r="M39" s="54">
        <f>'dpc-covid19-ita-andamento-naz'!H33</f>
        <v>4492</v>
      </c>
      <c r="N39" s="54">
        <f>Tabella211[[#This Row],[New_cases_fit]]-Tabella211[[#This Row],[New_Recovered_fit]]-Tabella211[[#This Row],[New_Deaths_fit]]</f>
        <v>3823.0122069466024</v>
      </c>
      <c r="O39" s="10">
        <f>'dpc-covid19-ita-andamento-naz'!J33</f>
        <v>10361</v>
      </c>
      <c r="P39" s="48">
        <f>Tabella211[[#This Row],[Cum_recov]]-O38</f>
        <v>999</v>
      </c>
      <c r="Q39" s="60">
        <f>Tabella211[[#This Row],[Cum_recov]]*NOT(ISBLANK(Tabella211[[#This Row],[Cum_recov]]))</f>
        <v>10361</v>
      </c>
      <c r="R39" s="50">
        <f>kr*t0r*_xlfn.GAMMA.DIST(Tabella211[[#This Row],[Day]]/t0r,wr+1,1,1)*_xlfn.GAMMA(wr+1)</f>
        <v>9655.6964651268081</v>
      </c>
      <c r="S39" s="10">
        <f>kr*((Tabella211[[#This Row],[Day]]/t0r)^wr)*EXP(-(Tabella211[[#This Row],[Day]]/t0r))</f>
        <v>914.88923810247854</v>
      </c>
      <c r="T39" s="60">
        <f>Tabella211[[#This Row],[Cum_R_fit]]*NOT(ISBLANK(Tabella211[[#This Row],[Cum_recov]]))</f>
        <v>9655.6964651268081</v>
      </c>
      <c r="U39" s="10">
        <f>Tabella211[[#This Row],[Cum_R_fit]]+CIr</f>
        <v>10576.507188390062</v>
      </c>
      <c r="V39" s="10">
        <f>MAX(Tabella211[[#This Row],[Cum_R_fit]]-CIr,0)</f>
        <v>8734.8857418635544</v>
      </c>
      <c r="W39" s="10">
        <f>'dpc-covid19-ita-andamento-naz'!K33</f>
        <v>8165</v>
      </c>
      <c r="X39" s="26">
        <f>Tabella211[[#This Row],[Cum_deaths]]-W38</f>
        <v>662</v>
      </c>
      <c r="Y39" s="65">
        <f>Tabella211[[#This Row],[Cum_deaths]]*NOT(ISBLANK(Tabella211[[#This Row],[Cum_deaths]]))</f>
        <v>8165</v>
      </c>
      <c r="Z39" s="50">
        <f>kh*t0h*_xlfn.GAMMA.DIST(Tabella211[[#This Row],[Day]]/t0h,wh+1,1,1)*_xlfn.GAMMA(wh+1)</f>
        <v>7743.6876198157388</v>
      </c>
      <c r="AA39" s="10">
        <f>kh*((Tabella211[[#This Row],[Day]]/t0h)^wh)*EXP(-(Tabella211[[#This Row],[Day]]/t0h))</f>
        <v>775.04716751136937</v>
      </c>
      <c r="AB39" s="65">
        <f>Tabella211[[#This Row],[Cum_D_fit]]*NOT(ISBLANK(Tabella211[[#This Row],[Cum_deaths]]))</f>
        <v>7743.6876198157388</v>
      </c>
      <c r="AC39" s="10">
        <f>Tabella211[[#This Row],[Cum_D_fit]]+CIh</f>
        <v>8723.5148637510811</v>
      </c>
      <c r="AD39" s="10">
        <f>MAX(Tabella211[[#This Row],[Cum_D_fit]]-CIh,0)</f>
        <v>6763.8603758803974</v>
      </c>
      <c r="AF39" s="72" t="s">
        <v>6</v>
      </c>
      <c r="AG39" s="74">
        <f>TINV(0.05,dfh)</f>
        <v>2.0166921992278248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Tabella211[[#This Row],[Cum_confirmed]]*NOT(ISBLANK(Tabella211[[#This Row],[Cum_confirmed]]))</f>
        <v>86498</v>
      </c>
      <c r="G40" s="50">
        <f>k*t0*_xlfn.GAMMA.DIST(Tabella211[[#This Row],[Day]]/t0,w+1,1,1)*_xlfn.GAMMA(w+1)</f>
        <v>80286.993689565483</v>
      </c>
      <c r="H40" s="10">
        <f>k*((Tabella211[[#This Row],[Day]]/t0)^w)*EXP(-(Tabella211[[#This Row],[Day]]/t0))</f>
        <v>5471.1336020506551</v>
      </c>
      <c r="I40" s="56">
        <f>Tabella211[[#This Row],[Cum_fit]]*NOT(ISBLANK(Tabella211[[#This Row],[Cum_confirmed]]))</f>
        <v>80286.993689565483</v>
      </c>
      <c r="J40" s="10">
        <f>Tabella211[[#This Row],[Cum_fit]]+CI</f>
        <v>88757.115056127514</v>
      </c>
      <c r="K40" s="10">
        <f>MAX(Tabella211[[#This Row],[Cum_fit]]-CI,0)</f>
        <v>71816.872323003452</v>
      </c>
      <c r="L40" s="54">
        <f>'dpc-covid19-ita-andamento-naz'!G34</f>
        <v>66414</v>
      </c>
      <c r="M40" s="54">
        <f>'dpc-covid19-ita-andamento-naz'!H34</f>
        <v>4401</v>
      </c>
      <c r="N40" s="54">
        <f>Tabella211[[#This Row],[New_cases_fit]]-Tabella211[[#This Row],[New_Recovered_fit]]-Tabella211[[#This Row],[New_Deaths_fit]]</f>
        <v>3716.7432786827376</v>
      </c>
      <c r="O40" s="10">
        <f>'dpc-covid19-ita-andamento-naz'!J34</f>
        <v>10950</v>
      </c>
      <c r="P40" s="48">
        <f>Tabella211[[#This Row],[Cum_recov]]-O39</f>
        <v>589</v>
      </c>
      <c r="Q40" s="60">
        <f>Tabella211[[#This Row],[Cum_recov]]*NOT(ISBLANK(Tabella211[[#This Row],[Cum_recov]]))</f>
        <v>10950</v>
      </c>
      <c r="R40" s="50">
        <f>kr*t0r*_xlfn.GAMMA.DIST(Tabella211[[#This Row],[Day]]/t0r,wr+1,1,1)*_xlfn.GAMMA(wr+1)</f>
        <v>10596.767815043837</v>
      </c>
      <c r="S40" s="10">
        <f>kr*((Tabella211[[#This Row],[Day]]/t0r)^wr)*EXP(-(Tabella211[[#This Row],[Day]]/t0r))</f>
        <v>967.35322215792621</v>
      </c>
      <c r="T40" s="60">
        <f>Tabella211[[#This Row],[Cum_R_fit]]*NOT(ISBLANK(Tabella211[[#This Row],[Cum_recov]]))</f>
        <v>10596.767815043837</v>
      </c>
      <c r="U40" s="10">
        <f>Tabella211[[#This Row],[Cum_R_fit]]+CIr</f>
        <v>11517.578538307091</v>
      </c>
      <c r="V40" s="10">
        <f>MAX(Tabella211[[#This Row],[Cum_R_fit]]-CIr,0)</f>
        <v>9675.9570917805831</v>
      </c>
      <c r="W40" s="10">
        <f>'dpc-covid19-ita-andamento-naz'!K34</f>
        <v>9134</v>
      </c>
      <c r="X40" s="26">
        <f>Tabella211[[#This Row],[Cum_deaths]]-W39</f>
        <v>969</v>
      </c>
      <c r="Y40" s="65">
        <f>Tabella211[[#This Row],[Cum_deaths]]*NOT(ISBLANK(Tabella211[[#This Row],[Cum_deaths]]))</f>
        <v>9134</v>
      </c>
      <c r="Z40" s="50">
        <f>kh*t0h*_xlfn.GAMMA.DIST(Tabella211[[#This Row],[Day]]/t0h,wh+1,1,1)*_xlfn.GAMMA(wh+1)</f>
        <v>8525.2355565263988</v>
      </c>
      <c r="AA40" s="10">
        <f>kh*((Tabella211[[#This Row],[Day]]/t0h)^wh)*EXP(-(Tabella211[[#This Row],[Day]]/t0h))</f>
        <v>787.03710120999108</v>
      </c>
      <c r="AB40" s="65">
        <f>Tabella211[[#This Row],[Cum_D_fit]]*NOT(ISBLANK(Tabella211[[#This Row],[Cum_deaths]]))</f>
        <v>8525.2355565263988</v>
      </c>
      <c r="AC40" s="10">
        <f>Tabella211[[#This Row],[Cum_D_fit]]+CIh</f>
        <v>9505.0628004617411</v>
      </c>
      <c r="AD40" s="10">
        <f>MAX(Tabella211[[#This Row],[Cum_D_fit]]-CIh,0)</f>
        <v>7545.4083125910574</v>
      </c>
      <c r="AF40" s="72" t="s">
        <v>7</v>
      </c>
      <c r="AG40" s="35">
        <f>Critical_th*SE_of_yh</f>
        <v>979.8272439353417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Tabella211[[#This Row],[Cum_confirmed]]*NOT(ISBLANK(Tabella211[[#This Row],[Cum_confirmed]]))</f>
        <v>92472</v>
      </c>
      <c r="G41" s="50">
        <f>k*t0*_xlfn.GAMMA.DIST(Tabella211[[#This Row],[Day]]/t0,w+1,1,1)*_xlfn.GAMMA(w+1)</f>
        <v>85725.059042762645</v>
      </c>
      <c r="H41" s="10">
        <f>k*((Tabella211[[#This Row],[Day]]/t0)^w)*EXP(-(Tabella211[[#This Row],[Day]]/t0))</f>
        <v>5400.4106472717085</v>
      </c>
      <c r="I41" s="56">
        <f>Tabella211[[#This Row],[Cum_fit]]*NOT(ISBLANK(Tabella211[[#This Row],[Cum_confirmed]]))</f>
        <v>85725.059042762645</v>
      </c>
      <c r="J41" s="10">
        <f>Tabella211[[#This Row],[Cum_fit]]+CI</f>
        <v>94195.180409324676</v>
      </c>
      <c r="K41" s="10">
        <f>MAX(Tabella211[[#This Row],[Cum_fit]]-CI,0)</f>
        <v>77254.937676200614</v>
      </c>
      <c r="L41" s="54">
        <f>'dpc-covid19-ita-andamento-naz'!G35</f>
        <v>70065</v>
      </c>
      <c r="M41" s="54">
        <f>'dpc-covid19-ita-andamento-naz'!H35</f>
        <v>3651</v>
      </c>
      <c r="N41" s="54">
        <f>Tabella211[[#This Row],[New_cases_fit]]-Tabella211[[#This Row],[New_Recovered_fit]]-Tabella211[[#This Row],[New_Deaths_fit]]</f>
        <v>3586.9978265164282</v>
      </c>
      <c r="O41" s="10">
        <f>'dpc-covid19-ita-andamento-naz'!J35</f>
        <v>12384</v>
      </c>
      <c r="P41" s="48">
        <f>Tabella211[[#This Row],[Cum_recov]]-O40</f>
        <v>1434</v>
      </c>
      <c r="Q41" s="60">
        <f>Tabella211[[#This Row],[Cum_recov]]*NOT(ISBLANK(Tabella211[[#This Row],[Cum_recov]]))</f>
        <v>12384</v>
      </c>
      <c r="R41" s="50">
        <f>kr*t0r*_xlfn.GAMMA.DIST(Tabella211[[#This Row],[Day]]/t0r,wr+1,1,1)*_xlfn.GAMMA(wr+1)</f>
        <v>11590.589464553239</v>
      </c>
      <c r="S41" s="10">
        <f>kr*((Tabella211[[#This Row],[Day]]/t0r)^wr)*EXP(-(Tabella211[[#This Row],[Day]]/t0r))</f>
        <v>1020.376934025359</v>
      </c>
      <c r="T41" s="60">
        <f>Tabella211[[#This Row],[Cum_R_fit]]*NOT(ISBLANK(Tabella211[[#This Row],[Cum_recov]]))</f>
        <v>11590.589464553239</v>
      </c>
      <c r="U41" s="10">
        <f>Tabella211[[#This Row],[Cum_R_fit]]+CIr</f>
        <v>12511.400187816493</v>
      </c>
      <c r="V41" s="10">
        <f>MAX(Tabella211[[#This Row],[Cum_R_fit]]-CIr,0)</f>
        <v>10669.778741289985</v>
      </c>
      <c r="W41" s="10">
        <f>'dpc-covid19-ita-andamento-naz'!K35</f>
        <v>10023</v>
      </c>
      <c r="X41" s="26">
        <f>Tabella211[[#This Row],[Cum_deaths]]-W40</f>
        <v>889</v>
      </c>
      <c r="Y41" s="65">
        <f>Tabella211[[#This Row],[Cum_deaths]]*NOT(ISBLANK(Tabella211[[#This Row],[Cum_deaths]]))</f>
        <v>10023</v>
      </c>
      <c r="Z41" s="50">
        <f>kh*t0h*_xlfn.GAMMA.DIST(Tabella211[[#This Row],[Day]]/t0h,wh+1,1,1)*_xlfn.GAMMA(wh+1)</f>
        <v>9315.7634530165069</v>
      </c>
      <c r="AA41" s="10">
        <f>kh*((Tabella211[[#This Row],[Day]]/t0h)^wh)*EXP(-(Tabella211[[#This Row],[Day]]/t0h))</f>
        <v>793.03588672992089</v>
      </c>
      <c r="AB41" s="65">
        <f>Tabella211[[#This Row],[Cum_D_fit]]*NOT(ISBLANK(Tabella211[[#This Row],[Cum_deaths]]))</f>
        <v>9315.7634530165069</v>
      </c>
      <c r="AC41" s="10">
        <f>Tabella211[[#This Row],[Cum_D_fit]]+CIh</f>
        <v>10295.590696951849</v>
      </c>
      <c r="AD41" s="10">
        <f>MAX(Tabella211[[#This Row],[Cum_D_fit]]-CIh,0)</f>
        <v>8335.9362090811646</v>
      </c>
      <c r="AF41" s="34" t="s">
        <v>99</v>
      </c>
      <c r="AG41" s="35">
        <f>kh*t0h*_xlfn.GAMMA(wh+1)</f>
        <v>23934.130980508802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Tabella211[[#This Row],[Cum_confirmed]]*NOT(ISBLANK(Tabella211[[#This Row],[Cum_confirmed]]))</f>
        <v>97689</v>
      </c>
      <c r="G42" s="50">
        <f>k*t0*_xlfn.GAMMA.DIST(Tabella211[[#This Row],[Day]]/t0,w+1,1,1)*_xlfn.GAMMA(w+1)</f>
        <v>91079.124002032739</v>
      </c>
      <c r="H42" s="10">
        <f>k*((Tabella211[[#This Row],[Day]]/t0)^w)*EXP(-(Tabella211[[#This Row],[Day]]/t0))</f>
        <v>5303.6188510124994</v>
      </c>
      <c r="I42" s="56">
        <f>Tabella211[[#This Row],[Cum_fit]]*NOT(ISBLANK(Tabella211[[#This Row],[Cum_confirmed]]))</f>
        <v>91079.124002032739</v>
      </c>
      <c r="J42" s="10">
        <f>Tabella211[[#This Row],[Cum_fit]]+CI</f>
        <v>99549.245368594769</v>
      </c>
      <c r="K42" s="10">
        <f>MAX(Tabella211[[#This Row],[Cum_fit]]-CI,0)</f>
        <v>82609.002635470708</v>
      </c>
      <c r="L42" s="54">
        <f>'dpc-covid19-ita-andamento-naz'!G36</f>
        <v>73880</v>
      </c>
      <c r="M42" s="54">
        <f>'dpc-covid19-ita-andamento-naz'!H36</f>
        <v>3815</v>
      </c>
      <c r="N42" s="54">
        <f>Tabella211[[#This Row],[New_cases_fit]]-Tabella211[[#This Row],[New_Recovered_fit]]-Tabella211[[#This Row],[New_Deaths_fit]]</f>
        <v>3436.4627269120656</v>
      </c>
      <c r="O42" s="10">
        <f>'dpc-covid19-ita-andamento-naz'!J36</f>
        <v>13030</v>
      </c>
      <c r="P42" s="48">
        <f>Tabella211[[#This Row],[Cum_recov]]-O41</f>
        <v>646</v>
      </c>
      <c r="Q42" s="60">
        <f>Tabella211[[#This Row],[Cum_recov]]*NOT(ISBLANK(Tabella211[[#This Row],[Cum_recov]]))</f>
        <v>13030</v>
      </c>
      <c r="R42" s="50">
        <f>kr*t0r*_xlfn.GAMMA.DIST(Tabella211[[#This Row],[Day]]/t0r,wr+1,1,1)*_xlfn.GAMMA(wr+1)</f>
        <v>12637.682747981822</v>
      </c>
      <c r="S42" s="10">
        <f>kr*((Tabella211[[#This Row],[Day]]/t0r)^wr)*EXP(-(Tabella211[[#This Row],[Day]]/t0r))</f>
        <v>1073.8839055339824</v>
      </c>
      <c r="T42" s="60">
        <f>Tabella211[[#This Row],[Cum_R_fit]]*NOT(ISBLANK(Tabella211[[#This Row],[Cum_recov]]))</f>
        <v>12637.682747981822</v>
      </c>
      <c r="U42" s="10">
        <f>Tabella211[[#This Row],[Cum_R_fit]]+CIr</f>
        <v>13558.493471245076</v>
      </c>
      <c r="V42" s="10">
        <f>MAX(Tabella211[[#This Row],[Cum_R_fit]]-CIr,0)</f>
        <v>11716.872024718568</v>
      </c>
      <c r="W42" s="10">
        <f>'dpc-covid19-ita-andamento-naz'!K36</f>
        <v>10779</v>
      </c>
      <c r="X42" s="26">
        <f>Tabella211[[#This Row],[Cum_deaths]]-W41</f>
        <v>756</v>
      </c>
      <c r="Y42" s="65">
        <f>Tabella211[[#This Row],[Cum_deaths]]*NOT(ISBLANK(Tabella211[[#This Row],[Cum_deaths]]))</f>
        <v>10779</v>
      </c>
      <c r="Z42" s="50">
        <f>kh*t0h*_xlfn.GAMMA.DIST(Tabella211[[#This Row],[Day]]/t0h,wh+1,1,1)*_xlfn.GAMMA(wh+1)</f>
        <v>10109.38540638548</v>
      </c>
      <c r="AA42" s="10">
        <f>kh*((Tabella211[[#This Row],[Day]]/t0h)^wh)*EXP(-(Tabella211[[#This Row],[Day]]/t0h))</f>
        <v>793.27221856645133</v>
      </c>
      <c r="AB42" s="65">
        <f>Tabella211[[#This Row],[Cum_D_fit]]*NOT(ISBLANK(Tabella211[[#This Row],[Cum_deaths]]))</f>
        <v>10109.38540638548</v>
      </c>
      <c r="AC42" s="10">
        <f>Tabella211[[#This Row],[Cum_D_fit]]+CIh</f>
        <v>11089.212650320822</v>
      </c>
      <c r="AD42" s="10">
        <f>MAX(Tabella211[[#This Row],[Cum_D_fit]]-CIh,0)</f>
        <v>9129.5581624501374</v>
      </c>
      <c r="AF42" s="34"/>
      <c r="AG42" s="81"/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Tabella211[[#This Row],[Cum_confirmed]]*NOT(ISBLANK(Tabella211[[#This Row],[Cum_confirmed]]))</f>
        <v>101739</v>
      </c>
      <c r="G43" s="50">
        <f>k*t0*_xlfn.GAMMA.DIST(Tabella211[[#This Row],[Day]]/t0,w+1,1,1)*_xlfn.GAMMA(w+1)</f>
        <v>96324.594430119163</v>
      </c>
      <c r="H43" s="10">
        <f>k*((Tabella211[[#This Row],[Day]]/t0)^w)*EXP(-(Tabella211[[#This Row],[Day]]/t0))</f>
        <v>5183.721670365946</v>
      </c>
      <c r="I43" s="56">
        <f>Tabella211[[#This Row],[Cum_fit]]*NOT(ISBLANK(Tabella211[[#This Row],[Cum_confirmed]]))</f>
        <v>96324.594430119163</v>
      </c>
      <c r="J43" s="10">
        <f>Tabella211[[#This Row],[Cum_fit]]+CI</f>
        <v>104794.71579668119</v>
      </c>
      <c r="K43" s="10">
        <f>MAX(Tabella211[[#This Row],[Cum_fit]]-CI,0)</f>
        <v>87854.473063557132</v>
      </c>
      <c r="L43" s="54">
        <f>'dpc-covid19-ita-andamento-naz'!G37</f>
        <v>75528</v>
      </c>
      <c r="M43" s="54">
        <f>'dpc-covid19-ita-andamento-naz'!H37</f>
        <v>1648</v>
      </c>
      <c r="N43" s="54">
        <f>Tabella211[[#This Row],[New_cases_fit]]-Tabella211[[#This Row],[New_Recovered_fit]]-Tabella211[[#This Row],[New_Deaths_fit]]</f>
        <v>3267.8478280931377</v>
      </c>
      <c r="O43" s="10">
        <f>'dpc-covid19-ita-andamento-naz'!J37</f>
        <v>14620</v>
      </c>
      <c r="P43" s="48">
        <f>Tabella211[[#This Row],[Cum_recov]]-O42</f>
        <v>1590</v>
      </c>
      <c r="Q43" s="60">
        <f>Tabella211[[#This Row],[Cum_recov]]*NOT(ISBLANK(Tabella211[[#This Row],[Cum_recov]]))</f>
        <v>14620</v>
      </c>
      <c r="R43" s="50">
        <f>kr*t0r*_xlfn.GAMMA.DIST(Tabella211[[#This Row],[Day]]/t0r,wr+1,1,1)*_xlfn.GAMMA(wr+1)</f>
        <v>13738.49349969877</v>
      </c>
      <c r="S43" s="10">
        <f>kr*((Tabella211[[#This Row],[Day]]/t0r)^wr)*EXP(-(Tabella211[[#This Row],[Day]]/t0r))</f>
        <v>1127.7996163100026</v>
      </c>
      <c r="T43" s="60">
        <f>Tabella211[[#This Row],[Cum_R_fit]]*NOT(ISBLANK(Tabella211[[#This Row],[Cum_recov]]))</f>
        <v>13738.49349969877</v>
      </c>
      <c r="U43" s="10">
        <f>Tabella211[[#This Row],[Cum_R_fit]]+CIr</f>
        <v>14659.304222962024</v>
      </c>
      <c r="V43" s="10">
        <f>MAX(Tabella211[[#This Row],[Cum_R_fit]]-CIr,0)</f>
        <v>12817.682776435517</v>
      </c>
      <c r="W43" s="10">
        <f>'dpc-covid19-ita-andamento-naz'!K37</f>
        <v>11591</v>
      </c>
      <c r="X43" s="26">
        <f>Tabella211[[#This Row],[Cum_deaths]]-W42</f>
        <v>812</v>
      </c>
      <c r="Y43" s="65">
        <f>Tabella211[[#This Row],[Cum_deaths]]*NOT(ISBLANK(Tabella211[[#This Row],[Cum_deaths]]))</f>
        <v>11591</v>
      </c>
      <c r="Z43" s="50">
        <f>kh*t0h*_xlfn.GAMMA.DIST(Tabella211[[#This Row],[Day]]/t0h,wh+1,1,1)*_xlfn.GAMMA(wh+1)</f>
        <v>10900.495564503348</v>
      </c>
      <c r="AA43" s="10">
        <f>kh*((Tabella211[[#This Row],[Day]]/t0h)^wh)*EXP(-(Tabella211[[#This Row],[Day]]/t0h))</f>
        <v>788.07422596280583</v>
      </c>
      <c r="AB43" s="65">
        <f>Tabella211[[#This Row],[Cum_D_fit]]*NOT(ISBLANK(Tabella211[[#This Row],[Cum_deaths]]))</f>
        <v>10900.495564503348</v>
      </c>
      <c r="AC43" s="10">
        <f>Tabella211[[#This Row],[Cum_D_fit]]+CIh</f>
        <v>11880.32280843869</v>
      </c>
      <c r="AD43" s="10">
        <f>MAX(Tabella211[[#This Row],[Cum_D_fit]]-CIh,0)</f>
        <v>9920.6683205680056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Tabella211[[#This Row],[Cum_confirmed]]*NOT(ISBLANK(Tabella211[[#This Row],[Cum_confirmed]]))</f>
        <v>105792</v>
      </c>
      <c r="G44" s="50">
        <f>k*t0*_xlfn.GAMMA.DIST(Tabella211[[#This Row],[Day]]/t0,w+1,1,1)*_xlfn.GAMMA(w+1)</f>
        <v>101439.86959543312</v>
      </c>
      <c r="H44" s="10">
        <f>k*((Tabella211[[#This Row],[Day]]/t0)^w)*EXP(-(Tabella211[[#This Row],[Day]]/t0))</f>
        <v>5043.7306158760566</v>
      </c>
      <c r="I44" s="56">
        <f>Tabella211[[#This Row],[Cum_fit]]*NOT(ISBLANK(Tabella211[[#This Row],[Cum_confirmed]]))</f>
        <v>101439.86959543312</v>
      </c>
      <c r="J44" s="10">
        <f>Tabella211[[#This Row],[Cum_fit]]+CI</f>
        <v>109909.99096199515</v>
      </c>
      <c r="K44" s="10">
        <f>MAX(Tabella211[[#This Row],[Cum_fit]]-CI,0)</f>
        <v>92969.748228871089</v>
      </c>
      <c r="L44" s="54">
        <f>'dpc-covid19-ita-andamento-naz'!G38</f>
        <v>77635</v>
      </c>
      <c r="M44" s="54">
        <f>'dpc-covid19-ita-andamento-naz'!H38</f>
        <v>2107</v>
      </c>
      <c r="N44" s="54">
        <f>Tabella211[[#This Row],[New_cases_fit]]-Tabella211[[#This Row],[New_Recovered_fit]]-Tabella211[[#This Row],[New_Deaths_fit]]</f>
        <v>3083.8294211771818</v>
      </c>
      <c r="O44" s="10">
        <f>'dpc-covid19-ita-andamento-naz'!J38</f>
        <v>15729</v>
      </c>
      <c r="P44" s="48">
        <f>Tabella211[[#This Row],[Cum_recov]]-O43</f>
        <v>1109</v>
      </c>
      <c r="Q44" s="60">
        <f>Tabella211[[#This Row],[Cum_recov]]*NOT(ISBLANK(Tabella211[[#This Row],[Cum_recov]]))</f>
        <v>15729</v>
      </c>
      <c r="R44" s="50">
        <f>kr*t0r*_xlfn.GAMMA.DIST(Tabella211[[#This Row],[Day]]/t0r,wr+1,1,1)*_xlfn.GAMMA(wr+1)</f>
        <v>14893.39403387586</v>
      </c>
      <c r="S44" s="10">
        <f>kr*((Tabella211[[#This Row],[Day]]/t0r)^wr)*EXP(-(Tabella211[[#This Row],[Day]]/t0r))</f>
        <v>1182.0515556000985</v>
      </c>
      <c r="T44" s="60">
        <f>Tabella211[[#This Row],[Cum_R_fit]]*NOT(ISBLANK(Tabella211[[#This Row],[Cum_recov]]))</f>
        <v>14893.39403387586</v>
      </c>
      <c r="U44" s="10">
        <f>Tabella211[[#This Row],[Cum_R_fit]]+CIr</f>
        <v>15814.204757139114</v>
      </c>
      <c r="V44" s="10">
        <f>MAX(Tabella211[[#This Row],[Cum_R_fit]]-CIr,0)</f>
        <v>13972.583310612607</v>
      </c>
      <c r="W44" s="10">
        <f>'dpc-covid19-ita-andamento-naz'!K38</f>
        <v>12428</v>
      </c>
      <c r="X44" s="26">
        <f>Tabella211[[#This Row],[Cum_deaths]]-W43</f>
        <v>837</v>
      </c>
      <c r="Y44" s="65">
        <f>Tabella211[[#This Row],[Cum_deaths]]*NOT(ISBLANK(Tabella211[[#This Row],[Cum_deaths]]))</f>
        <v>12428</v>
      </c>
      <c r="Z44" s="50">
        <f>kh*t0h*_xlfn.GAMMA.DIST(Tabella211[[#This Row],[Day]]/t0h,wh+1,1,1)*_xlfn.GAMMA(wh+1)</f>
        <v>11683.857661906057</v>
      </c>
      <c r="AA44" s="10">
        <f>kh*((Tabella211[[#This Row],[Day]]/t0h)^wh)*EXP(-(Tabella211[[#This Row],[Day]]/t0h))</f>
        <v>777.84963909877672</v>
      </c>
      <c r="AB44" s="65">
        <f>Tabella211[[#This Row],[Cum_D_fit]]*NOT(ISBLANK(Tabella211[[#This Row],[Cum_deaths]]))</f>
        <v>11683.857661906057</v>
      </c>
      <c r="AC44" s="10">
        <f>Tabella211[[#This Row],[Cum_D_fit]]+CIh</f>
        <v>12663.684905841399</v>
      </c>
      <c r="AD44" s="10">
        <f>MAX(Tabella211[[#This Row],[Cum_D_fit]]-CIh,0)</f>
        <v>10704.030417970715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Tabella211[[#This Row],[Cum_confirmed]]*NOT(ISBLANK(Tabella211[[#This Row],[Cum_confirmed]]))</f>
        <v>110574</v>
      </c>
      <c r="G45" s="50">
        <f>k*t0*_xlfn.GAMMA.DIST(Tabella211[[#This Row],[Day]]/t0,w+1,1,1)*_xlfn.GAMMA(w+1)</f>
        <v>106406.35646704439</v>
      </c>
      <c r="H45" s="10">
        <f>k*((Tabella211[[#This Row],[Day]]/t0)^w)*EXP(-(Tabella211[[#This Row],[Day]]/t0))</f>
        <v>4886.6395073072954</v>
      </c>
      <c r="I45" s="56">
        <f>Tabella211[[#This Row],[Cum_fit]]*NOT(ISBLANK(Tabella211[[#This Row],[Cum_confirmed]]))</f>
        <v>106406.35646704439</v>
      </c>
      <c r="J45" s="10">
        <f>Tabella211[[#This Row],[Cum_fit]]+CI</f>
        <v>114876.47783360642</v>
      </c>
      <c r="K45" s="10">
        <f>MAX(Tabella211[[#This Row],[Cum_fit]]-CI,0)</f>
        <v>97936.235100482358</v>
      </c>
      <c r="L45" s="54">
        <f>'dpc-covid19-ita-andamento-naz'!G39</f>
        <v>80572</v>
      </c>
      <c r="M45" s="54">
        <f>'dpc-covid19-ita-andamento-naz'!H39</f>
        <v>2937</v>
      </c>
      <c r="N45" s="54">
        <f>Tabella211[[#This Row],[New_cases_fit]]-Tabella211[[#This Row],[New_Recovered_fit]]-Tabella211[[#This Row],[New_Deaths_fit]]</f>
        <v>2887.0040884310029</v>
      </c>
      <c r="O45" s="10">
        <f>'dpc-covid19-ita-andamento-naz'!J39</f>
        <v>16847</v>
      </c>
      <c r="P45" s="48">
        <f>Tabella211[[#This Row],[Cum_recov]]-O44</f>
        <v>1118</v>
      </c>
      <c r="Q45" s="60">
        <f>Tabella211[[#This Row],[Cum_recov]]*NOT(ISBLANK(Tabella211[[#This Row],[Cum_recov]]))</f>
        <v>16847</v>
      </c>
      <c r="R45" s="50">
        <f>kr*t0r*_xlfn.GAMMA.DIST(Tabella211[[#This Row],[Day]]/t0r,wr+1,1,1)*_xlfn.GAMMA(wr+1)</f>
        <v>16102.685179983164</v>
      </c>
      <c r="S45" s="10">
        <f>kr*((Tabella211[[#This Row],[Day]]/t0r)^wr)*EXP(-(Tabella211[[#This Row],[Day]]/t0r))</f>
        <v>1236.5692721347402</v>
      </c>
      <c r="T45" s="60">
        <f>Tabella211[[#This Row],[Cum_R_fit]]*NOT(ISBLANK(Tabella211[[#This Row],[Cum_recov]]))</f>
        <v>16102.685179983164</v>
      </c>
      <c r="U45" s="10">
        <f>Tabella211[[#This Row],[Cum_R_fit]]+CIr</f>
        <v>17023.495903246418</v>
      </c>
      <c r="V45" s="10">
        <f>MAX(Tabella211[[#This Row],[Cum_R_fit]]-CIr,0)</f>
        <v>15181.87445671991</v>
      </c>
      <c r="W45" s="10">
        <f>'dpc-covid19-ita-andamento-naz'!K39</f>
        <v>13155</v>
      </c>
      <c r="X45" s="26">
        <f>Tabella211[[#This Row],[Cum_deaths]]-W44</f>
        <v>727</v>
      </c>
      <c r="Y45" s="65">
        <f>Tabella211[[#This Row],[Cum_deaths]]*NOT(ISBLANK(Tabella211[[#This Row],[Cum_deaths]]))</f>
        <v>13155</v>
      </c>
      <c r="Z45" s="50">
        <f>kh*t0h*_xlfn.GAMMA.DIST(Tabella211[[#This Row],[Day]]/t0h,wh+1,1,1)*_xlfn.GAMMA(wh+1)</f>
        <v>12454.674751537059</v>
      </c>
      <c r="AA45" s="10">
        <f>kh*((Tabella211[[#This Row],[Day]]/t0h)^wh)*EXP(-(Tabella211[[#This Row],[Day]]/t0h))</f>
        <v>763.06614674155219</v>
      </c>
      <c r="AB45" s="65">
        <f>Tabella211[[#This Row],[Cum_D_fit]]*NOT(ISBLANK(Tabella211[[#This Row],[Cum_deaths]]))</f>
        <v>12454.674751537059</v>
      </c>
      <c r="AC45" s="10">
        <f>Tabella211[[#This Row],[Cum_D_fit]]+CIh</f>
        <v>13434.501995472401</v>
      </c>
      <c r="AD45" s="10">
        <f>MAX(Tabella211[[#This Row],[Cum_D_fit]]-CIh,0)</f>
        <v>11474.847507601717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Tabella211[[#This Row],[Cum_confirmed]]*NOT(ISBLANK(Tabella211[[#This Row],[Cum_confirmed]]))</f>
        <v>115242</v>
      </c>
      <c r="G46" s="50">
        <f>k*t0*_xlfn.GAMMA.DIST(Tabella211[[#This Row],[Day]]/t0,w+1,1,1)*_xlfn.GAMMA(w+1)</f>
        <v>111208.42356540488</v>
      </c>
      <c r="H46" s="10">
        <f>k*((Tabella211[[#This Row],[Day]]/t0)^w)*EXP(-(Tabella211[[#This Row],[Day]]/t0))</f>
        <v>4715.3692996624841</v>
      </c>
      <c r="I46" s="56">
        <f>Tabella211[[#This Row],[Cum_fit]]*NOT(ISBLANK(Tabella211[[#This Row],[Cum_confirmed]]))</f>
        <v>111208.42356540488</v>
      </c>
      <c r="J46" s="10">
        <f>Tabella211[[#This Row],[Cum_fit]]+CI</f>
        <v>119678.54493196691</v>
      </c>
      <c r="K46" s="10">
        <f>MAX(Tabella211[[#This Row],[Cum_fit]]-CI,0)</f>
        <v>102738.30219884285</v>
      </c>
      <c r="L46" s="54">
        <f>'dpc-covid19-ita-andamento-naz'!G40</f>
        <v>83049</v>
      </c>
      <c r="M46" s="54">
        <f>'dpc-covid19-ita-andamento-naz'!H40</f>
        <v>2477</v>
      </c>
      <c r="N46" s="54">
        <f>Tabella211[[#This Row],[New_cases_fit]]-Tabella211[[#This Row],[New_Recovered_fit]]-Tabella211[[#This Row],[New_Deaths_fit]]</f>
        <v>2679.8522354341549</v>
      </c>
      <c r="O46" s="10">
        <f>'dpc-covid19-ita-andamento-naz'!J40</f>
        <v>18278</v>
      </c>
      <c r="P46" s="48">
        <f>Tabella211[[#This Row],[Cum_recov]]-O45</f>
        <v>1431</v>
      </c>
      <c r="Q46" s="60">
        <f>Tabella211[[#This Row],[Cum_recov]]*NOT(ISBLANK(Tabella211[[#This Row],[Cum_recov]]))</f>
        <v>18278</v>
      </c>
      <c r="R46" s="50">
        <f>kr*t0r*_xlfn.GAMMA.DIST(Tabella211[[#This Row],[Day]]/t0r,wr+1,1,1)*_xlfn.GAMMA(wr+1)</f>
        <v>17366.598362684224</v>
      </c>
      <c r="S46" s="10">
        <f>kr*((Tabella211[[#This Row],[Day]]/t0r)^wr)*EXP(-(Tabella211[[#This Row],[Day]]/t0r))</f>
        <v>1291.2844132571186</v>
      </c>
      <c r="T46" s="60">
        <f>Tabella211[[#This Row],[Cum_R_fit]]*NOT(ISBLANK(Tabella211[[#This Row],[Cum_recov]]))</f>
        <v>17366.598362684224</v>
      </c>
      <c r="U46" s="10">
        <f>Tabella211[[#This Row],[Cum_R_fit]]+CIr</f>
        <v>18287.409085947478</v>
      </c>
      <c r="V46" s="10">
        <f>MAX(Tabella211[[#This Row],[Cum_R_fit]]-CIr,0)</f>
        <v>16445.787639420971</v>
      </c>
      <c r="W46" s="10">
        <f>'dpc-covid19-ita-andamento-naz'!K40</f>
        <v>13915</v>
      </c>
      <c r="X46" s="26">
        <f>Tabella211[[#This Row],[Cum_deaths]]-W45</f>
        <v>760</v>
      </c>
      <c r="Y46" s="65">
        <f>Tabella211[[#This Row],[Cum_deaths]]*NOT(ISBLANK(Tabella211[[#This Row],[Cum_deaths]]))</f>
        <v>13915</v>
      </c>
      <c r="Z46" s="50">
        <f>kh*t0h*_xlfn.GAMMA.DIST(Tabella211[[#This Row],[Day]]/t0h,wh+1,1,1)*_xlfn.GAMMA(wh+1)</f>
        <v>13208.639691118529</v>
      </c>
      <c r="AA46" s="10">
        <f>kh*((Tabella211[[#This Row],[Day]]/t0h)^wh)*EXP(-(Tabella211[[#This Row],[Day]]/t0h))</f>
        <v>744.23265097121089</v>
      </c>
      <c r="AB46" s="65">
        <f>Tabella211[[#This Row],[Cum_D_fit]]*NOT(ISBLANK(Tabella211[[#This Row],[Cum_deaths]]))</f>
        <v>13208.639691118529</v>
      </c>
      <c r="AC46" s="10">
        <f>Tabella211[[#This Row],[Cum_D_fit]]+CIh</f>
        <v>14188.466935053872</v>
      </c>
      <c r="AD46" s="10">
        <f>MAX(Tabella211[[#This Row],[Cum_D_fit]]-CIh,0)</f>
        <v>12228.812447183187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Tabella211[[#This Row],[Cum_confirmed]]*NOT(ISBLANK(Tabella211[[#This Row],[Cum_confirmed]]))</f>
        <v>119827</v>
      </c>
      <c r="G47" s="50">
        <f>k*t0*_xlfn.GAMMA.DIST(Tabella211[[#This Row],[Day]]/t0,w+1,1,1)*_xlfn.GAMMA(w+1)</f>
        <v>115833.30479677068</v>
      </c>
      <c r="H47" s="10">
        <f>k*((Tabella211[[#This Row],[Day]]/t0)^w)*EXP(-(Tabella211[[#This Row],[Day]]/t0))</f>
        <v>4532.7231446341684</v>
      </c>
      <c r="I47" s="56">
        <f>Tabella211[[#This Row],[Cum_fit]]*NOT(ISBLANK(Tabella211[[#This Row],[Cum_confirmed]]))</f>
        <v>115833.30479677068</v>
      </c>
      <c r="J47" s="10">
        <f>Tabella211[[#This Row],[Cum_fit]]+CI</f>
        <v>124303.42616333271</v>
      </c>
      <c r="K47" s="10">
        <f>MAX(Tabella211[[#This Row],[Cum_fit]]-CI,0)</f>
        <v>107363.18343020865</v>
      </c>
      <c r="L47" s="54">
        <f>'dpc-covid19-ita-andamento-naz'!G41</f>
        <v>85388</v>
      </c>
      <c r="M47" s="54">
        <f>'dpc-covid19-ita-andamento-naz'!H41</f>
        <v>2339</v>
      </c>
      <c r="N47" s="54">
        <f>Tabella211[[#This Row],[New_cases_fit]]-Tabella211[[#This Row],[New_Recovered_fit]]-Tabella211[[#This Row],[New_Deaths_fit]]</f>
        <v>2464.7104367957827</v>
      </c>
      <c r="O47" s="10">
        <f>'dpc-covid19-ita-andamento-naz'!J41</f>
        <v>19758</v>
      </c>
      <c r="P47" s="48">
        <f>Tabella211[[#This Row],[Cum_recov]]-O46</f>
        <v>1480</v>
      </c>
      <c r="Q47" s="60">
        <f>Tabella211[[#This Row],[Cum_recov]]*NOT(ISBLANK(Tabella211[[#This Row],[Cum_recov]]))</f>
        <v>19758</v>
      </c>
      <c r="R47" s="50">
        <f>kr*t0r*_xlfn.GAMMA.DIST(Tabella211[[#This Row],[Day]]/t0r,wr+1,1,1)*_xlfn.GAMMA(wr+1)</f>
        <v>18685.297715954985</v>
      </c>
      <c r="S47" s="10">
        <f>kr*((Tabella211[[#This Row],[Day]]/t0r)^wr)*EXP(-(Tabella211[[#This Row],[Day]]/t0r))</f>
        <v>1346.1307544144054</v>
      </c>
      <c r="T47" s="60">
        <f>Tabella211[[#This Row],[Cum_R_fit]]*NOT(ISBLANK(Tabella211[[#This Row],[Cum_recov]]))</f>
        <v>18685.297715954985</v>
      </c>
      <c r="U47" s="10">
        <f>Tabella211[[#This Row],[Cum_R_fit]]+CIr</f>
        <v>19606.108439218238</v>
      </c>
      <c r="V47" s="10">
        <f>MAX(Tabella211[[#This Row],[Cum_R_fit]]-CIr,0)</f>
        <v>17764.486992691731</v>
      </c>
      <c r="W47" s="10">
        <f>'dpc-covid19-ita-andamento-naz'!K41</f>
        <v>14681</v>
      </c>
      <c r="X47" s="26">
        <f>Tabella211[[#This Row],[Cum_deaths]]-W46</f>
        <v>766</v>
      </c>
      <c r="Y47" s="65">
        <f>Tabella211[[#This Row],[Cum_deaths]]*NOT(ISBLANK(Tabella211[[#This Row],[Cum_deaths]]))</f>
        <v>14681</v>
      </c>
      <c r="Z47" s="50">
        <f>kh*t0h*_xlfn.GAMMA.DIST(Tabella211[[#This Row],[Day]]/t0h,wh+1,1,1)*_xlfn.GAMMA(wh+1)</f>
        <v>13941.967562367061</v>
      </c>
      <c r="AA47" s="10">
        <f>kh*((Tabella211[[#This Row],[Day]]/t0h)^wh)*EXP(-(Tabella211[[#This Row],[Day]]/t0h))</f>
        <v>721.88195342398035</v>
      </c>
      <c r="AB47" s="65">
        <f>Tabella211[[#This Row],[Cum_D_fit]]*NOT(ISBLANK(Tabella211[[#This Row],[Cum_deaths]]))</f>
        <v>13941.967562367061</v>
      </c>
      <c r="AC47" s="10">
        <f>Tabella211[[#This Row],[Cum_D_fit]]+CIh</f>
        <v>14921.794806302403</v>
      </c>
      <c r="AD47" s="10">
        <f>MAX(Tabella211[[#This Row],[Cum_D_fit]]-CIh,0)</f>
        <v>12962.140318431719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Tabella211[[#This Row],[Cum_confirmed]]*NOT(ISBLANK(Tabella211[[#This Row],[Cum_confirmed]]))</f>
        <v>124632</v>
      </c>
      <c r="G48" s="50">
        <f>k*t0*_xlfn.GAMMA.DIST(Tabella211[[#This Row],[Day]]/t0,w+1,1,1)*_xlfn.GAMMA(w+1)</f>
        <v>120270.96322815907</v>
      </c>
      <c r="H48" s="10">
        <f>k*((Tabella211[[#This Row],[Day]]/t0)^w)*EXP(-(Tabella211[[#This Row],[Day]]/t0))</f>
        <v>4341.3510940926071</v>
      </c>
      <c r="I48" s="56">
        <f>Tabella211[[#This Row],[Cum_fit]]*NOT(ISBLANK(Tabella211[[#This Row],[Cum_confirmed]]))</f>
        <v>120270.96322815907</v>
      </c>
      <c r="J48" s="10">
        <f>Tabella211[[#This Row],[Cum_fit]]+CI</f>
        <v>128741.08459472111</v>
      </c>
      <c r="K48" s="10">
        <f>MAX(Tabella211[[#This Row],[Cum_fit]]-CI,0)</f>
        <v>111800.84186159704</v>
      </c>
      <c r="L48" s="54">
        <f>'dpc-covid19-ita-andamento-naz'!G42</f>
        <v>88274</v>
      </c>
      <c r="M48" s="54">
        <f>'dpc-covid19-ita-andamento-naz'!H42</f>
        <v>2886</v>
      </c>
      <c r="N48" s="54">
        <f>Tabella211[[#This Row],[New_cases_fit]]-Tabella211[[#This Row],[New_Recovered_fit]]-Tabella211[[#This Row],[New_Deaths_fit]]</f>
        <v>2243.7516268845334</v>
      </c>
      <c r="O48" s="10">
        <f>'dpc-covid19-ita-andamento-naz'!J42</f>
        <v>20996</v>
      </c>
      <c r="P48" s="48">
        <f>Tabella211[[#This Row],[Cum_recov]]-O47</f>
        <v>1238</v>
      </c>
      <c r="Q48" s="60">
        <f>Tabella211[[#This Row],[Cum_recov]]*NOT(ISBLANK(Tabella211[[#This Row],[Cum_recov]]))</f>
        <v>20996</v>
      </c>
      <c r="R48" s="50">
        <f>kr*t0r*_xlfn.GAMMA.DIST(Tabella211[[#This Row],[Day]]/t0r,wr+1,1,1)*_xlfn.GAMMA(wr+1)</f>
        <v>20058.882222289321</v>
      </c>
      <c r="S48" s="10">
        <f>kr*((Tabella211[[#This Row],[Day]]/t0r)^wr)*EXP(-(Tabella211[[#This Row],[Day]]/t0r))</f>
        <v>1401.0442199951337</v>
      </c>
      <c r="T48" s="60">
        <f>Tabella211[[#This Row],[Cum_R_fit]]*NOT(ISBLANK(Tabella211[[#This Row],[Cum_recov]]))</f>
        <v>20058.882222289321</v>
      </c>
      <c r="U48" s="10">
        <f>Tabella211[[#This Row],[Cum_R_fit]]+CIr</f>
        <v>20979.692945552575</v>
      </c>
      <c r="V48" s="10">
        <f>MAX(Tabella211[[#This Row],[Cum_R_fit]]-CIr,0)</f>
        <v>19138.071499026068</v>
      </c>
      <c r="W48" s="10">
        <f>'dpc-covid19-ita-andamento-naz'!K42</f>
        <v>15362</v>
      </c>
      <c r="X48" s="26">
        <f>Tabella211[[#This Row],[Cum_deaths]]-W47</f>
        <v>681</v>
      </c>
      <c r="Y48" s="65">
        <f>Tabella211[[#This Row],[Cum_deaths]]*NOT(ISBLANK(Tabella211[[#This Row],[Cum_deaths]]))</f>
        <v>15362</v>
      </c>
      <c r="Z48" s="50">
        <f>kh*t0h*_xlfn.GAMMA.DIST(Tabella211[[#This Row],[Day]]/t0h,wh+1,1,1)*_xlfn.GAMMA(wh+1)</f>
        <v>14651.411654382944</v>
      </c>
      <c r="AA48" s="10">
        <f>kh*((Tabella211[[#This Row],[Day]]/t0h)^wh)*EXP(-(Tabella211[[#This Row],[Day]]/t0h))</f>
        <v>696.55524721293989</v>
      </c>
      <c r="AB48" s="65">
        <f>Tabella211[[#This Row],[Cum_D_fit]]*NOT(ISBLANK(Tabella211[[#This Row],[Cum_deaths]]))</f>
        <v>14651.411654382944</v>
      </c>
      <c r="AC48" s="10">
        <f>Tabella211[[#This Row],[Cum_D_fit]]+CIh</f>
        <v>15631.238898318286</v>
      </c>
      <c r="AD48" s="10">
        <f>MAX(Tabella211[[#This Row],[Cum_D_fit]]-CIh,0)</f>
        <v>13671.584410447602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Tabella211[[#This Row],[Cum_confirmed]]*NOT(ISBLANK(Tabella211[[#This Row],[Cum_confirmed]]))</f>
        <v>128948</v>
      </c>
      <c r="G49" s="50">
        <f>k*t0*_xlfn.GAMMA.DIST(Tabella211[[#This Row],[Day]]/t0,w+1,1,1)*_xlfn.GAMMA(w+1)</f>
        <v>124513.92407011089</v>
      </c>
      <c r="H49" s="10">
        <f>k*((Tabella211[[#This Row],[Day]]/t0)^w)*EXP(-(Tabella211[[#This Row],[Day]]/t0))</f>
        <v>4143.7236719139046</v>
      </c>
      <c r="I49" s="56">
        <f>Tabella211[[#This Row],[Cum_fit]]*NOT(ISBLANK(Tabella211[[#This Row],[Cum_confirmed]]))</f>
        <v>124513.92407011089</v>
      </c>
      <c r="J49" s="10">
        <f>Tabella211[[#This Row],[Cum_fit]]+CI</f>
        <v>132984.04543667292</v>
      </c>
      <c r="K49" s="10">
        <f>MAX(Tabella211[[#This Row],[Cum_fit]]-CI,0)</f>
        <v>116043.80270354886</v>
      </c>
      <c r="L49" s="54">
        <f>'dpc-covid19-ita-andamento-naz'!G43</f>
        <v>91246</v>
      </c>
      <c r="M49" s="54">
        <f>'dpc-covid19-ita-andamento-naz'!H43</f>
        <v>2972</v>
      </c>
      <c r="N49" s="54">
        <f>Tabella211[[#This Row],[New_cases_fit]]-Tabella211[[#This Row],[New_Recovered_fit]]-Tabella211[[#This Row],[New_Deaths_fit]]</f>
        <v>2018.972130462668</v>
      </c>
      <c r="O49" s="10">
        <f>'dpc-covid19-ita-andamento-naz'!J43</f>
        <v>21815</v>
      </c>
      <c r="P49" s="48">
        <f>Tabella211[[#This Row],[Cum_recov]]-O48</f>
        <v>819</v>
      </c>
      <c r="Q49" s="60">
        <f>Tabella211[[#This Row],[Cum_recov]]*NOT(ISBLANK(Tabella211[[#This Row],[Cum_recov]]))</f>
        <v>21815</v>
      </c>
      <c r="R49" s="50">
        <f>kr*t0r*_xlfn.GAMMA.DIST(Tabella211[[#This Row],[Day]]/t0r,wr+1,1,1)*_xlfn.GAMMA(wr+1)</f>
        <v>21487.387868787388</v>
      </c>
      <c r="S49" s="10">
        <f>kr*((Tabella211[[#This Row],[Day]]/t0r)^wr)*EXP(-(Tabella211[[#This Row],[Day]]/t0r))</f>
        <v>1455.9628963972434</v>
      </c>
      <c r="T49" s="60">
        <f>Tabella211[[#This Row],[Cum_R_fit]]*NOT(ISBLANK(Tabella211[[#This Row],[Cum_recov]]))</f>
        <v>21487.387868787388</v>
      </c>
      <c r="U49" s="10">
        <f>Tabella211[[#This Row],[Cum_R_fit]]+CIr</f>
        <v>22408.198592050641</v>
      </c>
      <c r="V49" s="10">
        <f>MAX(Tabella211[[#This Row],[Cum_R_fit]]-CIr,0)</f>
        <v>20566.577145524134</v>
      </c>
      <c r="W49" s="10">
        <f>'dpc-covid19-ita-andamento-naz'!K43</f>
        <v>15887</v>
      </c>
      <c r="X49" s="26">
        <f>Tabella211[[#This Row],[Cum_deaths]]-W48</f>
        <v>525</v>
      </c>
      <c r="Y49" s="65">
        <f>Tabella211[[#This Row],[Cum_deaths]]*NOT(ISBLANK(Tabella211[[#This Row],[Cum_deaths]]))</f>
        <v>15887</v>
      </c>
      <c r="Z49" s="50">
        <f>kh*t0h*_xlfn.GAMMA.DIST(Tabella211[[#This Row],[Day]]/t0h,wh+1,1,1)*_xlfn.GAMMA(wh+1)</f>
        <v>15334.264943324952</v>
      </c>
      <c r="AA49" s="10">
        <f>kh*((Tabella211[[#This Row],[Day]]/t0h)^wh)*EXP(-(Tabella211[[#This Row],[Day]]/t0h))</f>
        <v>668.78864505399292</v>
      </c>
      <c r="AB49" s="65">
        <f>Tabella211[[#This Row],[Cum_D_fit]]*NOT(ISBLANK(Tabella211[[#This Row],[Cum_deaths]]))</f>
        <v>15334.264943324952</v>
      </c>
      <c r="AC49" s="10">
        <f>Tabella211[[#This Row],[Cum_D_fit]]+CIh</f>
        <v>16314.092187260294</v>
      </c>
      <c r="AD49" s="10">
        <f>MAX(Tabella211[[#This Row],[Cum_D_fit]]-CIh,0)</f>
        <v>14354.437699389609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Tabella211[[#This Row],[Cum_confirmed]]*NOT(ISBLANK(Tabella211[[#This Row],[Cum_confirmed]]))</f>
        <v>132547</v>
      </c>
      <c r="G50" s="50">
        <f>k*t0*_xlfn.GAMMA.DIST(Tabella211[[#This Row],[Day]]/t0,w+1,1,1)*_xlfn.GAMMA(w+1)</f>
        <v>128557.085298821</v>
      </c>
      <c r="H50" s="10">
        <f>k*((Tabella211[[#This Row],[Day]]/t0)^w)*EXP(-(Tabella211[[#This Row],[Day]]/t0))</f>
        <v>3942.1134265221945</v>
      </c>
      <c r="I50" s="56">
        <f>Tabella211[[#This Row],[Cum_fit]]*NOT(ISBLANK(Tabella211[[#This Row],[Cum_confirmed]]))</f>
        <v>128557.085298821</v>
      </c>
      <c r="J50" s="10">
        <f>Tabella211[[#This Row],[Cum_fit]]+CI</f>
        <v>137027.20666538304</v>
      </c>
      <c r="K50" s="10">
        <f>MAX(Tabella211[[#This Row],[Cum_fit]]-CI,0)</f>
        <v>120086.96393225896</v>
      </c>
      <c r="L50" s="54">
        <f>'dpc-covid19-ita-andamento-naz'!G44</f>
        <v>93187</v>
      </c>
      <c r="M50" s="54">
        <f>'dpc-covid19-ita-andamento-naz'!H44</f>
        <v>1941</v>
      </c>
      <c r="N50" s="54">
        <f>Tabella211[[#This Row],[New_cases_fit]]-Tabella211[[#This Row],[New_Recovered_fit]]-Tabella211[[#This Row],[New_Deaths_fit]]</f>
        <v>1792.1845378826579</v>
      </c>
      <c r="O50" s="10">
        <f>'dpc-covid19-ita-andamento-naz'!J44</f>
        <v>22837</v>
      </c>
      <c r="P50" s="48">
        <f>Tabella211[[#This Row],[Cum_recov]]-O49</f>
        <v>1022</v>
      </c>
      <c r="Q50" s="60">
        <f>Tabella211[[#This Row],[Cum_recov]]*NOT(ISBLANK(Tabella211[[#This Row],[Cum_recov]]))</f>
        <v>22837</v>
      </c>
      <c r="R50" s="50">
        <f>kr*t0r*_xlfn.GAMMA.DIST(Tabella211[[#This Row],[Day]]/t0r,wr+1,1,1)*_xlfn.GAMMA(wr+1)</f>
        <v>22970.789812762912</v>
      </c>
      <c r="S50" s="10">
        <f>kr*((Tabella211[[#This Row],[Day]]/t0r)^wr)*EXP(-(Tabella211[[#This Row],[Day]]/t0r))</f>
        <v>1510.8270381238146</v>
      </c>
      <c r="T50" s="60">
        <f>Tabella211[[#This Row],[Cum_R_fit]]*NOT(ISBLANK(Tabella211[[#This Row],[Cum_recov]]))</f>
        <v>22970.789812762912</v>
      </c>
      <c r="U50" s="10">
        <f>Tabella211[[#This Row],[Cum_R_fit]]+CIr</f>
        <v>23891.600536026166</v>
      </c>
      <c r="V50" s="10">
        <f>MAX(Tabella211[[#This Row],[Cum_R_fit]]-CIr,0)</f>
        <v>22049.979089499659</v>
      </c>
      <c r="W50" s="10">
        <f>'dpc-covid19-ita-andamento-naz'!K44</f>
        <v>16523</v>
      </c>
      <c r="X50" s="26">
        <f>Tabella211[[#This Row],[Cum_deaths]]-W49</f>
        <v>636</v>
      </c>
      <c r="Y50" s="65">
        <f>Tabella211[[#This Row],[Cum_deaths]]*NOT(ISBLANK(Tabella211[[#This Row],[Cum_deaths]]))</f>
        <v>16523</v>
      </c>
      <c r="Z50" s="50">
        <f>kh*t0h*_xlfn.GAMMA.DIST(Tabella211[[#This Row],[Day]]/t0h,wh+1,1,1)*_xlfn.GAMMA(wh+1)</f>
        <v>15988.349167450726</v>
      </c>
      <c r="AA50" s="10">
        <f>kh*((Tabella211[[#This Row],[Day]]/t0h)^wh)*EXP(-(Tabella211[[#This Row],[Day]]/t0h))</f>
        <v>639.10185051572216</v>
      </c>
      <c r="AB50" s="65">
        <f>Tabella211[[#This Row],[Cum_D_fit]]*NOT(ISBLANK(Tabella211[[#This Row],[Cum_deaths]]))</f>
        <v>15988.349167450726</v>
      </c>
      <c r="AC50" s="10">
        <f>Tabella211[[#This Row],[Cum_D_fit]]+CIh</f>
        <v>16968.176411386066</v>
      </c>
      <c r="AD50" s="10">
        <f>MAX(Tabella211[[#This Row],[Cum_D_fit]]-CIh,0)</f>
        <v>15008.521923515384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Tabella211[[#This Row],[Cum_confirmed]]*NOT(ISBLANK(Tabella211[[#This Row],[Cum_confirmed]]))</f>
        <v>135586</v>
      </c>
      <c r="G51" s="50">
        <f>k*t0*_xlfn.GAMMA.DIST(Tabella211[[#This Row],[Day]]/t0,w+1,1,1)*_xlfn.GAMMA(w+1)</f>
        <v>132397.51342790286</v>
      </c>
      <c r="H51" s="10">
        <f>k*((Tabella211[[#This Row],[Day]]/t0)^w)*EXP(-(Tabella211[[#This Row],[Day]]/t0))</f>
        <v>3738.5835173621804</v>
      </c>
      <c r="I51" s="56">
        <f>Tabella211[[#This Row],[Cum_fit]]*NOT(ISBLANK(Tabella211[[#This Row],[Cum_confirmed]]))</f>
        <v>132397.51342790286</v>
      </c>
      <c r="J51" s="10">
        <f>Tabella211[[#This Row],[Cum_fit]]+CI</f>
        <v>140867.63479446489</v>
      </c>
      <c r="K51" s="10">
        <f>MAX(Tabella211[[#This Row],[Cum_fit]]-CI,0)</f>
        <v>123927.39206134083</v>
      </c>
      <c r="L51" s="54">
        <f>'dpc-covid19-ita-andamento-naz'!G45</f>
        <v>94067</v>
      </c>
      <c r="M51" s="54">
        <f>'dpc-covid19-ita-andamento-naz'!H45</f>
        <v>880</v>
      </c>
      <c r="N51" s="54">
        <f>Tabella211[[#This Row],[New_cases_fit]]-Tabella211[[#This Row],[New_Recovered_fit]]-Tabella211[[#This Row],[New_Deaths_fit]]</f>
        <v>1565.0154725806433</v>
      </c>
      <c r="O51" s="10">
        <f>'dpc-covid19-ita-andamento-naz'!J45</f>
        <v>24392</v>
      </c>
      <c r="P51" s="48">
        <f>Tabella211[[#This Row],[Cum_recov]]-O50</f>
        <v>1555</v>
      </c>
      <c r="Q51" s="60">
        <f>Tabella211[[#This Row],[Cum_recov]]*NOT(ISBLANK(Tabella211[[#This Row],[Cum_recov]]))</f>
        <v>24392</v>
      </c>
      <c r="R51" s="50">
        <f>kr*t0r*_xlfn.GAMMA.DIST(Tabella211[[#This Row],[Day]]/t0r,wr+1,1,1)*_xlfn.GAMMA(wr+1)</f>
        <v>24509.004550262634</v>
      </c>
      <c r="S51" s="10">
        <f>kr*((Tabella211[[#This Row],[Day]]/t0r)^wr)*EXP(-(Tabella211[[#This Row],[Day]]/t0r))</f>
        <v>1565.5790676260242</v>
      </c>
      <c r="T51" s="60">
        <f>Tabella211[[#This Row],[Cum_R_fit]]*NOT(ISBLANK(Tabella211[[#This Row],[Cum_recov]]))</f>
        <v>24509.004550262634</v>
      </c>
      <c r="U51" s="10">
        <f>Tabella211[[#This Row],[Cum_R_fit]]+CIr</f>
        <v>25429.815273525888</v>
      </c>
      <c r="V51" s="10">
        <f>MAX(Tabella211[[#This Row],[Cum_R_fit]]-CIr,0)</f>
        <v>23588.193826999381</v>
      </c>
      <c r="W51" s="10">
        <f>'dpc-covid19-ita-andamento-naz'!K45</f>
        <v>17127</v>
      </c>
      <c r="X51" s="26">
        <f>Tabella211[[#This Row],[Cum_deaths]]-W50</f>
        <v>604</v>
      </c>
      <c r="Y51" s="65">
        <f>Tabella211[[#This Row],[Cum_deaths]]*NOT(ISBLANK(Tabella211[[#This Row],[Cum_deaths]]))</f>
        <v>17127</v>
      </c>
      <c r="Z51" s="50">
        <f>kh*t0h*_xlfn.GAMMA.DIST(Tabella211[[#This Row],[Day]]/t0h,wh+1,1,1)*_xlfn.GAMMA(wh+1)</f>
        <v>16611.993650639732</v>
      </c>
      <c r="AA51" s="10">
        <f>kh*((Tabella211[[#This Row],[Day]]/t0h)^wh)*EXP(-(Tabella211[[#This Row],[Day]]/t0h))</f>
        <v>607.98897715551254</v>
      </c>
      <c r="AB51" s="65">
        <f>Tabella211[[#This Row],[Cum_D_fit]]*NOT(ISBLANK(Tabella211[[#This Row],[Cum_deaths]]))</f>
        <v>16611.993650639732</v>
      </c>
      <c r="AC51" s="10">
        <f>Tabella211[[#This Row],[Cum_D_fit]]+CIh</f>
        <v>17591.820894575074</v>
      </c>
      <c r="AD51" s="10">
        <f>MAX(Tabella211[[#This Row],[Cum_D_fit]]-CIh,0)</f>
        <v>15632.166406704389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Tabella211[[#This Row],[Cum_confirmed]]*NOT(ISBLANK(Tabella211[[#This Row],[Cum_confirmed]]))</f>
        <v>139422</v>
      </c>
      <c r="G52" s="50">
        <f>k*t0*_xlfn.GAMMA.DIST(Tabella211[[#This Row],[Day]]/t0,w+1,1,1)*_xlfn.GAMMA(w+1)</f>
        <v>136034.23098241558</v>
      </c>
      <c r="H52" s="10">
        <f>k*((Tabella211[[#This Row],[Day]]/t0)^w)*EXP(-(Tabella211[[#This Row],[Day]]/t0))</f>
        <v>3534.9823732845712</v>
      </c>
      <c r="I52" s="56">
        <f>Tabella211[[#This Row],[Cum_fit]]*NOT(ISBLANK(Tabella211[[#This Row],[Cum_confirmed]]))</f>
        <v>136034.23098241558</v>
      </c>
      <c r="J52" s="10">
        <f>Tabella211[[#This Row],[Cum_fit]]+CI</f>
        <v>144504.35234897761</v>
      </c>
      <c r="K52" s="10">
        <f>MAX(Tabella211[[#This Row],[Cum_fit]]-CI,0)</f>
        <v>127564.10961585355</v>
      </c>
      <c r="L52" s="54">
        <f>'dpc-covid19-ita-andamento-naz'!G46</f>
        <v>95262</v>
      </c>
      <c r="M52" s="54">
        <f>'dpc-covid19-ita-andamento-naz'!H46</f>
        <v>1195</v>
      </c>
      <c r="N52" s="54">
        <f>Tabella211[[#This Row],[New_cases_fit]]-Tabella211[[#This Row],[New_Recovered_fit]]-Tabella211[[#This Row],[New_Deaths_fit]]</f>
        <v>1338.9073642113822</v>
      </c>
      <c r="O52" s="10">
        <f>'dpc-covid19-ita-andamento-naz'!J46</f>
        <v>26491</v>
      </c>
      <c r="P52" s="48">
        <f>Tabella211[[#This Row],[Cum_recov]]-O51</f>
        <v>2099</v>
      </c>
      <c r="Q52" s="60">
        <f>Tabella211[[#This Row],[Cum_recov]]*NOT(ISBLANK(Tabella211[[#This Row],[Cum_recov]]))</f>
        <v>26491</v>
      </c>
      <c r="R52" s="50">
        <f>kr*t0r*_xlfn.GAMMA.DIST(Tabella211[[#This Row],[Day]]/t0r,wr+1,1,1)*_xlfn.GAMMA(wr+1)</f>
        <v>26101.892081576352</v>
      </c>
      <c r="S52" s="10">
        <f>kr*((Tabella211[[#This Row],[Day]]/t0r)^wr)*EXP(-(Tabella211[[#This Row],[Day]]/t0r))</f>
        <v>1620.1635695440459</v>
      </c>
      <c r="T52" s="60">
        <f>Tabella211[[#This Row],[Cum_R_fit]]*NOT(ISBLANK(Tabella211[[#This Row],[Cum_recov]]))</f>
        <v>26101.892081576352</v>
      </c>
      <c r="U52" s="10">
        <f>Tabella211[[#This Row],[Cum_R_fit]]+CIr</f>
        <v>27022.702804839606</v>
      </c>
      <c r="V52" s="10">
        <f>MAX(Tabella211[[#This Row],[Cum_R_fit]]-CIr,0)</f>
        <v>25181.081358313098</v>
      </c>
      <c r="W52" s="10">
        <f>'dpc-covid19-ita-andamento-naz'!K46</f>
        <v>17669</v>
      </c>
      <c r="X52" s="26">
        <f>Tabella211[[#This Row],[Cum_deaths]]-W51</f>
        <v>542</v>
      </c>
      <c r="Y52" s="65">
        <f>Tabella211[[#This Row],[Cum_deaths]]*NOT(ISBLANK(Tabella211[[#This Row],[Cum_deaths]]))</f>
        <v>17669</v>
      </c>
      <c r="Z52" s="50">
        <f>kh*t0h*_xlfn.GAMMA.DIST(Tabella211[[#This Row],[Day]]/t0h,wh+1,1,1)*_xlfn.GAMMA(wh+1)</f>
        <v>17204.005990142647</v>
      </c>
      <c r="AA52" s="10">
        <f>kh*((Tabella211[[#This Row],[Day]]/t0h)^wh)*EXP(-(Tabella211[[#This Row],[Day]]/t0h))</f>
        <v>575.91143952914319</v>
      </c>
      <c r="AB52" s="65">
        <f>Tabella211[[#This Row],[Cum_D_fit]]*NOT(ISBLANK(Tabella211[[#This Row],[Cum_deaths]]))</f>
        <v>17204.005990142647</v>
      </c>
      <c r="AC52" s="10">
        <f>Tabella211[[#This Row],[Cum_D_fit]]+CIh</f>
        <v>18183.833234077989</v>
      </c>
      <c r="AD52" s="10">
        <f>MAX(Tabella211[[#This Row],[Cum_D_fit]]-CIh,0)</f>
        <v>16224.178746207304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Tabella211[[#This Row],[Cum_confirmed]]*NOT(ISBLANK(Tabella211[[#This Row],[Cum_confirmed]]))</f>
        <v>143626</v>
      </c>
      <c r="G53" s="50">
        <f>k*t0*_xlfn.GAMMA.DIST(Tabella211[[#This Row],[Day]]/t0,w+1,1,1)*_xlfn.GAMMA(w+1)</f>
        <v>139468.00127273274</v>
      </c>
      <c r="H53" s="10">
        <f>k*((Tabella211[[#This Row],[Day]]/t0)^w)*EXP(-(Tabella211[[#This Row],[Day]]/t0))</f>
        <v>3332.9434796889386</v>
      </c>
      <c r="I53" s="56">
        <f>Tabella211[[#This Row],[Cum_fit]]*NOT(ISBLANK(Tabella211[[#This Row],[Cum_confirmed]]))</f>
        <v>139468.00127273274</v>
      </c>
      <c r="J53" s="10">
        <f>Tabella211[[#This Row],[Cum_fit]]+CI</f>
        <v>147938.12263929477</v>
      </c>
      <c r="K53" s="10">
        <f>MAX(Tabella211[[#This Row],[Cum_fit]]-CI,0)</f>
        <v>130997.87990617071</v>
      </c>
      <c r="L53" s="54">
        <f>'dpc-covid19-ita-andamento-naz'!G47</f>
        <v>96877</v>
      </c>
      <c r="M53" s="54">
        <f>'dpc-covid19-ita-andamento-naz'!H47</f>
        <v>1615</v>
      </c>
      <c r="N53" s="54">
        <f>Tabella211[[#This Row],[New_cases_fit]]-Tabella211[[#This Row],[New_Recovered_fit]]-Tabella211[[#This Row],[New_Deaths_fit]]</f>
        <v>1115.1234202483679</v>
      </c>
      <c r="O53" s="10">
        <f>'dpc-covid19-ita-andamento-naz'!J47</f>
        <v>28470</v>
      </c>
      <c r="P53" s="48">
        <f>Tabella211[[#This Row],[Cum_recov]]-O52</f>
        <v>1979</v>
      </c>
      <c r="Q53" s="60">
        <f>Tabella211[[#This Row],[Cum_recov]]*NOT(ISBLANK(Tabella211[[#This Row],[Cum_recov]]))</f>
        <v>28470</v>
      </c>
      <c r="R53" s="50">
        <f>kr*t0r*_xlfn.GAMMA.DIST(Tabella211[[#This Row],[Day]]/t0r,wr+1,1,1)*_xlfn.GAMMA(wr+1)</f>
        <v>27749.258068434672</v>
      </c>
      <c r="S53" s="10">
        <f>kr*((Tabella211[[#This Row],[Day]]/t0r)^wr)*EXP(-(Tabella211[[#This Row],[Day]]/t0r))</f>
        <v>1674.5272799352961</v>
      </c>
      <c r="T53" s="60">
        <f>Tabella211[[#This Row],[Cum_R_fit]]*NOT(ISBLANK(Tabella211[[#This Row],[Cum_recov]]))</f>
        <v>27749.258068434672</v>
      </c>
      <c r="U53" s="10">
        <f>Tabella211[[#This Row],[Cum_R_fit]]+CIr</f>
        <v>28670.068791697926</v>
      </c>
      <c r="V53" s="10">
        <f>MAX(Tabella211[[#This Row],[Cum_R_fit]]-CIr,0)</f>
        <v>26828.447345171418</v>
      </c>
      <c r="W53" s="10">
        <f>'dpc-covid19-ita-andamento-naz'!K47</f>
        <v>18279</v>
      </c>
      <c r="X53" s="26">
        <f>Tabella211[[#This Row],[Cum_deaths]]-W52</f>
        <v>610</v>
      </c>
      <c r="Y53" s="65">
        <f>Tabella211[[#This Row],[Cum_deaths]]*NOT(ISBLANK(Tabella211[[#This Row],[Cum_deaths]]))</f>
        <v>18279</v>
      </c>
      <c r="Z53" s="50">
        <f>kh*t0h*_xlfn.GAMMA.DIST(Tabella211[[#This Row],[Day]]/t0h,wh+1,1,1)*_xlfn.GAMMA(wh+1)</f>
        <v>17763.636616396536</v>
      </c>
      <c r="AA53" s="10">
        <f>kh*((Tabella211[[#This Row],[Day]]/t0h)^wh)*EXP(-(Tabella211[[#This Row],[Day]]/t0h))</f>
        <v>543.29277950527455</v>
      </c>
      <c r="AB53" s="65">
        <f>Tabella211[[#This Row],[Cum_D_fit]]*NOT(ISBLANK(Tabella211[[#This Row],[Cum_deaths]]))</f>
        <v>17763.636616396536</v>
      </c>
      <c r="AC53" s="10">
        <f>Tabella211[[#This Row],[Cum_D_fit]]+CIh</f>
        <v>18743.463860331878</v>
      </c>
      <c r="AD53" s="10">
        <f>MAX(Tabella211[[#This Row],[Cum_D_fit]]-CIh,0)</f>
        <v>16783.809372461194</v>
      </c>
    </row>
    <row r="54" spans="2:30" x14ac:dyDescent="0.3">
      <c r="B54" s="9">
        <v>43931</v>
      </c>
      <c r="C54" s="4">
        <f t="shared" si="0"/>
        <v>46</v>
      </c>
      <c r="E54" s="30"/>
      <c r="F54" s="56">
        <f>Tabella211[[#This Row],[Cum_confirmed]]*NOT(ISBLANK(Tabella211[[#This Row],[Cum_confirmed]]))</f>
        <v>0</v>
      </c>
      <c r="G54" s="50">
        <f>k*t0*_xlfn.GAMMA.DIST(Tabella211[[#This Row],[Day]]/t0,w+1,1,1)*_xlfn.GAMMA(w+1)</f>
        <v>142701.11514303577</v>
      </c>
      <c r="H54" s="10">
        <f>k*((Tabella211[[#This Row],[Day]]/t0)^w)*EXP(-(Tabella211[[#This Row],[Day]]/t0))</f>
        <v>3133.8893955613089</v>
      </c>
      <c r="I54" s="56">
        <f>Tabella211[[#This Row],[Cum_fit]]*NOT(ISBLANK(Tabella211[[#This Row],[Cum_confirmed]]))</f>
        <v>0</v>
      </c>
      <c r="L54" s="55"/>
      <c r="M54" s="54"/>
      <c r="N54" s="54">
        <f>Tabella211[[#This Row],[New_cases_fit]]-Tabella211[[#This Row],[New_Recovered_fit]]-Tabella211[[#This Row],[New_Deaths_fit]]</f>
        <v>894.75507545414212</v>
      </c>
      <c r="P54" s="48"/>
      <c r="Q54" s="60">
        <f>Tabella211[[#This Row],[Cum_recov]]*NOT(ISBLANK(Tabella211[[#This Row],[Cum_recov]]))</f>
        <v>0</v>
      </c>
      <c r="R54" s="50">
        <f>kr*t0r*_xlfn.GAMMA.DIST(Tabella211[[#This Row],[Day]]/t0r,wr+1,1,1)*_xlfn.GAMMA(wr+1)</f>
        <v>29450.85597815357</v>
      </c>
      <c r="S54" s="10">
        <f>kr*((Tabella211[[#This Row],[Day]]/t0r)^wr)*EXP(-(Tabella211[[#This Row],[Day]]/t0r))</f>
        <v>1728.6190710246515</v>
      </c>
      <c r="T54" s="60">
        <f>Tabella211[[#This Row],[Cum_R_fit]]*NOT(ISBLANK(Tabella211[[#This Row],[Cum_recov]]))</f>
        <v>0</v>
      </c>
      <c r="X54" s="26"/>
      <c r="Y54" s="65">
        <f>Tabella211[[#This Row],[Cum_deaths]]*NOT(ISBLANK(Tabella211[[#This Row],[Cum_deaths]]))</f>
        <v>0</v>
      </c>
      <c r="Z54" s="50">
        <f>kh*t0h*_xlfn.GAMMA.DIST(Tabella211[[#This Row],[Day]]/t0h,wh+1,1,1)*_xlfn.GAMMA(wh+1)</f>
        <v>18290.539073624535</v>
      </c>
      <c r="AA54" s="10">
        <f>kh*((Tabella211[[#This Row],[Day]]/t0h)^wh)*EXP(-(Tabella211[[#This Row],[Day]]/t0h))</f>
        <v>510.51524908251525</v>
      </c>
      <c r="AB54" s="65">
        <f>Tabella211[[#This Row],[Cum_D_fit]]*NOT(ISBLANK(Tabella211[[#This Row],[Cum_deaths]]))</f>
        <v>0</v>
      </c>
    </row>
    <row r="55" spans="2:30" x14ac:dyDescent="0.3">
      <c r="B55" s="9">
        <v>43932</v>
      </c>
      <c r="C55" s="4">
        <f t="shared" si="0"/>
        <v>47</v>
      </c>
      <c r="E55" s="30"/>
      <c r="F55" s="56">
        <f>Tabella211[[#This Row],[Cum_confirmed]]*NOT(ISBLANK(Tabella211[[#This Row],[Cum_confirmed]]))</f>
        <v>0</v>
      </c>
      <c r="G55" s="50">
        <f>k*t0*_xlfn.GAMMA.DIST(Tabella211[[#This Row],[Day]]/t0,w+1,1,1)*_xlfn.GAMMA(w+1)</f>
        <v>145737.18350026655</v>
      </c>
      <c r="H55" s="10">
        <f>k*((Tabella211[[#This Row],[Day]]/t0)^w)*EXP(-(Tabella211[[#This Row],[Day]]/t0))</f>
        <v>2939.0391638180076</v>
      </c>
      <c r="I55" s="56">
        <f>Tabella211[[#This Row],[Cum_fit]]*NOT(ISBLANK(Tabella211[[#This Row],[Cum_confirmed]]))</f>
        <v>0</v>
      </c>
      <c r="L55" s="55"/>
      <c r="M55" s="54"/>
      <c r="N55" s="54">
        <f>Tabella211[[#This Row],[New_cases_fit]]-Tabella211[[#This Row],[New_Recovered_fit]]-Tabella211[[#This Row],[New_Deaths_fit]]</f>
        <v>678.73128719179283</v>
      </c>
      <c r="P55" s="48"/>
      <c r="Q55" s="60">
        <f>Tabella211[[#This Row],[Cum_recov]]*NOT(ISBLANK(Tabella211[[#This Row],[Cum_recov]]))</f>
        <v>0</v>
      </c>
      <c r="R55" s="50">
        <f>kr*t0r*_xlfn.GAMMA.DIST(Tabella211[[#This Row],[Day]]/t0r,wr+1,1,1)*_xlfn.GAMMA(wr+1)</f>
        <v>31206.389210494406</v>
      </c>
      <c r="S55" s="10">
        <f>kr*((Tabella211[[#This Row],[Day]]/t0r)^wr)*EXP(-(Tabella211[[#This Row],[Day]]/t0r))</f>
        <v>1782.3899319621773</v>
      </c>
      <c r="T55" s="60">
        <f>Tabella211[[#This Row],[Cum_R_fit]]*NOT(ISBLANK(Tabella211[[#This Row],[Cum_recov]]))</f>
        <v>0</v>
      </c>
      <c r="X55" s="26"/>
      <c r="Y55" s="65">
        <f>Tabella211[[#This Row],[Cum_deaths]]*NOT(ISBLANK(Tabella211[[#This Row],[Cum_deaths]]))</f>
        <v>0</v>
      </c>
      <c r="Z55" s="50">
        <f>kh*t0h*_xlfn.GAMMA.DIST(Tabella211[[#This Row],[Day]]/t0h,wh+1,1,1)*_xlfn.GAMMA(wh+1)</f>
        <v>18784.727676787144</v>
      </c>
      <c r="AA55" s="10">
        <f>kh*((Tabella211[[#This Row],[Day]]/t0h)^wh)*EXP(-(Tabella211[[#This Row],[Day]]/t0h))</f>
        <v>477.91794466403746</v>
      </c>
      <c r="AB55" s="65">
        <f>Tabella211[[#This Row],[Cum_D_fit]]*NOT(ISBLANK(Tabella211[[#This Row],[Cum_deaths]]))</f>
        <v>0</v>
      </c>
    </row>
    <row r="56" spans="2:30" x14ac:dyDescent="0.3">
      <c r="B56" s="9">
        <v>43933</v>
      </c>
      <c r="C56" s="4">
        <f t="shared" si="0"/>
        <v>48</v>
      </c>
      <c r="E56" s="30"/>
      <c r="F56" s="56">
        <f>Tabella211[[#This Row],[Cum_confirmed]]*NOT(ISBLANK(Tabella211[[#This Row],[Cum_confirmed]]))</f>
        <v>0</v>
      </c>
      <c r="G56" s="50">
        <f>k*t0*_xlfn.GAMMA.DIST(Tabella211[[#This Row],[Day]]/t0,w+1,1,1)*_xlfn.GAMMA(w+1)</f>
        <v>148580.9386290393</v>
      </c>
      <c r="H56" s="10">
        <f>k*((Tabella211[[#This Row],[Day]]/t0)^w)*EXP(-(Tabella211[[#This Row],[Day]]/t0))</f>
        <v>2749.4183523631232</v>
      </c>
      <c r="I56" s="56">
        <f>Tabella211[[#This Row],[Cum_fit]]*NOT(ISBLANK(Tabella211[[#This Row],[Cum_confirmed]]))</f>
        <v>0</v>
      </c>
      <c r="L56" s="55"/>
      <c r="M56" s="54"/>
      <c r="N56" s="54">
        <f>Tabella211[[#This Row],[New_cases_fit]]-Tabella211[[#This Row],[New_Recovered_fit]]-Tabella211[[#This Row],[New_Deaths_fit]]</f>
        <v>467.82913136817575</v>
      </c>
      <c r="P56" s="48"/>
      <c r="Q56" s="60">
        <f>Tabella211[[#This Row],[Cum_recov]]*NOT(ISBLANK(Tabella211[[#This Row],[Cum_recov]]))</f>
        <v>0</v>
      </c>
      <c r="R56" s="50">
        <f>kr*t0r*_xlfn.GAMMA.DIST(Tabella211[[#This Row],[Day]]/t0r,wr+1,1,1)*_xlfn.GAMMA(wr+1)</f>
        <v>33015.513203471077</v>
      </c>
      <c r="S56" s="10">
        <f>kr*((Tabella211[[#This Row],[Day]]/t0r)^wr)*EXP(-(Tabella211[[#This Row],[Day]]/t0r))</f>
        <v>1835.7929460298162</v>
      </c>
      <c r="T56" s="60">
        <f>Tabella211[[#This Row],[Cum_R_fit]]*NOT(ISBLANK(Tabella211[[#This Row],[Cum_recov]]))</f>
        <v>0</v>
      </c>
      <c r="X56" s="26"/>
      <c r="Y56" s="65">
        <f>Tabella211[[#This Row],[Cum_deaths]]*NOT(ISBLANK(Tabella211[[#This Row],[Cum_deaths]]))</f>
        <v>0</v>
      </c>
      <c r="Z56" s="50">
        <f>kh*t0h*_xlfn.GAMMA.DIST(Tabella211[[#This Row],[Day]]/t0h,wh+1,1,1)*_xlfn.GAMMA(wh+1)</f>
        <v>19246.533988001771</v>
      </c>
      <c r="AA56" s="10">
        <f>kh*((Tabella211[[#This Row],[Day]]/t0h)^wh)*EXP(-(Tabella211[[#This Row],[Day]]/t0h))</f>
        <v>445.7962749651312</v>
      </c>
      <c r="AB56" s="65">
        <f>Tabella211[[#This Row],[Cum_D_fit]]*NOT(ISBLANK(Tabella211[[#This Row],[Cum_deaths]]))</f>
        <v>0</v>
      </c>
    </row>
    <row r="57" spans="2:30" x14ac:dyDescent="0.3">
      <c r="B57" s="9">
        <v>43934</v>
      </c>
      <c r="C57" s="4">
        <f t="shared" si="0"/>
        <v>49</v>
      </c>
      <c r="E57" s="30"/>
      <c r="F57" s="56">
        <f>Tabella211[[#This Row],[Cum_confirmed]]*NOT(ISBLANK(Tabella211[[#This Row],[Cum_confirmed]]))</f>
        <v>0</v>
      </c>
      <c r="G57" s="50">
        <f>k*t0*_xlfn.GAMMA.DIST(Tabella211[[#This Row],[Day]]/t0,w+1,1,1)*_xlfn.GAMMA(w+1)</f>
        <v>151238.04657534629</v>
      </c>
      <c r="H57" s="10">
        <f>k*((Tabella211[[#This Row],[Day]]/t0)^w)*EXP(-(Tabella211[[#This Row],[Day]]/t0))</f>
        <v>2565.871043853826</v>
      </c>
      <c r="I57" s="56">
        <f>Tabella211[[#This Row],[Cum_fit]]*NOT(ISBLANK(Tabella211[[#This Row],[Cum_confirmed]]))</f>
        <v>0</v>
      </c>
      <c r="L57" s="55"/>
      <c r="M57" s="54"/>
      <c r="N57" s="54">
        <f>Tabella211[[#This Row],[New_cases_fit]]-Tabella211[[#This Row],[New_Recovered_fit]]-Tabella211[[#This Row],[New_Deaths_fit]]</f>
        <v>262.68523628154321</v>
      </c>
      <c r="P57" s="48"/>
      <c r="Q57" s="60">
        <f>Tabella211[[#This Row],[Cum_recov]]*NOT(ISBLANK(Tabella211[[#This Row],[Cum_recov]]))</f>
        <v>0</v>
      </c>
      <c r="R57" s="50">
        <f>kr*t0r*_xlfn.GAMMA.DIST(Tabella211[[#This Row],[Day]]/t0r,wr+1,1,1)*_xlfn.GAMMA(wr+1)</f>
        <v>34877.837514757222</v>
      </c>
      <c r="S57" s="10">
        <f>kr*((Tabella211[[#This Row],[Day]]/t0r)^wr)*EXP(-(Tabella211[[#This Row],[Day]]/t0r))</f>
        <v>1888.7832646987877</v>
      </c>
      <c r="T57" s="60">
        <f>Tabella211[[#This Row],[Cum_R_fit]]*NOT(ISBLANK(Tabella211[[#This Row],[Cum_recov]]))</f>
        <v>0</v>
      </c>
      <c r="X57" s="26"/>
      <c r="Y57" s="65">
        <f>Tabella211[[#This Row],[Cum_deaths]]*NOT(ISBLANK(Tabella211[[#This Row],[Cum_deaths]]))</f>
        <v>0</v>
      </c>
      <c r="Z57" s="50">
        <f>kh*t0h*_xlfn.GAMMA.DIST(Tabella211[[#This Row],[Day]]/t0h,wh+1,1,1)*_xlfn.GAMMA(wh+1)</f>
        <v>19676.563335988241</v>
      </c>
      <c r="AA57" s="10">
        <f>kh*((Tabella211[[#This Row],[Day]]/t0h)^wh)*EXP(-(Tabella211[[#This Row],[Day]]/t0h))</f>
        <v>414.40254287349512</v>
      </c>
      <c r="AB57" s="65">
        <f>Tabella211[[#This Row],[Cum_D_fit]]*NOT(ISBLANK(Tabella211[[#This Row],[Cum_deaths]]))</f>
        <v>0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Tabella211[[#This Row],[Cum_confirmed]]*NOT(ISBLANK(Tabella211[[#This Row],[Cum_confirmed]]))</f>
        <v>0</v>
      </c>
      <c r="G58" s="50">
        <f>k*t0*_xlfn.GAMMA.DIST(Tabella211[[#This Row],[Day]]/t0,w+1,1,1)*_xlfn.GAMMA(w+1)</f>
        <v>153714.93224136563</v>
      </c>
      <c r="H58" s="10">
        <f>k*((Tabella211[[#This Row],[Day]]/t0)^w)*EXP(-(Tabella211[[#This Row],[Day]]/t0))</f>
        <v>2389.0731752436877</v>
      </c>
      <c r="I58" s="56">
        <f>Tabella211[[#This Row],[Cum_fit]]*NOT(ISBLANK(Tabella211[[#This Row],[Cum_confirmed]]))</f>
        <v>0</v>
      </c>
      <c r="L58" s="55"/>
      <c r="M58" s="54"/>
      <c r="N58" s="54">
        <f>Tabella211[[#This Row],[New_cases_fit]]-Tabella211[[#This Row],[New_Recovered_fit]]-Tabella211[[#This Row],[New_Deaths_fit]]</f>
        <v>63.807668109925885</v>
      </c>
      <c r="P58" s="48"/>
      <c r="Q58" s="60">
        <f>Tabella211[[#This Row],[Cum_recov]]*NOT(ISBLANK(Tabella211[[#This Row],[Cum_recov]]))</f>
        <v>0</v>
      </c>
      <c r="R58" s="50">
        <f>kr*t0r*_xlfn.GAMMA.DIST(Tabella211[[#This Row],[Day]]/t0r,wr+1,1,1)*_xlfn.GAMMA(wr+1)</f>
        <v>36792.927875730129</v>
      </c>
      <c r="S58" s="10">
        <f>kr*((Tabella211[[#This Row],[Day]]/t0r)^wr)*EXP(-(Tabella211[[#This Row],[Day]]/t0r))</f>
        <v>1941.318078903633</v>
      </c>
      <c r="T58" s="60">
        <f>Tabella211[[#This Row],[Cum_R_fit]]*NOT(ISBLANK(Tabella211[[#This Row],[Cum_recov]]))</f>
        <v>0</v>
      </c>
      <c r="X58" s="26"/>
      <c r="Y58" s="65">
        <f>Tabella211[[#This Row],[Cum_deaths]]*NOT(ISBLANK(Tabella211[[#This Row],[Cum_deaths]]))</f>
        <v>0</v>
      </c>
      <c r="Z58" s="50">
        <f>kh*t0h*_xlfn.GAMMA.DIST(Tabella211[[#This Row],[Day]]/t0h,wh+1,1,1)*_xlfn.GAMMA(wh+1)</f>
        <v>20075.652385128597</v>
      </c>
      <c r="AA58" s="10">
        <f>kh*((Tabella211[[#This Row],[Day]]/t0h)^wh)*EXP(-(Tabella211[[#This Row],[Day]]/t0h))</f>
        <v>383.94742823012882</v>
      </c>
      <c r="AB58" s="65">
        <f>Tabella211[[#This Row],[Cum_D_fit]]*NOT(ISBLANK(Tabella211[[#This Row],[Cum_deaths]]))</f>
        <v>0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Tabella211[[#This Row],[Cum_confirmed]]*NOT(ISBLANK(Tabella211[[#This Row],[Cum_confirmed]]))</f>
        <v>0</v>
      </c>
      <c r="G59" s="50">
        <f>k*t0*_xlfn.GAMMA.DIST(Tabella211[[#This Row],[Day]]/t0,w+1,1,1)*_xlfn.GAMMA(w+1)</f>
        <v>156018.61827610651</v>
      </c>
      <c r="H59" s="10">
        <f>k*((Tabella211[[#This Row],[Day]]/t0)^w)*EXP(-(Tabella211[[#This Row],[Day]]/t0))</f>
        <v>2219.546710556283</v>
      </c>
      <c r="I59" s="56">
        <f>Tabella211[[#This Row],[Cum_fit]]*NOT(ISBLANK(Tabella211[[#This Row],[Cum_confirmed]]))</f>
        <v>0</v>
      </c>
      <c r="L59" s="55"/>
      <c r="M59" s="54"/>
      <c r="N59" s="54">
        <f>Tabella211[[#This Row],[New_cases_fit]]-Tabella211[[#This Row],[New_Recovered_fit]]-Tabella211[[#This Row],[New_Deaths_fit]]</f>
        <v>-128.41204874986539</v>
      </c>
      <c r="P59" s="48"/>
      <c r="Q59" s="60">
        <f>Tabella211[[#This Row],[Cum_recov]]*NOT(ISBLANK(Tabella211[[#This Row],[Cum_recov]]))</f>
        <v>0</v>
      </c>
      <c r="R59" s="50">
        <f>kr*t0r*_xlfn.GAMMA.DIST(Tabella211[[#This Row],[Day]]/t0r,wr+1,1,1)*_xlfn.GAMMA(wr+1)</f>
        <v>38760.308215537276</v>
      </c>
      <c r="S59" s="10">
        <f>kr*((Tabella211[[#This Row],[Day]]/t0r)^wr)*EXP(-(Tabella211[[#This Row],[Day]]/t0r))</f>
        <v>1993.3565878664392</v>
      </c>
      <c r="T59" s="60">
        <f>Tabella211[[#This Row],[Cum_R_fit]]*NOT(ISBLANK(Tabella211[[#This Row],[Cum_recov]]))</f>
        <v>0</v>
      </c>
      <c r="X59" s="26"/>
      <c r="Y59" s="65">
        <f>Tabella211[[#This Row],[Cum_deaths]]*NOT(ISBLANK(Tabella211[[#This Row],[Cum_deaths]]))</f>
        <v>0</v>
      </c>
      <c r="Z59" s="50">
        <f>kh*t0h*_xlfn.GAMMA.DIST(Tabella211[[#This Row],[Day]]/t0h,wh+1,1,1)*_xlfn.GAMMA(wh+1)</f>
        <v>20444.828553729421</v>
      </c>
      <c r="AA59" s="10">
        <f>kh*((Tabella211[[#This Row],[Day]]/t0h)^wh)*EXP(-(Tabella211[[#This Row],[Day]]/t0h))</f>
        <v>354.60217143970914</v>
      </c>
      <c r="AB59" s="65">
        <f>Tabella211[[#This Row],[Cum_D_fit]]*NOT(ISBLANK(Tabella211[[#This Row],[Cum_deaths]]))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Tabella211[[#This Row],[Cum_confirmed]]*NOT(ISBLANK(Tabella211[[#This Row],[Cum_confirmed]]))</f>
        <v>0</v>
      </c>
      <c r="G60" s="50">
        <f>k*t0*_xlfn.GAMMA.DIST(Tabella211[[#This Row],[Day]]/t0,w+1,1,1)*_xlfn.GAMMA(w+1)</f>
        <v>158156.57837006962</v>
      </c>
      <c r="H60" s="10">
        <f>k*((Tabella211[[#This Row],[Day]]/t0)^w)*EXP(-(Tabella211[[#This Row],[Day]]/t0))</f>
        <v>2057.6742096444837</v>
      </c>
      <c r="I60" s="56">
        <f>Tabella211[[#This Row],[Cum_fit]]*NOT(ISBLANK(Tabella211[[#This Row],[Cum_confirmed]]))</f>
        <v>0</v>
      </c>
      <c r="L60" s="55"/>
      <c r="M60" s="54"/>
      <c r="N60" s="54">
        <f>Tabella211[[#This Row],[New_cases_fit]]-Tabella211[[#This Row],[New_Recovered_fit]]-Tabella211[[#This Row],[New_Deaths_fit]]</f>
        <v>-313.68703123500063</v>
      </c>
      <c r="P60" s="48"/>
      <c r="Q60" s="60">
        <f>Tabella211[[#This Row],[Cum_recov]]*NOT(ISBLANK(Tabella211[[#This Row],[Cum_recov]]))</f>
        <v>0</v>
      </c>
      <c r="R60" s="50">
        <f>kr*t0r*_xlfn.GAMMA.DIST(Tabella211[[#This Row],[Day]]/t0r,wr+1,1,1)*_xlfn.GAMMA(wr+1)</f>
        <v>40779.462652889866</v>
      </c>
      <c r="S60" s="10">
        <f>kr*((Tabella211[[#This Row],[Day]]/t0r)^wr)*EXP(-(Tabella211[[#This Row],[Day]]/t0r))</f>
        <v>2044.8599657754289</v>
      </c>
      <c r="T60" s="60">
        <f>Tabella211[[#This Row],[Cum_R_fit]]*NOT(ISBLANK(Tabella211[[#This Row],[Cum_recov]]))</f>
        <v>0</v>
      </c>
      <c r="X60" s="26"/>
      <c r="Y60" s="65">
        <f>Tabella211[[#This Row],[Cum_deaths]]*NOT(ISBLANK(Tabella211[[#This Row],[Cum_deaths]]))</f>
        <v>0</v>
      </c>
      <c r="Z60" s="50">
        <f>kh*t0h*_xlfn.GAMMA.DIST(Tabella211[[#This Row],[Day]]/t0h,wh+1,1,1)*_xlfn.GAMMA(wh+1)</f>
        <v>20785.271889337626</v>
      </c>
      <c r="AA60" s="10">
        <f>kh*((Tabella211[[#This Row],[Day]]/t0h)^wh)*EXP(-(Tabella211[[#This Row],[Day]]/t0h))</f>
        <v>326.50127510405537</v>
      </c>
      <c r="AB60" s="65">
        <f>Tabella211[[#This Row],[Cum_D_fit]]*NOT(ISBLANK(Tabella211[[#This Row],[Cum_deaths]]))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Tabella211[[#This Row],[Cum_confirmed]]*NOT(ISBLANK(Tabella211[[#This Row],[Cum_confirmed]]))</f>
        <v>0</v>
      </c>
      <c r="G61" s="50">
        <f>k*t0*_xlfn.GAMMA.DIST(Tabella211[[#This Row],[Day]]/t0,w+1,1,1)*_xlfn.GAMMA(w+1)</f>
        <v>160136.60516256941</v>
      </c>
      <c r="H61" s="10">
        <f>k*((Tabella211[[#This Row],[Day]]/t0)^w)*EXP(-(Tabella211[[#This Row],[Day]]/t0))</f>
        <v>1903.7134302112145</v>
      </c>
      <c r="I61" s="56">
        <f>Tabella211[[#This Row],[Cum_fit]]*NOT(ISBLANK(Tabella211[[#This Row],[Cum_confirmed]]))</f>
        <v>0</v>
      </c>
      <c r="L61" s="55"/>
      <c r="M61" s="54"/>
      <c r="N61" s="54">
        <f>Tabella211[[#This Row],[New_cases_fit]]-Tabella211[[#This Row],[New_Recovered_fit]]-Tabella211[[#This Row],[New_Deaths_fit]]</f>
        <v>-491.82345722273203</v>
      </c>
      <c r="P61" s="48"/>
      <c r="Q61" s="60">
        <f>Tabella211[[#This Row],[Cum_recov]]*NOT(ISBLANK(Tabella211[[#This Row],[Cum_recov]]))</f>
        <v>0</v>
      </c>
      <c r="R61" s="50">
        <f>kr*t0r*_xlfn.GAMMA.DIST(Tabella211[[#This Row],[Day]]/t0r,wr+1,1,1)*_xlfn.GAMMA(wr+1)</f>
        <v>42849.837453579188</v>
      </c>
      <c r="S61" s="10">
        <f>kr*((Tabella211[[#This Row],[Day]]/t0r)^wr)*EXP(-(Tabella211[[#This Row],[Day]]/t0r))</f>
        <v>2095.7913265954758</v>
      </c>
      <c r="T61" s="60">
        <f>Tabella211[[#This Row],[Cum_R_fit]]*NOT(ISBLANK(Tabella211[[#This Row],[Cum_recov]]))</f>
        <v>0</v>
      </c>
      <c r="X61" s="26"/>
      <c r="Y61" s="65">
        <f>Tabella211[[#This Row],[Cum_deaths]]*NOT(ISBLANK(Tabella211[[#This Row],[Cum_deaths]]))</f>
        <v>0</v>
      </c>
      <c r="Z61" s="50">
        <f>kh*t0h*_xlfn.GAMMA.DIST(Tabella211[[#This Row],[Day]]/t0h,wh+1,1,1)*_xlfn.GAMMA(wh+1)</f>
        <v>21098.279835975394</v>
      </c>
      <c r="AA61" s="10">
        <f>kh*((Tabella211[[#This Row],[Day]]/t0h)^wh)*EXP(-(Tabella211[[#This Row],[Day]]/t0h))</f>
        <v>299.74556083847074</v>
      </c>
      <c r="AB61" s="65">
        <f>Tabella211[[#This Row],[Cum_D_fit]]*NOT(ISBLANK(Tabella211[[#This Row],[Cum_deaths]]))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Tabella211[[#This Row],[Cum_confirmed]]*NOT(ISBLANK(Tabella211[[#This Row],[Cum_confirmed]]))</f>
        <v>0</v>
      </c>
      <c r="G62" s="50">
        <f>k*t0*_xlfn.GAMMA.DIST(Tabella211[[#This Row],[Day]]/t0,w+1,1,1)*_xlfn.GAMMA(w+1)</f>
        <v>161966.69264246841</v>
      </c>
      <c r="H62" s="10">
        <f>k*((Tabella211[[#This Row],[Day]]/t0)^w)*EXP(-(Tabella211[[#This Row],[Day]]/t0))</f>
        <v>1757.8116689677706</v>
      </c>
      <c r="I62" s="56">
        <f>Tabella211[[#This Row],[Cum_fit]]*NOT(ISBLANK(Tabella211[[#This Row],[Cum_confirmed]]))</f>
        <v>0</v>
      </c>
      <c r="L62" s="55"/>
      <c r="M62" s="54"/>
      <c r="N62" s="54">
        <f>Tabella211[[#This Row],[New_cases_fit]]-Tabella211[[#This Row],[New_Recovered_fit]]-Tabella211[[#This Row],[New_Deaths_fit]]</f>
        <v>-662.70945800260915</v>
      </c>
      <c r="P62" s="48"/>
      <c r="Q62" s="60">
        <f>Tabella211[[#This Row],[Cum_recov]]*NOT(ISBLANK(Tabella211[[#This Row],[Cum_recov]]))</f>
        <v>0</v>
      </c>
      <c r="R62" s="50">
        <f>kr*t0r*_xlfn.GAMMA.DIST(Tabella211[[#This Row],[Day]]/t0r,wr+1,1,1)*_xlfn.GAMMA(wr+1)</f>
        <v>44970.842951975537</v>
      </c>
      <c r="S62" s="10">
        <f>kr*((Tabella211[[#This Row],[Day]]/t0r)^wr)*EXP(-(Tabella211[[#This Row],[Day]]/t0r))</f>
        <v>2146.1156872638667</v>
      </c>
      <c r="T62" s="60">
        <f>Tabella211[[#This Row],[Cum_R_fit]]*NOT(ISBLANK(Tabella211[[#This Row],[Cum_recov]]))</f>
        <v>0</v>
      </c>
      <c r="X62" s="26"/>
      <c r="Y62" s="65">
        <f>Tabella211[[#This Row],[Cum_deaths]]*NOT(ISBLANK(Tabella211[[#This Row],[Cum_deaths]]))</f>
        <v>0</v>
      </c>
      <c r="Z62" s="50">
        <f>kh*t0h*_xlfn.GAMMA.DIST(Tabella211[[#This Row],[Day]]/t0h,wh+1,1,1)*_xlfn.GAMMA(wh+1)</f>
        <v>21385.235175898422</v>
      </c>
      <c r="AA62" s="10">
        <f>kh*((Tabella211[[#This Row],[Day]]/t0h)^wh)*EXP(-(Tabella211[[#This Row],[Day]]/t0h))</f>
        <v>274.40543970651311</v>
      </c>
      <c r="AB62" s="65">
        <f>Tabella211[[#This Row],[Cum_D_fit]]*NOT(ISBLANK(Tabella211[[#This Row],[Cum_deaths]]))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Tabella211[[#This Row],[Cum_confirmed]]*NOT(ISBLANK(Tabella211[[#This Row],[Cum_confirmed]]))</f>
        <v>0</v>
      </c>
      <c r="G63" s="50">
        <f>k*t0*_xlfn.GAMMA.DIST(Tabella211[[#This Row],[Day]]/t0,w+1,1,1)*_xlfn.GAMMA(w+1)</f>
        <v>163654.93266052066</v>
      </c>
      <c r="H63" s="10">
        <f>k*((Tabella211[[#This Row],[Day]]/t0)^w)*EXP(-(Tabella211[[#This Row],[Day]]/t0))</f>
        <v>1620.0196098123886</v>
      </c>
      <c r="I63" s="56">
        <f>Tabella211[[#This Row],[Cum_fit]]*NOT(ISBLANK(Tabella211[[#This Row],[Cum_confirmed]]))</f>
        <v>0</v>
      </c>
      <c r="L63" s="55"/>
      <c r="M63" s="54"/>
      <c r="N63" s="54">
        <f>Tabella211[[#This Row],[New_cases_fit]]-Tabella211[[#This Row],[New_Recovered_fit]]-Tabella211[[#This Row],[New_Deaths_fit]]</f>
        <v>-826.30459589016937</v>
      </c>
      <c r="P63" s="48"/>
      <c r="Q63" s="60">
        <f>Tabella211[[#This Row],[Cum_recov]]*NOT(ISBLANK(Tabella211[[#This Row],[Cum_recov]]))</f>
        <v>0</v>
      </c>
      <c r="R63" s="50">
        <f>kr*t0r*_xlfn.GAMMA.DIST(Tabella211[[#This Row],[Day]]/t0r,wr+1,1,1)*_xlfn.GAMMA(wr+1)</f>
        <v>47141.855435013211</v>
      </c>
      <c r="S63" s="10">
        <f>kr*((Tabella211[[#This Row],[Day]]/t0r)^wr)*EXP(-(Tabella211[[#This Row],[Day]]/t0r))</f>
        <v>2195.799929502592</v>
      </c>
      <c r="T63" s="60">
        <f>Tabella211[[#This Row],[Cum_R_fit]]*NOT(ISBLANK(Tabella211[[#This Row],[Cum_recov]]))</f>
        <v>0</v>
      </c>
      <c r="X63" s="26"/>
      <c r="Y63" s="65">
        <f>Tabella211[[#This Row],[Cum_deaths]]*NOT(ISBLANK(Tabella211[[#This Row],[Cum_deaths]]))</f>
        <v>0</v>
      </c>
      <c r="Z63" s="50">
        <f>kh*t0h*_xlfn.GAMMA.DIST(Tabella211[[#This Row],[Day]]/t0h,wh+1,1,1)*_xlfn.GAMMA(wh+1)</f>
        <v>21647.577297683285</v>
      </c>
      <c r="AA63" s="10">
        <f>kh*((Tabella211[[#This Row],[Day]]/t0h)^wh)*EXP(-(Tabella211[[#This Row],[Day]]/t0h))</f>
        <v>250.52427619996587</v>
      </c>
      <c r="AB63" s="65">
        <f>Tabella211[[#This Row],[Cum_D_fit]]*NOT(ISBLANK(Tabella211[[#This Row],[Cum_deaths]]))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Tabella211[[#This Row],[Cum_confirmed]]*NOT(ISBLANK(Tabella211[[#This Row],[Cum_confirmed]]))</f>
        <v>0</v>
      </c>
      <c r="G64" s="50">
        <f>k*t0*_xlfn.GAMMA.DIST(Tabella211[[#This Row],[Day]]/t0,w+1,1,1)*_xlfn.GAMMA(w+1)</f>
        <v>165209.42496753746</v>
      </c>
      <c r="H64" s="10">
        <f>k*((Tabella211[[#This Row],[Day]]/t0)^w)*EXP(-(Tabella211[[#This Row],[Day]]/t0))</f>
        <v>1490.3045020196262</v>
      </c>
      <c r="I64" s="56">
        <f>Tabella211[[#This Row],[Cum_fit]]*NOT(ISBLANK(Tabella211[[#This Row],[Cum_confirmed]]))</f>
        <v>0</v>
      </c>
      <c r="L64" s="55"/>
      <c r="M64" s="54"/>
      <c r="N64" s="54">
        <f>Tabella211[[#This Row],[New_cases_fit]]-Tabella211[[#This Row],[New_Recovered_fit]]-Tabella211[[#This Row],[New_Deaths_fit]]</f>
        <v>-982.63000499826614</v>
      </c>
      <c r="P64" s="48"/>
      <c r="Q64" s="60">
        <f>Tabella211[[#This Row],[Cum_recov]]*NOT(ISBLANK(Tabella211[[#This Row],[Cum_recov]]))</f>
        <v>0</v>
      </c>
      <c r="R64" s="50">
        <f>kr*t0r*_xlfn.GAMMA.DIST(Tabella211[[#This Row],[Day]]/t0r,wr+1,1,1)*_xlfn.GAMMA(wr+1)</f>
        <v>49362.218987384404</v>
      </c>
      <c r="S64" s="10">
        <f>kr*((Tabella211[[#This Row],[Day]]/t0r)^wr)*EXP(-(Tabella211[[#This Row],[Day]]/t0r))</f>
        <v>2244.812760458326</v>
      </c>
      <c r="T64" s="60">
        <f>Tabella211[[#This Row],[Cum_R_fit]]*NOT(ISBLANK(Tabella211[[#This Row],[Cum_recov]]))</f>
        <v>0</v>
      </c>
      <c r="X64" s="26"/>
      <c r="Y64" s="65">
        <f>Tabella211[[#This Row],[Cum_deaths]]*NOT(ISBLANK(Tabella211[[#This Row],[Cum_deaths]]))</f>
        <v>0</v>
      </c>
      <c r="Z64" s="50">
        <f>kh*t0h*_xlfn.GAMMA.DIST(Tabella211[[#This Row],[Day]]/t0h,wh+1,1,1)*_xlfn.GAMMA(wh+1)</f>
        <v>21886.776832891373</v>
      </c>
      <c r="AA64" s="10">
        <f>kh*((Tabella211[[#This Row],[Day]]/t0h)^wh)*EXP(-(Tabella211[[#This Row],[Day]]/t0h))</f>
        <v>228.1217465595663</v>
      </c>
      <c r="AB64" s="65">
        <f>Tabella211[[#This Row],[Cum_D_fit]]*NOT(ISBLANK(Tabella211[[#This Row],[Cum_deaths]]))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Tabella211[[#This Row],[Cum_confirmed]]*NOT(ISBLANK(Tabella211[[#This Row],[Cum_confirmed]]))</f>
        <v>0</v>
      </c>
      <c r="G65" s="50">
        <f>k*t0*_xlfn.GAMMA.DIST(Tabella211[[#This Row],[Day]]/t0,w+1,1,1)*_xlfn.GAMMA(w+1)</f>
        <v>166638.20004024467</v>
      </c>
      <c r="H65" s="10">
        <f>k*((Tabella211[[#This Row],[Day]]/t0)^w)*EXP(-(Tabella211[[#This Row],[Day]]/t0))</f>
        <v>1368.5625396221637</v>
      </c>
      <c r="I65" s="56">
        <f>Tabella211[[#This Row],[Cum_fit]]*NOT(ISBLANK(Tabella211[[#This Row],[Cum_confirmed]]))</f>
        <v>0</v>
      </c>
      <c r="L65" s="55"/>
      <c r="M65" s="54"/>
      <c r="N65" s="54">
        <f>Tabella211[[#This Row],[New_cases_fit]]-Tabella211[[#This Row],[New_Recovered_fit]]-Tabella211[[#This Row],[New_Deaths_fit]]</f>
        <v>-1131.759244607962</v>
      </c>
      <c r="P65" s="48"/>
      <c r="Q65" s="60">
        <f>Tabella211[[#This Row],[Cum_recov]]*NOT(ISBLANK(Tabella211[[#This Row],[Cum_recov]]))</f>
        <v>0</v>
      </c>
      <c r="R65" s="50">
        <f>kr*t0r*_xlfn.GAMMA.DIST(Tabella211[[#This Row],[Day]]/t0r,wr+1,1,1)*_xlfn.GAMMA(wr+1)</f>
        <v>51631.247296868169</v>
      </c>
      <c r="S65" s="10">
        <f>kr*((Tabella211[[#This Row],[Day]]/t0r)^wr)*EXP(-(Tabella211[[#This Row],[Day]]/t0r))</f>
        <v>2293.1246723628983</v>
      </c>
      <c r="T65" s="60">
        <f>Tabella211[[#This Row],[Cum_R_fit]]*NOT(ISBLANK(Tabella211[[#This Row],[Cum_recov]]))</f>
        <v>0</v>
      </c>
      <c r="X65" s="26"/>
      <c r="Y65" s="65">
        <f>Tabella211[[#This Row],[Cum_deaths]]*NOT(ISBLANK(Tabella211[[#This Row],[Cum_deaths]]))</f>
        <v>0</v>
      </c>
      <c r="Z65" s="50">
        <f>kh*t0h*_xlfn.GAMMA.DIST(Tabella211[[#This Row],[Day]]/t0h,wh+1,1,1)*_xlfn.GAMMA(wh+1)</f>
        <v>22104.313614293183</v>
      </c>
      <c r="AA65" s="10">
        <f>kh*((Tabella211[[#This Row],[Day]]/t0h)^wh)*EXP(-(Tabella211[[#This Row],[Day]]/t0h))</f>
        <v>207.19711186722759</v>
      </c>
      <c r="AB65" s="65">
        <f>Tabella211[[#This Row],[Cum_D_fit]]*NOT(ISBLANK(Tabella211[[#This Row],[Cum_deaths]]))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Tabella211[[#This Row],[Cum_confirmed]]*NOT(ISBLANK(Tabella211[[#This Row],[Cum_confirmed]]))</f>
        <v>0</v>
      </c>
      <c r="G66" s="50">
        <f>k*t0*_xlfn.GAMMA.DIST(Tabella211[[#This Row],[Day]]/t0,w+1,1,1)*_xlfn.GAMMA(w+1)</f>
        <v>167949.15384916725</v>
      </c>
      <c r="H66" s="10">
        <f>k*((Tabella211[[#This Row],[Day]]/t0)^w)*EXP(-(Tabella211[[#This Row],[Day]]/t0))</f>
        <v>1254.6303546379622</v>
      </c>
      <c r="I66" s="56">
        <f>Tabella211[[#This Row],[Cum_fit]]*NOT(ISBLANK(Tabella211[[#This Row],[Cum_confirmed]]))</f>
        <v>0</v>
      </c>
      <c r="L66" s="55"/>
      <c r="M66" s="54"/>
      <c r="N66" s="54">
        <f>Tabella211[[#This Row],[New_cases_fit]]-Tabella211[[#This Row],[New_Recovered_fit]]-Tabella211[[#This Row],[New_Deaths_fit]]</f>
        <v>-1273.8098910790725</v>
      </c>
      <c r="P66" s="48"/>
      <c r="Q66" s="60">
        <f>Tabella211[[#This Row],[Cum_recov]]*NOT(ISBLANK(Tabella211[[#This Row],[Cum_recov]]))</f>
        <v>0</v>
      </c>
      <c r="R66" s="50">
        <f>kr*t0r*_xlfn.GAMMA.DIST(Tabella211[[#This Row],[Day]]/t0r,wr+1,1,1)*_xlfn.GAMMA(wr+1)</f>
        <v>53948.225418904272</v>
      </c>
      <c r="S66" s="10">
        <f>kr*((Tabella211[[#This Row],[Day]]/t0r)^wr)*EXP(-(Tabella211[[#This Row],[Day]]/t0r))</f>
        <v>2340.7079013902548</v>
      </c>
      <c r="T66" s="60">
        <f>Tabella211[[#This Row],[Cum_R_fit]]*NOT(ISBLANK(Tabella211[[#This Row],[Cum_recov]]))</f>
        <v>0</v>
      </c>
      <c r="X66" s="26"/>
      <c r="Y66" s="65">
        <f>Tabella211[[#This Row],[Cum_deaths]]*NOT(ISBLANK(Tabella211[[#This Row],[Cum_deaths]]))</f>
        <v>0</v>
      </c>
      <c r="Z66" s="50">
        <f>kh*t0h*_xlfn.GAMMA.DIST(Tabella211[[#This Row],[Day]]/t0h,wh+1,1,1)*_xlfn.GAMMA(wh+1)</f>
        <v>22301.657838210358</v>
      </c>
      <c r="AA66" s="10">
        <f>kh*((Tabella211[[#This Row],[Day]]/t0h)^wh)*EXP(-(Tabella211[[#This Row],[Day]]/t0h))</f>
        <v>187.73234432677995</v>
      </c>
      <c r="AB66" s="65">
        <f>Tabella211[[#This Row],[Cum_D_fit]]*NOT(ISBLANK(Tabella211[[#This Row],[Cum_deaths]]))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Tabella211[[#This Row],[Cum_confirmed]]*NOT(ISBLANK(Tabella211[[#This Row],[Cum_confirmed]]))</f>
        <v>0</v>
      </c>
      <c r="G67" s="50">
        <f>k*t0*_xlfn.GAMMA.DIST(Tabella211[[#This Row],[Day]]/t0,w+1,1,1)*_xlfn.GAMMA(w+1)</f>
        <v>169149.99365359257</v>
      </c>
      <c r="H67" s="10">
        <f>k*((Tabella211[[#This Row],[Day]]/t0)^w)*EXP(-(Tabella211[[#This Row],[Day]]/t0))</f>
        <v>1148.2955718999003</v>
      </c>
      <c r="I67" s="56">
        <f>Tabella211[[#This Row],[Cum_fit]]*NOT(ISBLANK(Tabella211[[#This Row],[Cum_confirmed]]))</f>
        <v>0</v>
      </c>
      <c r="L67" s="55"/>
      <c r="M67" s="54"/>
      <c r="N67" s="54">
        <f>Tabella211[[#This Row],[New_cases_fit]]-Tabella211[[#This Row],[New_Recovered_fit]]-Tabella211[[#This Row],[New_Deaths_fit]]</f>
        <v>-1408.9358752061282</v>
      </c>
      <c r="P67" s="48"/>
      <c r="Q67" s="60">
        <f>Tabella211[[#This Row],[Cum_recov]]*NOT(ISBLANK(Tabella211[[#This Row],[Cum_recov]]))</f>
        <v>0</v>
      </c>
      <c r="R67" s="50">
        <f>kr*t0r*_xlfn.GAMMA.DIST(Tabella211[[#This Row],[Day]]/t0r,wr+1,1,1)*_xlfn.GAMMA(wr+1)</f>
        <v>56312.41149968942</v>
      </c>
      <c r="S67" s="10">
        <f>kr*((Tabella211[[#This Row],[Day]]/t0r)^wr)*EXP(-(Tabella211[[#This Row],[Day]]/t0r))</f>
        <v>2387.5363858705373</v>
      </c>
      <c r="T67" s="60">
        <f>Tabella211[[#This Row],[Cum_R_fit]]*NOT(ISBLANK(Tabella211[[#This Row],[Cum_recov]]))</f>
        <v>0</v>
      </c>
      <c r="X67" s="26"/>
      <c r="Y67" s="65">
        <f>Tabella211[[#This Row],[Cum_deaths]]*NOT(ISBLANK(Tabella211[[#This Row],[Cum_deaths]]))</f>
        <v>0</v>
      </c>
      <c r="Z67" s="50">
        <f>kh*t0h*_xlfn.GAMMA.DIST(Tabella211[[#This Row],[Day]]/t0h,wh+1,1,1)*_xlfn.GAMMA(wh+1)</f>
        <v>22480.254260158104</v>
      </c>
      <c r="AA67" s="10">
        <f>kh*((Tabella211[[#This Row],[Day]]/t0h)^wh)*EXP(-(Tabella211[[#This Row],[Day]]/t0h))</f>
        <v>169.69506123549129</v>
      </c>
      <c r="AB67" s="65">
        <f>Tabella211[[#This Row],[Cum_D_fit]]*NOT(ISBLANK(Tabella211[[#This Row],[Cum_deaths]]))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Tabella211[[#This Row],[Cum_confirmed]]*NOT(ISBLANK(Tabella211[[#This Row],[Cum_confirmed]]))</f>
        <v>0</v>
      </c>
      <c r="G68" s="50">
        <f>k*t0*_xlfn.GAMMA.DIST(Tabella211[[#This Row],[Day]]/t0,w+1,1,1)*_xlfn.GAMMA(w+1)</f>
        <v>170248.19387149118</v>
      </c>
      <c r="H68" s="10">
        <f>k*((Tabella211[[#This Row],[Day]]/t0)^w)*EXP(-(Tabella211[[#This Row],[Day]]/t0))</f>
        <v>1049.3064024402872</v>
      </c>
      <c r="I68" s="56">
        <f>Tabella211[[#This Row],[Cum_fit]]*NOT(ISBLANK(Tabella211[[#This Row],[Cum_confirmed]]))</f>
        <v>0</v>
      </c>
      <c r="L68" s="55"/>
      <c r="M68" s="54"/>
      <c r="N68" s="54">
        <f>Tabella211[[#This Row],[New_cases_fit]]-Tabella211[[#This Row],[New_Recovered_fit]]-Tabella211[[#This Row],[New_Deaths_fit]]</f>
        <v>-1537.3205567807991</v>
      </c>
      <c r="P68" s="48"/>
      <c r="Q68" s="60">
        <f>Tabella211[[#This Row],[Cum_recov]]*NOT(ISBLANK(Tabella211[[#This Row],[Cum_recov]]))</f>
        <v>0</v>
      </c>
      <c r="R68" s="50">
        <f>kr*t0r*_xlfn.GAMMA.DIST(Tabella211[[#This Row],[Day]]/t0r,wr+1,1,1)*_xlfn.GAMMA(wr+1)</f>
        <v>58723.038457228198</v>
      </c>
      <c r="S68" s="10">
        <f>kr*((Tabella211[[#This Row],[Day]]/t0r)^wr)*EXP(-(Tabella211[[#This Row],[Day]]/t0r))</f>
        <v>2433.5857240078353</v>
      </c>
      <c r="T68" s="60">
        <f>Tabella211[[#This Row],[Cum_R_fit]]*NOT(ISBLANK(Tabella211[[#This Row],[Cum_recov]]))</f>
        <v>0</v>
      </c>
      <c r="X68" s="26"/>
      <c r="Y68" s="65">
        <f>Tabella211[[#This Row],[Cum_deaths]]*NOT(ISBLANK(Tabella211[[#This Row],[Cum_deaths]]))</f>
        <v>0</v>
      </c>
      <c r="Z68" s="50">
        <f>kh*t0h*_xlfn.GAMMA.DIST(Tabella211[[#This Row],[Day]]/t0h,wh+1,1,1)*_xlfn.GAMMA(wh+1)</f>
        <v>22641.509214675327</v>
      </c>
      <c r="AA68" s="10">
        <f>kh*((Tabella211[[#This Row],[Day]]/t0h)^wh)*EXP(-(Tabella211[[#This Row],[Day]]/t0h))</f>
        <v>153.04123521325101</v>
      </c>
      <c r="AB68" s="65">
        <f>Tabella211[[#This Row],[Cum_D_fit]]*NOT(ISBLANK(Tabella211[[#This Row],[Cum_deaths]]))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Tabella211[[#This Row],[Cum_confirmed]]*NOT(ISBLANK(Tabella211[[#This Row],[Cum_confirmed]]))</f>
        <v>0</v>
      </c>
      <c r="G69" s="50">
        <f>k*t0*_xlfn.GAMMA.DIST(Tabella211[[#This Row],[Day]]/t0,w+1,1,1)*_xlfn.GAMMA(w+1)</f>
        <v>171250.96106155706</v>
      </c>
      <c r="H69" s="10">
        <f>k*((Tabella211[[#This Row],[Day]]/t0)^w)*EXP(-(Tabella211[[#This Row],[Day]]/t0))</f>
        <v>957.38027619154821</v>
      </c>
      <c r="I69" s="56">
        <f>Tabella211[[#This Row],[Cum_fit]]*NOT(ISBLANK(Tabella211[[#This Row],[Cum_confirmed]]))</f>
        <v>0</v>
      </c>
      <c r="L69" s="55"/>
      <c r="M69" s="54"/>
      <c r="N69" s="54">
        <f>Tabella211[[#This Row],[New_cases_fit]]-Tabella211[[#This Row],[New_Recovered_fit]]-Tabella211[[#This Row],[New_Deaths_fit]]</f>
        <v>-1659.170516328084</v>
      </c>
      <c r="P69" s="48"/>
      <c r="Q69" s="60">
        <f>Tabella211[[#This Row],[Cum_recov]]*NOT(ISBLANK(Tabella211[[#This Row],[Cum_recov]]))</f>
        <v>0</v>
      </c>
      <c r="R69" s="50">
        <f>kr*t0r*_xlfn.GAMMA.DIST(Tabella211[[#This Row],[Day]]/t0r,wr+1,1,1)*_xlfn.GAMMA(wr+1)</f>
        <v>61179.315619909015</v>
      </c>
      <c r="S69" s="10">
        <f>kr*((Tabella211[[#This Row],[Day]]/t0r)^wr)*EXP(-(Tabella211[[#This Row],[Day]]/t0r))</f>
        <v>2478.8331312352243</v>
      </c>
      <c r="T69" s="60">
        <f>Tabella211[[#This Row],[Cum_R_fit]]*NOT(ISBLANK(Tabella211[[#This Row],[Cum_recov]]))</f>
        <v>0</v>
      </c>
      <c r="X69" s="26"/>
      <c r="Y69" s="65">
        <f>Tabella211[[#This Row],[Cum_deaths]]*NOT(ISBLANK(Tabella211[[#This Row],[Cum_deaths]]))</f>
        <v>0</v>
      </c>
      <c r="Z69" s="50">
        <f>kh*t0h*_xlfn.GAMMA.DIST(Tabella211[[#This Row],[Day]]/t0h,wh+1,1,1)*_xlfn.GAMMA(wh+1)</f>
        <v>22786.780224979044</v>
      </c>
      <c r="AA69" s="10">
        <f>kh*((Tabella211[[#This Row],[Day]]/t0h)^wh)*EXP(-(Tabella211[[#This Row],[Day]]/t0h))</f>
        <v>137.71766128440785</v>
      </c>
      <c r="AB69" s="65">
        <f>Tabella211[[#This Row],[Cum_D_fit]]*NOT(ISBLANK(Tabella211[[#This Row],[Cum_deaths]]))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Tabella211[[#This Row],[Cum_confirmed]]*NOT(ISBLANK(Tabella211[[#This Row],[Cum_confirmed]]))</f>
        <v>0</v>
      </c>
      <c r="G70" s="50">
        <f>k*t0*_xlfn.GAMMA.DIST(Tabella211[[#This Row],[Day]]/t0,w+1,1,1)*_xlfn.GAMMA(w+1)</f>
        <v>172165.20706515689</v>
      </c>
      <c r="H70" s="10">
        <f>k*((Tabella211[[#This Row],[Day]]/t0)^w)*EXP(-(Tabella211[[#This Row],[Day]]/t0))</f>
        <v>872.21153374295136</v>
      </c>
      <c r="I70" s="56">
        <f>Tabella211[[#This Row],[Cum_fit]]*NOT(ISBLANK(Tabella211[[#This Row],[Cum_confirmed]]))</f>
        <v>0</v>
      </c>
      <c r="L70" s="55"/>
      <c r="M70" s="54"/>
      <c r="N70" s="54">
        <f>Tabella211[[#This Row],[New_cases_fit]]-Tabella211[[#This Row],[New_Recovered_fit]]-Tabella211[[#This Row],[New_Deaths_fit]]</f>
        <v>-1774.7100350472231</v>
      </c>
      <c r="P70" s="48"/>
      <c r="Q70" s="60">
        <f>Tabella211[[#This Row],[Cum_recov]]*NOT(ISBLANK(Tabella211[[#This Row],[Cum_recov]]))</f>
        <v>0</v>
      </c>
      <c r="R70" s="50">
        <f>kr*t0r*_xlfn.GAMMA.DIST(Tabella211[[#This Row],[Day]]/t0r,wr+1,1,1)*_xlfn.GAMMA(wr+1)</f>
        <v>63680.430322305903</v>
      </c>
      <c r="S70" s="10">
        <f>kr*((Tabella211[[#This Row],[Day]]/t0r)^wr)*EXP(-(Tabella211[[#This Row],[Day]]/t0r))</f>
        <v>2523.2573973288368</v>
      </c>
      <c r="T70" s="60">
        <f>Tabella211[[#This Row],[Cum_R_fit]]*NOT(ISBLANK(Tabella211[[#This Row],[Cum_recov]]))</f>
        <v>0</v>
      </c>
      <c r="X70" s="26"/>
      <c r="Y70" s="65">
        <f>Tabella211[[#This Row],[Cum_deaths]]*NOT(ISBLANK(Tabella211[[#This Row],[Cum_deaths]]))</f>
        <v>0</v>
      </c>
      <c r="Z70" s="50">
        <f>kh*t0h*_xlfn.GAMMA.DIST(Tabella211[[#This Row],[Day]]/t0h,wh+1,1,1)*_xlfn.GAMMA(wh+1)</f>
        <v>22917.367953861944</v>
      </c>
      <c r="AA70" s="10">
        <f>kh*((Tabella211[[#This Row],[Day]]/t0h)^wh)*EXP(-(Tabella211[[#This Row],[Day]]/t0h))</f>
        <v>123.6641714613376</v>
      </c>
      <c r="AB70" s="65">
        <f>Tabella211[[#This Row],[Cum_D_fit]]*NOT(ISBLANK(Tabella211[[#This Row],[Cum_deaths]]))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Tabella211[[#This Row],[Cum_confirmed]]*NOT(ISBLANK(Tabella211[[#This Row],[Cum_confirmed]]))</f>
        <v>0</v>
      </c>
      <c r="G71" s="50">
        <f>k*t0*_xlfn.GAMMA.DIST(Tabella211[[#This Row],[Day]]/t0,w+1,1,1)*_xlfn.GAMMA(w+1)</f>
        <v>172997.52938340863</v>
      </c>
      <c r="H71" s="10">
        <f>k*((Tabella211[[#This Row],[Day]]/t0)^w)*EXP(-(Tabella211[[#This Row],[Day]]/t0))</f>
        <v>793.47821160469312</v>
      </c>
      <c r="I71" s="56">
        <f>Tabella211[[#This Row],[Cum_fit]]*NOT(ISBLANK(Tabella211[[#This Row],[Cum_confirmed]]))</f>
        <v>0</v>
      </c>
      <c r="L71" s="55"/>
      <c r="M71" s="54"/>
      <c r="N71" s="54">
        <f>Tabella211[[#This Row],[New_cases_fit]]-Tabella211[[#This Row],[New_Recovered_fit]]-Tabella211[[#This Row],[New_Deaths_fit]]</f>
        <v>-1884.1762274644498</v>
      </c>
      <c r="P71" s="48"/>
      <c r="Q71" s="60">
        <f>Tabella211[[#This Row],[Cum_recov]]*NOT(ISBLANK(Tabella211[[#This Row],[Cum_recov]]))</f>
        <v>0</v>
      </c>
      <c r="R71" s="50">
        <f>kr*t0r*_xlfn.GAMMA.DIST(Tabella211[[#This Row],[Day]]/t0r,wr+1,1,1)*_xlfn.GAMMA(wr+1)</f>
        <v>66225.549458020032</v>
      </c>
      <c r="S71" s="10">
        <f>kr*((Tabella211[[#This Row],[Day]]/t0r)^wr)*EXP(-(Tabella211[[#This Row],[Day]]/t0r))</f>
        <v>2566.8388433918512</v>
      </c>
      <c r="T71" s="60">
        <f>Tabella211[[#This Row],[Cum_R_fit]]*NOT(ISBLANK(Tabella211[[#This Row],[Cum_recov]]))</f>
        <v>0</v>
      </c>
      <c r="X71" s="26"/>
      <c r="Y71" s="65">
        <f>Tabella211[[#This Row],[Cum_deaths]]*NOT(ISBLANK(Tabella211[[#This Row],[Cum_deaths]]))</f>
        <v>0</v>
      </c>
      <c r="Z71" s="50">
        <f>kh*t0h*_xlfn.GAMMA.DIST(Tabella211[[#This Row],[Day]]/t0h,wh+1,1,1)*_xlfn.GAMMA(wh+1)</f>
        <v>23034.510242148659</v>
      </c>
      <c r="AA71" s="10">
        <f>kh*((Tabella211[[#This Row],[Day]]/t0h)^wh)*EXP(-(Tabella211[[#This Row],[Day]]/t0h))</f>
        <v>110.81559567729171</v>
      </c>
      <c r="AB71" s="65">
        <f>Tabella211[[#This Row],[Cum_D_fit]]*NOT(ISBLANK(Tabella211[[#This Row],[Cum_deaths]]))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Tabella211[[#This Row],[Cum_confirmed]]*NOT(ISBLANK(Tabella211[[#This Row],[Cum_confirmed]]))</f>
        <v>0</v>
      </c>
      <c r="G72" s="50">
        <f>k*t0*_xlfn.GAMMA.DIST(Tabella211[[#This Row],[Day]]/t0,w+1,1,1)*_xlfn.GAMMA(w+1)</f>
        <v>173754.19790484375</v>
      </c>
      <c r="H72" s="10">
        <f>k*((Tabella211[[#This Row],[Day]]/t0)^w)*EXP(-(Tabella211[[#This Row],[Day]]/t0))</f>
        <v>720.84796642678043</v>
      </c>
      <c r="I72" s="56">
        <f>Tabella211[[#This Row],[Cum_fit]]*NOT(ISBLANK(Tabella211[[#This Row],[Cum_confirmed]]))</f>
        <v>0</v>
      </c>
      <c r="L72" s="55"/>
      <c r="M72" s="54"/>
      <c r="N72" s="54">
        <f>Tabella211[[#This Row],[New_cases_fit]]-Tabella211[[#This Row],[New_Recovered_fit]]-Tabella211[[#This Row],[New_Deaths_fit]]</f>
        <v>-1987.814786797326</v>
      </c>
      <c r="P72" s="48"/>
      <c r="Q72" s="60">
        <f>Tabella211[[#This Row],[Cum_recov]]*NOT(ISBLANK(Tabella211[[#This Row],[Cum_recov]]))</f>
        <v>0</v>
      </c>
      <c r="R72" s="50">
        <f>kr*t0r*_xlfn.GAMMA.DIST(Tabella211[[#This Row],[Day]]/t0r,wr+1,1,1)*_xlfn.GAMMA(wr+1)</f>
        <v>68813.82098948241</v>
      </c>
      <c r="S72" s="10">
        <f>kr*((Tabella211[[#This Row],[Day]]/t0r)^wr)*EXP(-(Tabella211[[#This Row],[Day]]/t0r))</f>
        <v>2609.5592788091958</v>
      </c>
      <c r="T72" s="60">
        <f>Tabella211[[#This Row],[Cum_R_fit]]*NOT(ISBLANK(Tabella211[[#This Row],[Cum_recov]]))</f>
        <v>0</v>
      </c>
      <c r="X72" s="26"/>
      <c r="Y72" s="65">
        <f>Tabella211[[#This Row],[Cum_deaths]]*NOT(ISBLANK(Tabella211[[#This Row],[Cum_deaths]]))</f>
        <v>0</v>
      </c>
      <c r="Z72" s="50">
        <f>kh*t0h*_xlfn.GAMMA.DIST(Tabella211[[#This Row],[Day]]/t0h,wh+1,1,1)*_xlfn.GAMMA(wh+1)</f>
        <v>23139.377983258073</v>
      </c>
      <c r="AA72" s="10">
        <f>kh*((Tabella211[[#This Row],[Day]]/t0h)^wh)*EXP(-(Tabella211[[#This Row],[Day]]/t0h))</f>
        <v>99.103474414910607</v>
      </c>
      <c r="AB72" s="65">
        <f>Tabella211[[#This Row],[Cum_D_fit]]*NOT(ISBLANK(Tabella211[[#This Row],[Cum_deaths]]))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Tabella211[[#This Row],[Cum_confirmed]]*NOT(ISBLANK(Tabella211[[#This Row],[Cum_confirmed]]))</f>
        <v>0</v>
      </c>
      <c r="G73" s="50">
        <f>k*t0*_xlfn.GAMMA.DIST(Tabella211[[#This Row],[Day]]/t0,w+1,1,1)*_xlfn.GAMMA(w+1)</f>
        <v>174441.14714870509</v>
      </c>
      <c r="H73" s="10">
        <f>k*((Tabella211[[#This Row],[Day]]/t0)^w)*EXP(-(Tabella211[[#This Row],[Day]]/t0))</f>
        <v>653.98319142829826</v>
      </c>
      <c r="I73" s="56">
        <f>Tabella211[[#This Row],[Cum_fit]]*NOT(ISBLANK(Tabella211[[#This Row],[Cum_confirmed]]))</f>
        <v>0</v>
      </c>
      <c r="L73" s="55"/>
      <c r="M73" s="54"/>
      <c r="N73" s="54">
        <f>Tabella211[[#This Row],[New_cases_fit]]-Tabella211[[#This Row],[New_Recovered_fit]]-Tabella211[[#This Row],[New_Deaths_fit]]</f>
        <v>-2085.8763001902048</v>
      </c>
      <c r="P73" s="48"/>
      <c r="Q73" s="60">
        <f>Tabella211[[#This Row],[Cum_recov]]*NOT(ISBLANK(Tabella211[[#This Row],[Cum_recov]]))</f>
        <v>0</v>
      </c>
      <c r="R73" s="50">
        <f>kr*t0r*_xlfn.GAMMA.DIST(Tabella211[[#This Row],[Day]]/t0r,wr+1,1,1)*_xlfn.GAMMA(wr+1)</f>
        <v>71444.375414735157</v>
      </c>
      <c r="S73" s="10">
        <f>kr*((Tabella211[[#This Row],[Day]]/t0r)^wr)*EXP(-(Tabella211[[#This Row],[Day]]/t0r))</f>
        <v>2651.4019582645947</v>
      </c>
      <c r="T73" s="60">
        <f>Tabella211[[#This Row],[Cum_R_fit]]*NOT(ISBLANK(Tabella211[[#This Row],[Cum_recov]]))</f>
        <v>0</v>
      </c>
      <c r="X73" s="26"/>
      <c r="Y73" s="65">
        <f>Tabella211[[#This Row],[Cum_deaths]]*NOT(ISBLANK(Tabella211[[#This Row],[Cum_deaths]]))</f>
        <v>0</v>
      </c>
      <c r="Z73" s="50">
        <f>kh*t0h*_xlfn.GAMMA.DIST(Tabella211[[#This Row],[Day]]/t0h,wh+1,1,1)*_xlfn.GAMMA(wh+1)</f>
        <v>23233.072590372642</v>
      </c>
      <c r="AA73" s="10">
        <f>kh*((Tabella211[[#This Row],[Day]]/t0h)^wh)*EXP(-(Tabella211[[#This Row],[Day]]/t0h))</f>
        <v>88.457533353908488</v>
      </c>
      <c r="AB73" s="65">
        <f>Tabella211[[#This Row],[Cum_D_fit]]*NOT(ISBLANK(Tabella211[[#This Row],[Cum_deaths]]))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Tabella211[[#This Row],[Cum_confirmed]]*NOT(ISBLANK(Tabella211[[#This Row],[Cum_confirmed]]))</f>
        <v>0</v>
      </c>
      <c r="G74" s="50">
        <f>k*t0*_xlfn.GAMMA.DIST(Tabella211[[#This Row],[Day]]/t0,w+1,1,1)*_xlfn.GAMMA(w+1)</f>
        <v>175063.97324494872</v>
      </c>
      <c r="H74" s="10">
        <f>k*((Tabella211[[#This Row],[Day]]/t0)^w)*EXP(-(Tabella211[[#This Row],[Day]]/t0))</f>
        <v>592.54538340507133</v>
      </c>
      <c r="I74" s="56">
        <f>Tabella211[[#This Row],[Cum_fit]]*NOT(ISBLANK(Tabella211[[#This Row],[Cum_confirmed]]))</f>
        <v>0</v>
      </c>
      <c r="L74" s="55"/>
      <c r="M74" s="54"/>
      <c r="N74" s="54">
        <f>Tabella211[[#This Row],[New_cases_fit]]-Tabella211[[#This Row],[New_Recovered_fit]]-Tabella211[[#This Row],[New_Deaths_fit]]</f>
        <v>-2178.6130895027177</v>
      </c>
      <c r="P74" s="48"/>
      <c r="Q74" s="60">
        <f>Tabella211[[#This Row],[Cum_recov]]*NOT(ISBLANK(Tabella211[[#This Row],[Cum_recov]]))</f>
        <v>0</v>
      </c>
      <c r="R74" s="50">
        <f>kr*t0r*_xlfn.GAMMA.DIST(Tabella211[[#This Row],[Day]]/t0r,wr+1,1,1)*_xlfn.GAMMA(wr+1)</f>
        <v>74116.327191296921</v>
      </c>
      <c r="S74" s="10">
        <f>kr*((Tabella211[[#This Row],[Day]]/t0r)^wr)*EXP(-(Tabella211[[#This Row],[Day]]/t0r))</f>
        <v>2692.351538903064</v>
      </c>
      <c r="T74" s="60">
        <f>Tabella211[[#This Row],[Cum_R_fit]]*NOT(ISBLANK(Tabella211[[#This Row],[Cum_recov]]))</f>
        <v>0</v>
      </c>
      <c r="X74" s="26"/>
      <c r="Y74" s="65">
        <f>Tabella211[[#This Row],[Cum_deaths]]*NOT(ISBLANK(Tabella211[[#This Row],[Cum_deaths]]))</f>
        <v>0</v>
      </c>
      <c r="Z74" s="50">
        <f>kh*t0h*_xlfn.GAMMA.DIST(Tabella211[[#This Row],[Day]]/t0h,wh+1,1,1)*_xlfn.GAMMA(wh+1)</f>
        <v>23316.624824964347</v>
      </c>
      <c r="AA74" s="10">
        <f>kh*((Tabella211[[#This Row],[Day]]/t0h)^wh)*EXP(-(Tabella211[[#This Row],[Day]]/t0h))</f>
        <v>78.806934004725093</v>
      </c>
      <c r="AB74" s="65">
        <f>Tabella211[[#This Row],[Cum_D_fit]]*NOT(ISBLANK(Tabella211[[#This Row],[Cum_deaths]]))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Tabella211[[#This Row],[Cum_confirmed]]*NOT(ISBLANK(Tabella211[[#This Row],[Cum_confirmed]]))</f>
        <v>0</v>
      </c>
      <c r="G75" s="50">
        <f>k*t0*_xlfn.GAMMA.DIST(Tabella211[[#This Row],[Day]]/t0,w+1,1,1)*_xlfn.GAMMA(w+1)</f>
        <v>175627.9349319897</v>
      </c>
      <c r="H75" s="10">
        <f>k*((Tabella211[[#This Row],[Day]]/t0)^w)*EXP(-(Tabella211[[#This Row],[Day]]/t0))</f>
        <v>536.19882155294283</v>
      </c>
      <c r="I75" s="56">
        <f>Tabella211[[#This Row],[Cum_fit]]*NOT(ISBLANK(Tabella211[[#This Row],[Cum_confirmed]]))</f>
        <v>0</v>
      </c>
      <c r="L75" s="55"/>
      <c r="M75" s="54"/>
      <c r="N75" s="54">
        <f>Tabella211[[#This Row],[New_cases_fit]]-Tabella211[[#This Row],[New_Recovered_fit]]-Tabella211[[#This Row],[New_Deaths_fit]]</f>
        <v>-2266.2765329538838</v>
      </c>
      <c r="P75" s="48"/>
      <c r="Q75" s="60">
        <f>Tabella211[[#This Row],[Cum_recov]]*NOT(ISBLANK(Tabella211[[#This Row],[Cum_recov]]))</f>
        <v>0</v>
      </c>
      <c r="R75" s="50">
        <f>kr*t0r*_xlfn.GAMMA.DIST(Tabella211[[#This Row],[Day]]/t0r,wr+1,1,1)*_xlfn.GAMMA(wr+1)</f>
        <v>76828.776117293572</v>
      </c>
      <c r="S75" s="10">
        <f>kr*((Tabella211[[#This Row],[Day]]/t0r)^wr)*EXP(-(Tabella211[[#This Row],[Day]]/t0r))</f>
        <v>2732.3940377141425</v>
      </c>
      <c r="T75" s="60">
        <f>Tabella211[[#This Row],[Cum_R_fit]]*NOT(ISBLANK(Tabella211[[#This Row],[Cum_recov]]))</f>
        <v>0</v>
      </c>
      <c r="X75" s="26"/>
      <c r="Y75" s="65">
        <f>Tabella211[[#This Row],[Cum_deaths]]*NOT(ISBLANK(Tabella211[[#This Row],[Cum_deaths]]))</f>
        <v>0</v>
      </c>
      <c r="Z75" s="50">
        <f>kh*t0h*_xlfn.GAMMA.DIST(Tabella211[[#This Row],[Day]]/t0h,wh+1,1,1)*_xlfn.GAMMA(wh+1)</f>
        <v>23390.994770730209</v>
      </c>
      <c r="AA75" s="10">
        <f>kh*((Tabella211[[#This Row],[Day]]/t0h)^wh)*EXP(-(Tabella211[[#This Row],[Day]]/t0h))</f>
        <v>70.081316792683978</v>
      </c>
      <c r="AB75" s="65">
        <f>Tabella211[[#This Row],[Cum_D_fit]]*NOT(ISBLANK(Tabella211[[#This Row],[Cum_deaths]]))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Tabella211[[#This Row],[Cum_confirmed]]*NOT(ISBLANK(Tabella211[[#This Row],[Cum_confirmed]]))</f>
        <v>0</v>
      </c>
      <c r="G76" s="50">
        <f>k*t0*_xlfn.GAMMA.DIST(Tabella211[[#This Row],[Day]]/t0,w+1,1,1)*_xlfn.GAMMA(w+1)</f>
        <v>176137.95791512393</v>
      </c>
      <c r="H76" s="10">
        <f>k*((Tabella211[[#This Row],[Day]]/t0)^w)*EXP(-(Tabella211[[#This Row],[Day]]/t0))</f>
        <v>484.61362037801428</v>
      </c>
      <c r="I76" s="56">
        <f>Tabella211[[#This Row],[Cum_fit]]*NOT(ISBLANK(Tabella211[[#This Row],[Cum_confirmed]]))</f>
        <v>0</v>
      </c>
      <c r="L76" s="55"/>
      <c r="M76" s="54"/>
      <c r="N76" s="54">
        <f>Tabella211[[#This Row],[New_cases_fit]]-Tabella211[[#This Row],[New_Recovered_fit]]-Tabella211[[#This Row],[New_Deaths_fit]]</f>
        <v>-2349.1148234171146</v>
      </c>
      <c r="P76" s="48"/>
      <c r="Q76" s="60">
        <f>Tabella211[[#This Row],[Cum_recov]]*NOT(ISBLANK(Tabella211[[#This Row],[Cum_recov]]))</f>
        <v>0</v>
      </c>
      <c r="R76" s="50">
        <f>kr*t0r*_xlfn.GAMMA.DIST(Tabella211[[#This Row],[Day]]/t0r,wr+1,1,1)*_xlfn.GAMMA(wr+1)</f>
        <v>79580.80867011263</v>
      </c>
      <c r="S76" s="10">
        <f>kr*((Tabella211[[#This Row],[Day]]/t0r)^wr)*EXP(-(Tabella211[[#This Row],[Day]]/t0r))</f>
        <v>2771.516789203934</v>
      </c>
      <c r="T76" s="60">
        <f>Tabella211[[#This Row],[Cum_R_fit]]*NOT(ISBLANK(Tabella211[[#This Row],[Cum_recov]]))</f>
        <v>0</v>
      </c>
      <c r="X76" s="26"/>
      <c r="Y76" s="65">
        <f>Tabella211[[#This Row],[Cum_deaths]]*NOT(ISBLANK(Tabella211[[#This Row],[Cum_deaths]]))</f>
        <v>0</v>
      </c>
      <c r="Z76" s="50">
        <f>kh*t0h*_xlfn.GAMMA.DIST(Tabella211[[#This Row],[Day]]/t0h,wh+1,1,1)*_xlfn.GAMMA(wh+1)</f>
        <v>23457.072754294859</v>
      </c>
      <c r="AA76" s="10">
        <f>kh*((Tabella211[[#This Row],[Day]]/t0h)^wh)*EXP(-(Tabella211[[#This Row],[Day]]/t0h))</f>
        <v>62.211654591195099</v>
      </c>
      <c r="AB76" s="65">
        <f>Tabella211[[#This Row],[Cum_D_fit]]*NOT(ISBLANK(Tabella211[[#This Row],[Cum_deaths]]))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Tabella211[[#This Row],[Cum_confirmed]]*NOT(ISBLANK(Tabella211[[#This Row],[Cum_confirmed]]))</f>
        <v>0</v>
      </c>
      <c r="G77" s="50">
        <f>k*t0*_xlfn.GAMMA.DIST(Tabella211[[#This Row],[Day]]/t0,w+1,1,1)*_xlfn.GAMMA(w+1)</f>
        <v>176598.64199071872</v>
      </c>
      <c r="H77" s="10">
        <f>k*((Tabella211[[#This Row],[Day]]/t0)^w)*EXP(-(Tabella211[[#This Row],[Day]]/t0))</f>
        <v>437.46821852819113</v>
      </c>
      <c r="I77" s="56">
        <f>Tabella211[[#This Row],[Cum_fit]]*NOT(ISBLANK(Tabella211[[#This Row],[Cum_confirmed]]))</f>
        <v>0</v>
      </c>
      <c r="L77" s="55"/>
      <c r="M77" s="54"/>
      <c r="N77" s="54">
        <f>Tabella211[[#This Row],[New_cases_fit]]-Tabella211[[#This Row],[New_Recovered_fit]]-Tabella211[[#This Row],[New_Deaths_fit]]</f>
        <v>-2427.3711203323655</v>
      </c>
      <c r="P77" s="48"/>
      <c r="Q77" s="60">
        <f>Tabella211[[#This Row],[Cum_recov]]*NOT(ISBLANK(Tabella211[[#This Row],[Cum_recov]]))</f>
        <v>0</v>
      </c>
      <c r="R77" s="50">
        <f>kr*t0r*_xlfn.GAMMA.DIST(Tabella211[[#This Row],[Day]]/t0r,wr+1,1,1)*_xlfn.GAMMA(wr+1)</f>
        <v>82371.499302899218</v>
      </c>
      <c r="S77" s="10">
        <f>kr*((Tabella211[[#This Row],[Day]]/t0r)^wr)*EXP(-(Tabella211[[#This Row],[Day]]/t0r))</f>
        <v>2809.7084034173931</v>
      </c>
      <c r="T77" s="60">
        <f>Tabella211[[#This Row],[Cum_R_fit]]*NOT(ISBLANK(Tabella211[[#This Row],[Cum_recov]]))</f>
        <v>0</v>
      </c>
      <c r="X77" s="26"/>
      <c r="Y77" s="65">
        <f>Tabella211[[#This Row],[Cum_deaths]]*NOT(ISBLANK(Tabella211[[#This Row],[Cum_deaths]]))</f>
        <v>0</v>
      </c>
      <c r="Z77" s="50">
        <f>kh*t0h*_xlfn.GAMMA.DIST(Tabella211[[#This Row],[Day]]/t0h,wh+1,1,1)*_xlfn.GAMMA(wh+1)</f>
        <v>23515.681032465938</v>
      </c>
      <c r="AA77" s="10">
        <f>kh*((Tabella211[[#This Row],[Day]]/t0h)^wh)*EXP(-(Tabella211[[#This Row],[Day]]/t0h))</f>
        <v>55.130935443163636</v>
      </c>
      <c r="AB77" s="65">
        <f>Tabella211[[#This Row],[Cum_D_fit]]*NOT(ISBLANK(Tabella211[[#This Row],[Cum_deaths]]))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Tabella211[[#This Row],[Cum_confirmed]]*NOT(ISBLANK(Tabella211[[#This Row],[Cum_confirmed]]))</f>
        <v>0</v>
      </c>
      <c r="G78" s="50">
        <f>k*t0*_xlfn.GAMMA.DIST(Tabella211[[#This Row],[Day]]/t0,w+1,1,1)*_xlfn.GAMMA(w+1)</f>
        <v>177014.27040238903</v>
      </c>
      <c r="H78" s="10">
        <f>k*((Tabella211[[#This Row],[Day]]/t0)^w)*EXP(-(Tabella211[[#This Row],[Day]]/t0))</f>
        <v>394.45136379165587</v>
      </c>
      <c r="I78" s="56">
        <f>Tabella211[[#This Row],[Cum_fit]]*NOT(ISBLANK(Tabella211[[#This Row],[Cum_confirmed]]))</f>
        <v>0</v>
      </c>
      <c r="L78" s="55"/>
      <c r="M78" s="54"/>
      <c r="N78" s="54">
        <f>Tabella211[[#This Row],[New_cases_fit]]-Tabella211[[#This Row],[New_Recovered_fit]]-Tabella211[[#This Row],[New_Deaths_fit]]</f>
        <v>-2501.2820538872438</v>
      </c>
      <c r="P78" s="48"/>
      <c r="Q78" s="60">
        <f>Tabella211[[#This Row],[Cum_recov]]*NOT(ISBLANK(Tabella211[[#This Row],[Cum_recov]]))</f>
        <v>0</v>
      </c>
      <c r="R78" s="50">
        <f>kr*t0r*_xlfn.GAMMA.DIST(Tabella211[[#This Row],[Day]]/t0r,wr+1,1,1)*_xlfn.GAMMA(wr+1)</f>
        <v>85199.911699272707</v>
      </c>
      <c r="S78" s="10">
        <f>kr*((Tabella211[[#This Row],[Day]]/t0r)^wr)*EXP(-(Tabella211[[#This Row],[Day]]/t0r))</f>
        <v>2846.9587243661499</v>
      </c>
      <c r="T78" s="60">
        <f>Tabella211[[#This Row],[Cum_R_fit]]*NOT(ISBLANK(Tabella211[[#This Row],[Cum_recov]]))</f>
        <v>0</v>
      </c>
      <c r="X78" s="26"/>
      <c r="Y78" s="65">
        <f>Tabella211[[#This Row],[Cum_deaths]]*NOT(ISBLANK(Tabella211[[#This Row],[Cum_deaths]]))</f>
        <v>0</v>
      </c>
      <c r="Z78" s="50">
        <f>kh*t0h*_xlfn.GAMMA.DIST(Tabella211[[#This Row],[Day]]/t0h,wh+1,1,1)*_xlfn.GAMMA(wh+1)</f>
        <v>23567.576084665699</v>
      </c>
      <c r="AA78" s="10">
        <f>kh*((Tabella211[[#This Row],[Day]]/t0h)^wh)*EXP(-(Tabella211[[#This Row],[Day]]/t0h))</f>
        <v>48.774693312749534</v>
      </c>
      <c r="AB78" s="65">
        <f>Tabella211[[#This Row],[Cum_D_fit]]*NOT(ISBLANK(Tabella211[[#This Row],[Cum_deaths]]))</f>
        <v>0</v>
      </c>
    </row>
    <row r="79" spans="2:28" ht="31.2" x14ac:dyDescent="0.6">
      <c r="B79" s="11"/>
      <c r="C79" s="4"/>
      <c r="E79" s="8"/>
      <c r="I79" s="8"/>
    </row>
    <row r="80" spans="2:28" ht="31.2" x14ac:dyDescent="0.6">
      <c r="B80" s="11"/>
      <c r="C80" s="4"/>
      <c r="E80" s="8"/>
      <c r="I80" s="8"/>
    </row>
    <row r="81" spans="2:18" ht="31.2" x14ac:dyDescent="0.6">
      <c r="B81" s="11"/>
      <c r="C81" s="4"/>
      <c r="E81" s="8"/>
      <c r="I81" s="8"/>
    </row>
    <row r="82" spans="2:18" ht="31.2" x14ac:dyDescent="0.6">
      <c r="B82" s="11"/>
      <c r="C82" s="4"/>
      <c r="E82" s="8"/>
      <c r="I82" s="8"/>
    </row>
    <row r="83" spans="2:18" ht="31.2" x14ac:dyDescent="0.6">
      <c r="B83" s="11"/>
      <c r="C83" s="4"/>
      <c r="E83" s="8"/>
      <c r="I83" s="8"/>
    </row>
    <row r="84" spans="2:18" ht="31.2" x14ac:dyDescent="0.6">
      <c r="B84" s="11"/>
      <c r="C84" s="4"/>
      <c r="E84" s="8"/>
      <c r="I84" s="8"/>
    </row>
    <row r="85" spans="2:18" ht="31.2" x14ac:dyDescent="0.6">
      <c r="B85" s="11"/>
      <c r="C85" s="4"/>
      <c r="E85" s="8"/>
      <c r="I85" s="8"/>
    </row>
    <row r="86" spans="2:18" ht="31.2" x14ac:dyDescent="0.6">
      <c r="B86" s="11"/>
      <c r="C86" s="4"/>
      <c r="E86" s="8"/>
      <c r="I86" s="8"/>
    </row>
    <row r="87" spans="2:18" ht="31.2" x14ac:dyDescent="0.6">
      <c r="B87" s="11"/>
      <c r="C87" s="4"/>
      <c r="E87" s="8"/>
      <c r="I87" s="8"/>
    </row>
    <row r="88" spans="2:18" ht="31.2" x14ac:dyDescent="0.6">
      <c r="B88" s="11"/>
      <c r="C88" s="4"/>
      <c r="E88" s="8"/>
      <c r="I88" s="8"/>
    </row>
    <row r="89" spans="2:18" ht="31.2" x14ac:dyDescent="0.6">
      <c r="B89" s="11"/>
      <c r="C89" s="4"/>
      <c r="E89" s="8"/>
      <c r="I89" s="8"/>
    </row>
    <row r="90" spans="2:18" ht="31.2" x14ac:dyDescent="0.6">
      <c r="B90" s="11"/>
      <c r="C90" s="4"/>
      <c r="E90" s="8"/>
      <c r="I90" s="8"/>
    </row>
    <row r="91" spans="2:18" ht="31.2" x14ac:dyDescent="0.6">
      <c r="B91" s="11"/>
      <c r="C91" s="4"/>
      <c r="E91" s="8"/>
      <c r="I91" s="8"/>
    </row>
    <row r="92" spans="2:18" ht="31.2" x14ac:dyDescent="0.6">
      <c r="B92" s="11"/>
      <c r="C92" s="4"/>
      <c r="E92" s="8"/>
      <c r="I92" s="8"/>
    </row>
    <row r="94" spans="2:18" ht="31.2" x14ac:dyDescent="0.6">
      <c r="B94" s="11" t="s">
        <v>11</v>
      </c>
    </row>
    <row r="95" spans="2:18" ht="17.399999999999999" customHeight="1" x14ac:dyDescent="0.6">
      <c r="B95" s="12"/>
      <c r="C95" s="13"/>
      <c r="D95" s="13"/>
      <c r="E95" s="13"/>
      <c r="F95" s="13"/>
      <c r="H95" s="13"/>
      <c r="I95" s="13"/>
      <c r="J95" s="13"/>
      <c r="O95" s="20" t="s">
        <v>0</v>
      </c>
      <c r="P95" s="19" t="s">
        <v>68</v>
      </c>
      <c r="Q95" s="31"/>
      <c r="R95" s="16"/>
    </row>
    <row r="96" spans="2:18" ht="20.399999999999999" x14ac:dyDescent="0.35">
      <c r="B96" s="15" t="s">
        <v>49</v>
      </c>
      <c r="C96" s="14"/>
      <c r="D96" s="13"/>
      <c r="E96" s="13"/>
      <c r="F96" s="13"/>
      <c r="H96" s="13"/>
      <c r="I96" s="13"/>
      <c r="J96" s="13"/>
      <c r="O96" s="20" t="s">
        <v>23</v>
      </c>
      <c r="P96" s="19" t="s">
        <v>71</v>
      </c>
      <c r="Q96" s="16"/>
      <c r="R96" s="16"/>
    </row>
    <row r="97" spans="2:28" ht="18.600000000000001" thickBot="1" x14ac:dyDescent="0.4">
      <c r="B97" s="27" t="s">
        <v>58</v>
      </c>
      <c r="C97" s="13"/>
      <c r="D97" s="13"/>
      <c r="E97" s="13"/>
      <c r="F97" s="13"/>
      <c r="H97" s="13"/>
      <c r="I97" s="13"/>
      <c r="J97" s="13"/>
      <c r="O97" s="20" t="s">
        <v>1</v>
      </c>
      <c r="P97" s="19" t="s">
        <v>71</v>
      </c>
      <c r="Q97" s="16"/>
      <c r="R97" s="16"/>
    </row>
    <row r="98" spans="2:28" ht="28.8" x14ac:dyDescent="0.3">
      <c r="B98" s="4" t="s">
        <v>8</v>
      </c>
      <c r="C98" s="4" t="s">
        <v>9</v>
      </c>
      <c r="D98" s="4" t="s">
        <v>10</v>
      </c>
      <c r="E98" s="8" t="s">
        <v>54</v>
      </c>
      <c r="F98" s="8" t="s">
        <v>44</v>
      </c>
      <c r="G98" s="8" t="s">
        <v>45</v>
      </c>
      <c r="H98" s="4" t="s">
        <v>53</v>
      </c>
      <c r="I98" s="8" t="s">
        <v>55</v>
      </c>
      <c r="J98" s="8" t="s">
        <v>56</v>
      </c>
      <c r="K98" s="8" t="s">
        <v>57</v>
      </c>
      <c r="L98" s="8"/>
      <c r="M98" s="28" t="s">
        <v>46</v>
      </c>
      <c r="N98" s="3"/>
      <c r="O98" s="3"/>
      <c r="AB98" s="38" t="s">
        <v>72</v>
      </c>
    </row>
    <row r="99" spans="2:28" x14ac:dyDescent="0.3">
      <c r="B99" s="24">
        <v>43881</v>
      </c>
      <c r="C99" s="25">
        <v>1</v>
      </c>
      <c r="D99" s="26">
        <v>3</v>
      </c>
      <c r="E99" s="8">
        <f t="shared" ref="E99:E162" si="2">t0*_xlfn.GAMMA.DIST($C99/t0,w+1,1,1)*_xlfn.GAMMA(w+1)</f>
        <v>1.1025967945641683E-5</v>
      </c>
      <c r="F99" s="10">
        <f>E99+CI</f>
        <v>8470.1213775880042</v>
      </c>
      <c r="G99" s="10">
        <f>MAX(E99-CI,0)</f>
        <v>0</v>
      </c>
      <c r="H99" s="25">
        <v>0</v>
      </c>
      <c r="I99" s="8">
        <f t="shared" ref="I99:I162" si="3">t0h*_xlfn.GAMMA.DIST($C99/t0h,wh+1,1,1)*_xlfn.GAMMA(wh+1)</f>
        <v>9.7217968265001051E-7</v>
      </c>
      <c r="J99" s="10">
        <f t="shared" ref="J99:J138" si="4">I99+CIh</f>
        <v>979.82724490752139</v>
      </c>
      <c r="K99" s="10">
        <f t="shared" ref="K99:K138" si="5">MAX(I99-CIh,0)</f>
        <v>0</v>
      </c>
      <c r="L99" s="8"/>
      <c r="M99" s="36"/>
      <c r="N99" s="36"/>
      <c r="O99" s="3"/>
      <c r="AB99" s="39">
        <f>MAX($N$13)</f>
        <v>8.2610188524364734</v>
      </c>
    </row>
    <row r="100" spans="2:28" ht="15.6" x14ac:dyDescent="0.35">
      <c r="B100" s="24">
        <v>43882</v>
      </c>
      <c r="C100" s="25">
        <v>2</v>
      </c>
      <c r="D100" s="26">
        <v>20</v>
      </c>
      <c r="E100" s="8">
        <f t="shared" si="2"/>
        <v>8.6635197849152274E-4</v>
      </c>
      <c r="F100" s="10">
        <f>E100+CI</f>
        <v>8470.1222329140146</v>
      </c>
      <c r="G100" s="10">
        <f>MAX(E100-CI,0)</f>
        <v>0</v>
      </c>
      <c r="H100" s="25">
        <v>1</v>
      </c>
      <c r="I100" s="8">
        <f t="shared" si="3"/>
        <v>3.8637398781567477E-4</v>
      </c>
      <c r="J100" s="10">
        <f t="shared" si="4"/>
        <v>979.82763030932949</v>
      </c>
      <c r="K100" s="10">
        <f t="shared" si="5"/>
        <v>0</v>
      </c>
      <c r="L100" s="8"/>
      <c r="M100" s="21" t="s">
        <v>24</v>
      </c>
      <c r="N100" s="29">
        <v>4.2282842615638625</v>
      </c>
      <c r="O100" s="3"/>
      <c r="AB100" s="40">
        <f>COUNT($N$8,$N$9)</f>
        <v>2</v>
      </c>
    </row>
    <row r="101" spans="2:28" x14ac:dyDescent="0.3">
      <c r="B101" s="24">
        <v>43883</v>
      </c>
      <c r="C101" s="25">
        <v>3</v>
      </c>
      <c r="D101" s="26">
        <v>62</v>
      </c>
      <c r="E101" s="8">
        <f t="shared" si="2"/>
        <v>1.0425433133493636E-2</v>
      </c>
      <c r="F101" s="10">
        <f>E101+CI</f>
        <v>8470.1317919951689</v>
      </c>
      <c r="G101" s="10">
        <f>MAX(E101-CI,0)</f>
        <v>0</v>
      </c>
      <c r="H101" s="25">
        <v>2</v>
      </c>
      <c r="I101" s="8">
        <f t="shared" si="3"/>
        <v>1.1733815908720758E-2</v>
      </c>
      <c r="J101" s="10">
        <f t="shared" si="4"/>
        <v>979.83897775125047</v>
      </c>
      <c r="K101" s="10">
        <f t="shared" si="5"/>
        <v>0</v>
      </c>
      <c r="L101" s="8"/>
      <c r="M101" s="21" t="s">
        <v>1</v>
      </c>
      <c r="N101" s="29">
        <v>7.9939169732118822</v>
      </c>
      <c r="O101" s="3"/>
      <c r="AB101" s="40">
        <f>{32767;32767;0.000001;0;FALSE;FALSE;FALSE;1;2;1;0.0001;TRUE}</f>
        <v>32767</v>
      </c>
    </row>
    <row r="102" spans="2:28" x14ac:dyDescent="0.3">
      <c r="B102" s="24">
        <v>43884</v>
      </c>
      <c r="C102" s="25">
        <v>4</v>
      </c>
      <c r="D102" s="26">
        <v>155</v>
      </c>
      <c r="E102" s="8">
        <f t="shared" si="2"/>
        <v>5.8209607894166723E-2</v>
      </c>
      <c r="F102" s="10">
        <f>E102+CI</f>
        <v>8470.1795761699304</v>
      </c>
      <c r="G102" s="10">
        <f>MAX(E102-CI,0)</f>
        <v>0</v>
      </c>
      <c r="H102" s="25">
        <v>3</v>
      </c>
      <c r="I102" s="8">
        <f t="shared" si="3"/>
        <v>0.12438010535222434</v>
      </c>
      <c r="J102" s="10">
        <f t="shared" si="4"/>
        <v>979.9516240406939</v>
      </c>
      <c r="K102" s="10">
        <f t="shared" si="5"/>
        <v>0</v>
      </c>
      <c r="L102" s="8"/>
      <c r="M102" s="5" t="s">
        <v>2</v>
      </c>
      <c r="N102" s="1" t="e">
        <f>AVERAGE(D99:D162)</f>
        <v>#REF!</v>
      </c>
      <c r="O102" s="3"/>
      <c r="AB102" s="40">
        <f>{0;0;1;100;0;FALSE;FALSE;0.075;0;0;FALSE;30}</f>
        <v>0</v>
      </c>
    </row>
    <row r="103" spans="2:28" x14ac:dyDescent="0.3">
      <c r="B103" s="22">
        <v>43885</v>
      </c>
      <c r="C103" s="4">
        <v>5</v>
      </c>
      <c r="D103" s="10" t="e">
        <f>'dpc-covid19-ita-andamento-naz'!#REF!</f>
        <v>#REF!</v>
      </c>
      <c r="E103" s="8">
        <f t="shared" si="2"/>
        <v>0.21343183757537859</v>
      </c>
      <c r="F103" s="10">
        <f t="shared" ref="F103:F143" si="6">E103+CI</f>
        <v>8470.3347983996118</v>
      </c>
      <c r="G103" s="10">
        <f t="shared" ref="G103:G143" si="7">MAX(E103-CI,0)</f>
        <v>0</v>
      </c>
      <c r="H103" s="10" t="e">
        <f>'dpc-covid19-ita-andamento-naz'!#REF!</f>
        <v>#REF!</v>
      </c>
      <c r="I103" s="8">
        <f t="shared" si="3"/>
        <v>0.74078795515825779</v>
      </c>
      <c r="J103" s="10">
        <f t="shared" si="4"/>
        <v>980.56803189049992</v>
      </c>
      <c r="K103" s="10">
        <f t="shared" si="5"/>
        <v>0</v>
      </c>
      <c r="L103" s="1"/>
      <c r="M103" s="5" t="s">
        <v>3</v>
      </c>
      <c r="N103" s="1">
        <f>COUNT(D99:D162)-COUNT(N99:N101)</f>
        <v>2</v>
      </c>
      <c r="AB103" s="40">
        <f>{32767;32767;0.000001;0;FALSE;FALSE;FALSE;1;2;1;0.0001;TRUE}</f>
        <v>32767</v>
      </c>
    </row>
    <row r="104" spans="2:28" x14ac:dyDescent="0.3">
      <c r="B104" s="9">
        <v>43886</v>
      </c>
      <c r="C104" s="4">
        <v>6</v>
      </c>
      <c r="D104" s="10" t="e">
        <f>'dpc-covid19-ita-andamento-naz'!#REF!</f>
        <v>#REF!</v>
      </c>
      <c r="E104" s="8">
        <f t="shared" si="2"/>
        <v>0.59991500299037781</v>
      </c>
      <c r="F104" s="10">
        <f t="shared" si="6"/>
        <v>8470.7212815650273</v>
      </c>
      <c r="G104" s="10">
        <f t="shared" si="7"/>
        <v>0</v>
      </c>
      <c r="H104" s="10" t="e">
        <f>'dpc-covid19-ita-andamento-naz'!#REF!</f>
        <v>#REF!</v>
      </c>
      <c r="I104" s="8">
        <f t="shared" si="3"/>
        <v>3.064537783514234</v>
      </c>
      <c r="J104" s="10">
        <f t="shared" si="4"/>
        <v>982.8917817188559</v>
      </c>
      <c r="K104" s="10">
        <f t="shared" si="5"/>
        <v>0</v>
      </c>
      <c r="L104" s="1"/>
      <c r="M104" s="5" t="s">
        <v>4</v>
      </c>
      <c r="N104" s="6" t="e" cm="1">
        <f t="array" ref="N104">SQRT(SUM((D99:D143-E99:E143)^2)/df)</f>
        <v>#REF!</v>
      </c>
      <c r="AB104" s="41">
        <f>{0;0;1;100;0;FALSE;FALSE;0.075;0;0;FALSE;30}</f>
        <v>0</v>
      </c>
    </row>
    <row r="105" spans="2:28" ht="16.2" x14ac:dyDescent="0.3">
      <c r="B105" s="9">
        <v>43887</v>
      </c>
      <c r="C105" s="4">
        <v>7</v>
      </c>
      <c r="D105" s="10" t="e">
        <f>'dpc-covid19-ita-andamento-naz'!#REF!</f>
        <v>#REF!</v>
      </c>
      <c r="E105" s="8">
        <f t="shared" si="2"/>
        <v>1.403902493552597</v>
      </c>
      <c r="F105" s="10">
        <f t="shared" si="6"/>
        <v>8471.5252690555881</v>
      </c>
      <c r="G105" s="10">
        <f t="shared" si="7"/>
        <v>0</v>
      </c>
      <c r="H105" s="10" t="e">
        <f>'dpc-covid19-ita-andamento-naz'!#REF!</f>
        <v>#REF!</v>
      </c>
      <c r="I105" s="8">
        <f t="shared" si="3"/>
        <v>9.860413077722157</v>
      </c>
      <c r="J105" s="10">
        <f t="shared" si="4"/>
        <v>989.68765701306381</v>
      </c>
      <c r="K105" s="10">
        <f t="shared" si="5"/>
        <v>0</v>
      </c>
      <c r="L105" s="1"/>
      <c r="M105" s="5" t="s">
        <v>5</v>
      </c>
      <c r="N105" s="7" t="e" cm="1">
        <f t="array" ref="N105">1-SUM((D99:D143-E99:E143)^2)/SUM((D99:D143-Mean_of_y)^2)</f>
        <v>#REF!</v>
      </c>
      <c r="AB105" s="42"/>
    </row>
    <row r="106" spans="2:28" x14ac:dyDescent="0.3">
      <c r="B106" s="9">
        <v>43888</v>
      </c>
      <c r="C106" s="4">
        <v>8</v>
      </c>
      <c r="D106" s="10" t="e">
        <f>'dpc-covid19-ita-andamento-naz'!#REF!</f>
        <v>#REF!</v>
      </c>
      <c r="E106" s="8">
        <f t="shared" si="2"/>
        <v>2.8734478832681907</v>
      </c>
      <c r="F106" s="10">
        <f t="shared" si="6"/>
        <v>8472.9948144453047</v>
      </c>
      <c r="G106" s="10">
        <f t="shared" si="7"/>
        <v>0</v>
      </c>
      <c r="H106" s="10" t="e">
        <f>'dpc-covid19-ita-andamento-naz'!#REF!</f>
        <v>#REF!</v>
      </c>
      <c r="I106" s="8">
        <f t="shared" si="3"/>
        <v>26.400645203610228</v>
      </c>
      <c r="J106" s="10">
        <f t="shared" si="4"/>
        <v>1006.2278891389519</v>
      </c>
      <c r="K106" s="10">
        <f t="shared" si="5"/>
        <v>0</v>
      </c>
      <c r="L106" s="1"/>
      <c r="M106" s="5" t="s">
        <v>6</v>
      </c>
      <c r="N106" s="7">
        <f>TINV(0.05,df)</f>
        <v>2.0166921992278248</v>
      </c>
      <c r="AB106" s="43"/>
    </row>
    <row r="107" spans="2:28" x14ac:dyDescent="0.3">
      <c r="B107" s="9">
        <v>43889</v>
      </c>
      <c r="C107" s="4">
        <v>9</v>
      </c>
      <c r="D107" s="10" t="e">
        <f>'dpc-covid19-ita-andamento-naz'!#REF!</f>
        <v>#REF!</v>
      </c>
      <c r="E107" s="8">
        <f t="shared" si="2"/>
        <v>5.3100230301764295</v>
      </c>
      <c r="F107" s="10">
        <f t="shared" si="6"/>
        <v>8475.4313895922132</v>
      </c>
      <c r="G107" s="10">
        <f t="shared" si="7"/>
        <v>0</v>
      </c>
      <c r="H107" s="10" t="e">
        <f>'dpc-covid19-ita-andamento-naz'!#REF!</f>
        <v>#REF!</v>
      </c>
      <c r="I107" s="8">
        <f t="shared" si="3"/>
        <v>61.439127094366818</v>
      </c>
      <c r="J107" s="10">
        <f t="shared" si="4"/>
        <v>1041.2663710297086</v>
      </c>
      <c r="K107" s="10">
        <f t="shared" si="5"/>
        <v>0</v>
      </c>
      <c r="L107" s="1"/>
      <c r="M107" s="5" t="s">
        <v>7</v>
      </c>
      <c r="N107" s="1">
        <f>Critical_t*SE_of_y</f>
        <v>8470.1213665620362</v>
      </c>
      <c r="AB107" s="43"/>
    </row>
    <row r="108" spans="2:28" ht="15" thickBot="1" x14ac:dyDescent="0.35">
      <c r="B108" s="9">
        <v>43890</v>
      </c>
      <c r="C108" s="4">
        <v>10</v>
      </c>
      <c r="D108" s="10" t="e">
        <f>'dpc-covid19-ita-andamento-naz'!#REF!</f>
        <v>#REF!</v>
      </c>
      <c r="E108" s="8">
        <f t="shared" si="2"/>
        <v>9.0541191161352099</v>
      </c>
      <c r="F108" s="10">
        <f t="shared" si="6"/>
        <v>8479.1754856781718</v>
      </c>
      <c r="G108" s="10">
        <f t="shared" si="7"/>
        <v>0</v>
      </c>
      <c r="H108" s="10" t="e">
        <f>'dpc-covid19-ita-andamento-naz'!#REF!</f>
        <v>#REF!</v>
      </c>
      <c r="I108" s="8">
        <f t="shared" si="3"/>
        <v>128.02924653073114</v>
      </c>
      <c r="J108" s="10">
        <f t="shared" si="4"/>
        <v>1107.856490466073</v>
      </c>
      <c r="K108" s="10">
        <f t="shared" si="5"/>
        <v>0</v>
      </c>
      <c r="L108" s="1"/>
      <c r="M108" s="32" t="s">
        <v>67</v>
      </c>
      <c r="N108" s="33">
        <f>t0*_xlfn.GAMMA(w+1)</f>
        <v>1642.1429987291563</v>
      </c>
      <c r="AB108" s="44"/>
    </row>
    <row r="109" spans="2:28" ht="15" thickTop="1" x14ac:dyDescent="0.3">
      <c r="B109" s="22">
        <v>43891</v>
      </c>
      <c r="C109" s="4">
        <v>11</v>
      </c>
      <c r="D109" s="10" t="e">
        <f>'dpc-covid19-ita-andamento-naz'!#REF!</f>
        <v>#REF!</v>
      </c>
      <c r="E109" s="8">
        <f t="shared" si="2"/>
        <v>14.467081667132355</v>
      </c>
      <c r="F109" s="10">
        <f t="shared" si="6"/>
        <v>8484.5884482291694</v>
      </c>
      <c r="G109" s="10">
        <f t="shared" si="7"/>
        <v>0</v>
      </c>
      <c r="H109" s="10" t="e">
        <f>'dpc-covid19-ita-andamento-naz'!#REF!</f>
        <v>#REF!</v>
      </c>
      <c r="I109" s="8">
        <f t="shared" si="3"/>
        <v>244.02085257200045</v>
      </c>
      <c r="J109" s="10">
        <f t="shared" si="4"/>
        <v>1223.8480965073422</v>
      </c>
      <c r="K109" s="10">
        <f t="shared" si="5"/>
        <v>0</v>
      </c>
      <c r="L109" s="1"/>
      <c r="M109" s="23" t="s">
        <v>53</v>
      </c>
      <c r="N109" s="3"/>
      <c r="AB109" s="45">
        <f>MAX($N$24)</f>
        <v>1828.9501085656132</v>
      </c>
    </row>
    <row r="110" spans="2:28" x14ac:dyDescent="0.3">
      <c r="B110" s="9">
        <v>43892</v>
      </c>
      <c r="C110" s="4">
        <v>12</v>
      </c>
      <c r="D110" s="10" t="e">
        <f>'dpc-covid19-ita-andamento-naz'!#REF!</f>
        <v>#REF!</v>
      </c>
      <c r="E110" s="8">
        <f t="shared" si="2"/>
        <v>21.911417992097949</v>
      </c>
      <c r="F110" s="10">
        <f t="shared" si="6"/>
        <v>8492.0327845541342</v>
      </c>
      <c r="G110" s="10">
        <f t="shared" si="7"/>
        <v>0</v>
      </c>
      <c r="H110" s="10" t="e">
        <f>'dpc-covid19-ita-andamento-naz'!#REF!</f>
        <v>#REF!</v>
      </c>
      <c r="I110" s="8">
        <f t="shared" si="3"/>
        <v>432.12421102329176</v>
      </c>
      <c r="J110" s="10">
        <f t="shared" si="4"/>
        <v>1411.9514549586333</v>
      </c>
      <c r="K110" s="10">
        <f t="shared" si="5"/>
        <v>0</v>
      </c>
      <c r="L110" s="1"/>
      <c r="M110" s="37"/>
      <c r="N110" s="37"/>
      <c r="AB110" s="46">
        <f>COUNT($N$19,$N$20)</f>
        <v>2</v>
      </c>
    </row>
    <row r="111" spans="2:28" ht="15.6" x14ac:dyDescent="0.35">
      <c r="B111" s="9">
        <v>43893</v>
      </c>
      <c r="C111" s="4">
        <v>13</v>
      </c>
      <c r="D111" s="10" t="e">
        <f>'dpc-covid19-ita-andamento-naz'!#REF!</f>
        <v>#REF!</v>
      </c>
      <c r="E111" s="8">
        <f t="shared" si="2"/>
        <v>31.731526168531119</v>
      </c>
      <c r="F111" s="10">
        <f t="shared" si="6"/>
        <v>8501.852892730567</v>
      </c>
      <c r="G111" s="10">
        <f t="shared" si="7"/>
        <v>0</v>
      </c>
      <c r="H111" s="10" t="e">
        <f>'dpc-covid19-ita-andamento-naz'!#REF!</f>
        <v>#REF!</v>
      </c>
      <c r="I111" s="8">
        <f t="shared" si="3"/>
        <v>719.49624292748581</v>
      </c>
      <c r="J111" s="10">
        <f t="shared" si="4"/>
        <v>1699.3234868628274</v>
      </c>
      <c r="K111" s="10">
        <f t="shared" si="5"/>
        <v>0</v>
      </c>
      <c r="L111" s="1"/>
      <c r="M111" s="21" t="s">
        <v>24</v>
      </c>
      <c r="N111" s="29">
        <v>6.0931093620883479</v>
      </c>
      <c r="AB111" s="46">
        <f>{32767;32767;0.000001;0;FALSE;FALSE;FALSE;1;2;1;0.0001;TRUE}</f>
        <v>32767</v>
      </c>
    </row>
    <row r="112" spans="2:28" x14ac:dyDescent="0.3">
      <c r="B112" s="9">
        <v>43894</v>
      </c>
      <c r="C112" s="4">
        <v>14</v>
      </c>
      <c r="D112" s="10" t="e">
        <f>'dpc-covid19-ita-andamento-naz'!#REF!</f>
        <v>#REF!</v>
      </c>
      <c r="E112" s="8">
        <f t="shared" si="2"/>
        <v>44.236362153205505</v>
      </c>
      <c r="F112" s="10">
        <f t="shared" si="6"/>
        <v>8514.357728715242</v>
      </c>
      <c r="G112" s="10">
        <f t="shared" si="7"/>
        <v>0</v>
      </c>
      <c r="H112" s="10" t="e">
        <f>'dpc-covid19-ita-andamento-naz'!#REF!</f>
        <v>#REF!</v>
      </c>
      <c r="I112" s="8">
        <f t="shared" si="3"/>
        <v>1136.8712660500091</v>
      </c>
      <c r="J112" s="10">
        <f t="shared" si="4"/>
        <v>2116.6985099853509</v>
      </c>
      <c r="K112" s="10">
        <f t="shared" si="5"/>
        <v>157.04402211466743</v>
      </c>
      <c r="L112" s="1"/>
      <c r="M112" s="21" t="s">
        <v>1</v>
      </c>
      <c r="N112" s="29">
        <v>7.062212780435102</v>
      </c>
      <c r="AB112" s="46">
        <f>{0;0;1;100;0;FALSE;FALSE;0.075;0;0;FALSE;30}</f>
        <v>0</v>
      </c>
    </row>
    <row r="113" spans="2:28" x14ac:dyDescent="0.3">
      <c r="B113" s="22">
        <v>43895</v>
      </c>
      <c r="C113" s="4">
        <v>15</v>
      </c>
      <c r="D113" s="10" t="e">
        <f>'dpc-covid19-ita-andamento-naz'!#REF!</f>
        <v>#REF!</v>
      </c>
      <c r="E113" s="8">
        <f t="shared" si="2"/>
        <v>59.685087901881822</v>
      </c>
      <c r="F113" s="10">
        <f t="shared" si="6"/>
        <v>8529.8064544639183</v>
      </c>
      <c r="G113" s="10">
        <f t="shared" si="7"/>
        <v>0</v>
      </c>
      <c r="H113" s="10" t="e">
        <f>'dpc-covid19-ita-andamento-naz'!#REF!</f>
        <v>#REF!</v>
      </c>
      <c r="I113" s="8">
        <f t="shared" si="3"/>
        <v>1717.3137464135621</v>
      </c>
      <c r="J113" s="10">
        <f t="shared" si="4"/>
        <v>2697.1409903489039</v>
      </c>
      <c r="K113" s="10">
        <f t="shared" si="5"/>
        <v>737.48650247822036</v>
      </c>
      <c r="L113" s="1"/>
      <c r="M113" s="2" t="s">
        <v>2</v>
      </c>
      <c r="N113" s="1" t="e">
        <f>AVERAGE(H99:H162)</f>
        <v>#REF!</v>
      </c>
      <c r="AB113" s="46">
        <f>{32767;32767;0.000001;0;FALSE;FALSE;FALSE;1;2;1;0.0001;TRUE}</f>
        <v>32767</v>
      </c>
    </row>
    <row r="114" spans="2:28" ht="15" thickBot="1" x14ac:dyDescent="0.35">
      <c r="B114" s="9">
        <v>43896</v>
      </c>
      <c r="C114" s="4">
        <v>16</v>
      </c>
      <c r="D114" s="10" t="e">
        <f>'dpc-covid19-ita-andamento-naz'!#REF!</f>
        <v>#REF!</v>
      </c>
      <c r="E114" s="8">
        <f t="shared" si="2"/>
        <v>78.276294602851237</v>
      </c>
      <c r="F114" s="10">
        <f t="shared" si="6"/>
        <v>8548.3976611648868</v>
      </c>
      <c r="G114" s="10">
        <f t="shared" si="7"/>
        <v>0</v>
      </c>
      <c r="H114" s="10" t="e">
        <f>'dpc-covid19-ita-andamento-naz'!#REF!</f>
        <v>#REF!</v>
      </c>
      <c r="I114" s="8">
        <f t="shared" si="3"/>
        <v>2494.7081673743078</v>
      </c>
      <c r="J114" s="10">
        <f t="shared" si="4"/>
        <v>3474.5354113096496</v>
      </c>
      <c r="K114" s="10">
        <f t="shared" si="5"/>
        <v>1514.880923438966</v>
      </c>
      <c r="L114" s="1"/>
      <c r="M114" s="2" t="s">
        <v>3</v>
      </c>
      <c r="N114" s="1">
        <f>COUNT(H99:H162)-COUNT(N110:N112)</f>
        <v>2</v>
      </c>
      <c r="AB114" s="47">
        <f>{0;0;1;100;0;FALSE;FALSE;0.075;0;0;FALSE;30}</f>
        <v>0</v>
      </c>
    </row>
    <row r="115" spans="2:28" x14ac:dyDescent="0.3">
      <c r="B115" s="9">
        <v>43897</v>
      </c>
      <c r="C115" s="4">
        <v>17</v>
      </c>
      <c r="D115" s="10" t="e">
        <f>'dpc-covid19-ita-andamento-naz'!#REF!</f>
        <v>#REF!</v>
      </c>
      <c r="E115" s="8">
        <f t="shared" si="2"/>
        <v>100.14100900859573</v>
      </c>
      <c r="F115" s="10">
        <f t="shared" si="6"/>
        <v>8570.2623755706318</v>
      </c>
      <c r="G115" s="10">
        <f t="shared" si="7"/>
        <v>0</v>
      </c>
      <c r="H115" s="10" t="e">
        <f>'dpc-covid19-ita-andamento-naz'!#REF!</f>
        <v>#REF!</v>
      </c>
      <c r="I115" s="8">
        <f t="shared" si="3"/>
        <v>3502.1194268336089</v>
      </c>
      <c r="J115" s="10">
        <f t="shared" si="4"/>
        <v>4481.9466707689508</v>
      </c>
      <c r="K115" s="10">
        <f t="shared" si="5"/>
        <v>2522.2921828982671</v>
      </c>
      <c r="L115" s="1"/>
      <c r="M115" s="2" t="s">
        <v>4</v>
      </c>
      <c r="N115" s="6" t="e" cm="1">
        <f t="array" ref="N115">SQRT(SUM((H99:H143-I99:I143)^2)/dfh)</f>
        <v>#REF!</v>
      </c>
    </row>
    <row r="116" spans="2:28" ht="16.2" x14ac:dyDescent="0.3">
      <c r="B116" s="22">
        <v>43898</v>
      </c>
      <c r="C116" s="4">
        <v>18</v>
      </c>
      <c r="D116" s="10" t="e">
        <f>'dpc-covid19-ita-andamento-naz'!#REF!</f>
        <v>#REF!</v>
      </c>
      <c r="E116" s="8">
        <f t="shared" si="2"/>
        <v>125.33938448342357</v>
      </c>
      <c r="F116" s="10">
        <f t="shared" si="6"/>
        <v>8595.4607510454589</v>
      </c>
      <c r="G116" s="10">
        <f t="shared" si="7"/>
        <v>0</v>
      </c>
      <c r="H116" s="10" t="e">
        <f>'dpc-covid19-ita-andamento-naz'!#REF!</f>
        <v>#REF!</v>
      </c>
      <c r="I116" s="8">
        <f t="shared" si="3"/>
        <v>4770.1578123121189</v>
      </c>
      <c r="J116" s="10">
        <f t="shared" si="4"/>
        <v>5749.9850562474603</v>
      </c>
      <c r="K116" s="10">
        <f t="shared" si="5"/>
        <v>3790.3305683767771</v>
      </c>
      <c r="L116" s="1"/>
      <c r="M116" s="2" t="s">
        <v>5</v>
      </c>
      <c r="N116" s="7" t="e" cm="1">
        <f t="array" ref="N116">1-SUM((H99:H143-I99:I143)^2)/SUM((H99:H143-Mean_of_yh)^2)</f>
        <v>#REF!</v>
      </c>
    </row>
    <row r="117" spans="2:28" x14ac:dyDescent="0.3">
      <c r="B117" s="9">
        <v>43899</v>
      </c>
      <c r="C117" s="4">
        <v>19</v>
      </c>
      <c r="D117" s="10" t="e">
        <f>'dpc-covid19-ita-andamento-naz'!#REF!</f>
        <v>#REF!</v>
      </c>
      <c r="E117" s="8">
        <f t="shared" si="2"/>
        <v>153.86075483066793</v>
      </c>
      <c r="F117" s="10">
        <f t="shared" si="6"/>
        <v>8623.9821213927044</v>
      </c>
      <c r="G117" s="10">
        <f t="shared" si="7"/>
        <v>0</v>
      </c>
      <c r="H117" s="10" t="e">
        <f>'dpc-covid19-ita-andamento-naz'!#REF!</f>
        <v>#REF!</v>
      </c>
      <c r="I117" s="8">
        <f t="shared" si="3"/>
        <v>6325.4691708846567</v>
      </c>
      <c r="J117" s="10">
        <f t="shared" si="4"/>
        <v>7305.2964148199981</v>
      </c>
      <c r="K117" s="10">
        <f t="shared" si="5"/>
        <v>5345.6419269493153</v>
      </c>
      <c r="L117" s="1"/>
      <c r="M117" s="2" t="s">
        <v>6</v>
      </c>
      <c r="N117" s="7">
        <f>TINV(0.05,dfh)</f>
        <v>2.0166921992278248</v>
      </c>
    </row>
    <row r="118" spans="2:28" x14ac:dyDescent="0.3">
      <c r="B118" s="22">
        <v>43900</v>
      </c>
      <c r="C118" s="4">
        <v>20</v>
      </c>
      <c r="D118" s="10" t="e">
        <f>'dpc-covid19-ita-andamento-naz'!#REF!</f>
        <v>#REF!</v>
      </c>
      <c r="E118" s="8">
        <f t="shared" si="2"/>
        <v>185.62658249353129</v>
      </c>
      <c r="F118" s="10">
        <f t="shared" si="6"/>
        <v>8655.747949055567</v>
      </c>
      <c r="G118" s="10">
        <f t="shared" si="7"/>
        <v>0</v>
      </c>
      <c r="H118" s="10" t="e">
        <f>'dpc-covid19-ita-andamento-naz'!#REF!</f>
        <v>#REF!</v>
      </c>
      <c r="I118" s="8">
        <f t="shared" si="3"/>
        <v>8189.447817938677</v>
      </c>
      <c r="J118" s="10">
        <f t="shared" si="4"/>
        <v>9169.2750618740192</v>
      </c>
      <c r="K118" s="10">
        <f t="shared" si="5"/>
        <v>7209.6205740033356</v>
      </c>
      <c r="L118" s="1"/>
      <c r="M118" s="2" t="s">
        <v>7</v>
      </c>
      <c r="N118" s="1">
        <f>Critical_th*SE_of_yh</f>
        <v>979.8272439353417</v>
      </c>
    </row>
    <row r="119" spans="2:28" x14ac:dyDescent="0.3">
      <c r="B119" s="9">
        <v>43901</v>
      </c>
      <c r="C119" s="4">
        <v>21</v>
      </c>
      <c r="D119" s="10" t="e">
        <f>'dpc-covid19-ita-andamento-naz'!#REF!</f>
        <v>#REF!</v>
      </c>
      <c r="E119" s="8">
        <f t="shared" si="2"/>
        <v>220.49575275396631</v>
      </c>
      <c r="F119" s="10">
        <f t="shared" si="6"/>
        <v>8690.6171193160026</v>
      </c>
      <c r="G119" s="10">
        <f t="shared" si="7"/>
        <v>0</v>
      </c>
      <c r="H119" s="10" t="e">
        <f>'dpc-covid19-ita-andamento-naz'!#REF!</f>
        <v>#REF!</v>
      </c>
      <c r="I119" s="8">
        <f t="shared" si="3"/>
        <v>10377.241444210664</v>
      </c>
      <c r="J119" s="10">
        <f t="shared" si="4"/>
        <v>11357.068688146006</v>
      </c>
      <c r="K119" s="10">
        <f t="shared" si="5"/>
        <v>9397.4142002753215</v>
      </c>
      <c r="L119" s="1"/>
      <c r="M119" s="34" t="s">
        <v>67</v>
      </c>
      <c r="N119" s="35">
        <f>t0h*_xlfn.GAMMA(wh+1)</f>
        <v>150042.51270709423</v>
      </c>
    </row>
    <row r="120" spans="2:28" x14ac:dyDescent="0.3">
      <c r="B120" s="22">
        <v>43902</v>
      </c>
      <c r="C120" s="4">
        <v>22</v>
      </c>
      <c r="D120" s="10" t="e">
        <f>'dpc-covid19-ita-andamento-naz'!#REF!</f>
        <v>#REF!</v>
      </c>
      <c r="E120" s="8">
        <f t="shared" si="2"/>
        <v>258.27163942323517</v>
      </c>
      <c r="F120" s="10">
        <f t="shared" si="6"/>
        <v>8728.3930059852719</v>
      </c>
      <c r="G120" s="10">
        <f t="shared" si="7"/>
        <v>0</v>
      </c>
      <c r="H120" s="10" t="e">
        <f>'dpc-covid19-ita-andamento-naz'!#REF!</f>
        <v>#REF!</v>
      </c>
      <c r="I120" s="8">
        <f t="shared" si="3"/>
        <v>12897.087662330425</v>
      </c>
      <c r="J120" s="10">
        <f t="shared" si="4"/>
        <v>13876.914906265767</v>
      </c>
      <c r="K120" s="10">
        <f t="shared" si="5"/>
        <v>11917.260418395083</v>
      </c>
      <c r="L120" s="1"/>
      <c r="M120" s="5"/>
    </row>
    <row r="121" spans="2:28" x14ac:dyDescent="0.3">
      <c r="B121" s="9">
        <v>43903</v>
      </c>
      <c r="C121" s="4">
        <v>23</v>
      </c>
      <c r="D121" s="10" t="e">
        <f>'dpc-covid19-ita-andamento-naz'!#REF!</f>
        <v>#REF!</v>
      </c>
      <c r="E121" s="8">
        <f t="shared" si="2"/>
        <v>298.71038234528663</v>
      </c>
      <c r="F121" s="10">
        <f t="shared" si="6"/>
        <v>8768.8317489073233</v>
      </c>
      <c r="G121" s="10">
        <f t="shared" si="7"/>
        <v>0</v>
      </c>
      <c r="H121" s="10" t="e">
        <f>'dpc-covid19-ita-andamento-naz'!#REF!</f>
        <v>#REF!</v>
      </c>
      <c r="I121" s="8">
        <f t="shared" si="3"/>
        <v>15749.993918612643</v>
      </c>
      <c r="J121" s="10">
        <f t="shared" si="4"/>
        <v>16729.821162547985</v>
      </c>
      <c r="K121" s="10">
        <f t="shared" si="5"/>
        <v>14770.166674677301</v>
      </c>
      <c r="L121" s="1"/>
      <c r="M121" s="5"/>
    </row>
    <row r="122" spans="2:28" x14ac:dyDescent="0.3">
      <c r="B122" s="9">
        <v>43904</v>
      </c>
      <c r="C122" s="4">
        <v>24</v>
      </c>
      <c r="D122" s="10" t="e">
        <f>'dpc-covid19-ita-andamento-naz'!#REF!</f>
        <v>#REF!</v>
      </c>
      <c r="E122" s="8">
        <f t="shared" si="2"/>
        <v>341.52986086673633</v>
      </c>
      <c r="F122" s="10">
        <f t="shared" si="6"/>
        <v>8811.6512274287725</v>
      </c>
      <c r="G122" s="10">
        <f t="shared" si="7"/>
        <v>0</v>
      </c>
      <c r="H122" s="10" t="e">
        <f>'dpc-covid19-ita-andamento-naz'!#REF!</f>
        <v>#REF!</v>
      </c>
      <c r="I122" s="8">
        <f t="shared" si="3"/>
        <v>18929.748387841726</v>
      </c>
      <c r="J122" s="10">
        <f t="shared" si="4"/>
        <v>19909.575631777068</v>
      </c>
      <c r="K122" s="10">
        <f t="shared" si="5"/>
        <v>17949.921143906384</v>
      </c>
      <c r="L122" s="1"/>
      <c r="M122" s="5"/>
    </row>
    <row r="123" spans="2:28" x14ac:dyDescent="0.3">
      <c r="B123" s="9">
        <v>43905</v>
      </c>
      <c r="C123" s="4">
        <v>25</v>
      </c>
      <c r="D123" s="10" t="e">
        <f>'dpc-covid19-ita-andamento-naz'!#REF!</f>
        <v>#REF!</v>
      </c>
      <c r="E123" s="8">
        <f t="shared" si="2"/>
        <v>386.41890986767413</v>
      </c>
      <c r="F123" s="10">
        <f t="shared" si="6"/>
        <v>8856.5402764297105</v>
      </c>
      <c r="G123" s="10">
        <f t="shared" si="7"/>
        <v>0</v>
      </c>
      <c r="H123" s="10" t="e">
        <f>'dpc-covid19-ita-andamento-naz'!#REF!</f>
        <v>#REF!</v>
      </c>
      <c r="I123" s="8">
        <f t="shared" si="3"/>
        <v>22423.23038877856</v>
      </c>
      <c r="J123" s="10">
        <f t="shared" si="4"/>
        <v>23403.057632713902</v>
      </c>
      <c r="K123" s="10">
        <f t="shared" si="5"/>
        <v>21443.403144843218</v>
      </c>
      <c r="L123" s="1"/>
      <c r="M123" s="5"/>
    </row>
    <row r="124" spans="2:28" x14ac:dyDescent="0.3">
      <c r="B124" s="9">
        <v>43906</v>
      </c>
      <c r="C124" s="4">
        <v>26</v>
      </c>
      <c r="D124" s="10" t="e">
        <f>'dpc-covid19-ita-andamento-naz'!#REF!</f>
        <v>#REF!</v>
      </c>
      <c r="E124" s="8">
        <f t="shared" si="2"/>
        <v>433.04639741912439</v>
      </c>
      <c r="F124" s="10">
        <f t="shared" si="6"/>
        <v>8903.1677639811605</v>
      </c>
      <c r="G124" s="10">
        <f t="shared" si="7"/>
        <v>0</v>
      </c>
      <c r="H124" s="10" t="e">
        <f>'dpc-covid19-ita-andamento-naz'!#REF!</f>
        <v>#REF!</v>
      </c>
      <c r="I124" s="8">
        <f t="shared" si="3"/>
        <v>26210.97527204865</v>
      </c>
      <c r="J124" s="10">
        <f t="shared" si="4"/>
        <v>27190.802515983993</v>
      </c>
      <c r="K124" s="10">
        <f t="shared" si="5"/>
        <v>25231.148028113308</v>
      </c>
      <c r="L124" s="1"/>
      <c r="M124" s="5"/>
    </row>
    <row r="125" spans="2:28" x14ac:dyDescent="0.3">
      <c r="B125" s="9">
        <v>43907</v>
      </c>
      <c r="C125" s="4">
        <v>27</v>
      </c>
      <c r="D125" s="10" t="e">
        <f>'dpc-covid19-ita-andamento-naz'!#REF!</f>
        <v>#REF!</v>
      </c>
      <c r="E125" s="8">
        <f t="shared" si="2"/>
        <v>481.06985890358806</v>
      </c>
      <c r="F125" s="10">
        <f t="shared" si="6"/>
        <v>8951.1912254656236</v>
      </c>
      <c r="G125" s="10">
        <f t="shared" si="7"/>
        <v>0</v>
      </c>
      <c r="H125" s="10" t="e">
        <f>'dpc-covid19-ita-andamento-naz'!#REF!</f>
        <v>#REF!</v>
      </c>
      <c r="I125" s="8">
        <f t="shared" si="3"/>
        <v>30267.940519479886</v>
      </c>
      <c r="J125" s="10">
        <f t="shared" si="4"/>
        <v>31247.767763415228</v>
      </c>
      <c r="K125" s="10">
        <f t="shared" si="5"/>
        <v>29288.113275544543</v>
      </c>
      <c r="L125" s="1"/>
      <c r="N125" s="1"/>
    </row>
    <row r="126" spans="2:28" x14ac:dyDescent="0.3">
      <c r="B126" s="9">
        <v>43908</v>
      </c>
      <c r="C126" s="4">
        <v>28</v>
      </c>
      <c r="D126" s="10" t="e">
        <f>'dpc-covid19-ita-andamento-naz'!#REF!</f>
        <v>#REF!</v>
      </c>
      <c r="E126" s="8">
        <f t="shared" si="2"/>
        <v>530.14345649187089</v>
      </c>
      <c r="F126" s="10">
        <f t="shared" si="6"/>
        <v>9000.2648230539071</v>
      </c>
      <c r="G126" s="10">
        <f t="shared" si="7"/>
        <v>0</v>
      </c>
      <c r="H126" s="10" t="e">
        <f>'dpc-covid19-ita-andamento-naz'!#REF!</f>
        <v>#REF!</v>
      </c>
      <c r="I126" s="8">
        <f t="shared" si="3"/>
        <v>34564.416422446659</v>
      </c>
      <c r="J126" s="10">
        <f t="shared" si="4"/>
        <v>35544.243666381997</v>
      </c>
      <c r="K126" s="10">
        <f t="shared" si="5"/>
        <v>33584.58917851132</v>
      </c>
      <c r="N126" s="6"/>
      <c r="Q126" s="1"/>
    </row>
    <row r="127" spans="2:28" x14ac:dyDescent="0.3">
      <c r="B127" s="9">
        <v>43909</v>
      </c>
      <c r="C127" s="4">
        <v>29</v>
      </c>
      <c r="D127" s="10" t="e">
        <f>'dpc-covid19-ita-andamento-naz'!#REF!</f>
        <v>#REF!</v>
      </c>
      <c r="E127" s="8">
        <f t="shared" si="2"/>
        <v>579.92510171130641</v>
      </c>
      <c r="F127" s="10">
        <f t="shared" si="6"/>
        <v>9050.0464682733418</v>
      </c>
      <c r="G127" s="10">
        <f t="shared" si="7"/>
        <v>0</v>
      </c>
      <c r="H127" s="10" t="e">
        <f>'dpc-covid19-ita-andamento-naz'!#REF!</f>
        <v>#REF!</v>
      </c>
      <c r="I127" s="8">
        <f t="shared" si="3"/>
        <v>39067.025392393312</v>
      </c>
      <c r="J127" s="10">
        <f t="shared" si="4"/>
        <v>40046.852636328651</v>
      </c>
      <c r="K127" s="10">
        <f t="shared" si="5"/>
        <v>38087.198148457974</v>
      </c>
      <c r="N127" s="7"/>
    </row>
    <row r="128" spans="2:28" x14ac:dyDescent="0.3">
      <c r="B128" s="9">
        <v>43910</v>
      </c>
      <c r="C128" s="4">
        <v>30</v>
      </c>
      <c r="D128" s="10" t="e">
        <f>'dpc-covid19-ita-andamento-naz'!#REF!</f>
        <v>#REF!</v>
      </c>
      <c r="E128" s="8">
        <f t="shared" si="2"/>
        <v>630.08264023509344</v>
      </c>
      <c r="F128" s="10">
        <f t="shared" si="6"/>
        <v>9100.2040067971302</v>
      </c>
      <c r="G128" s="10">
        <f t="shared" si="7"/>
        <v>0</v>
      </c>
      <c r="H128" s="10" t="e">
        <f>'dpc-covid19-ita-andamento-naz'!#REF!</f>
        <v>#REF!</v>
      </c>
      <c r="I128" s="8">
        <f t="shared" si="3"/>
        <v>43739.757798666731</v>
      </c>
      <c r="J128" s="10">
        <f t="shared" si="4"/>
        <v>44719.58504260207</v>
      </c>
      <c r="K128" s="10">
        <f t="shared" si="5"/>
        <v>42759.930554731392</v>
      </c>
      <c r="N128" s="7"/>
    </row>
    <row r="129" spans="2:14" x14ac:dyDescent="0.3">
      <c r="B129" s="9">
        <v>43911</v>
      </c>
      <c r="C129" s="4">
        <v>31</v>
      </c>
      <c r="D129" s="10" t="e">
        <f>'dpc-covid19-ita-andamento-naz'!#REF!</f>
        <v>#REF!</v>
      </c>
      <c r="E129" s="8">
        <f t="shared" si="2"/>
        <v>680.29905075830573</v>
      </c>
      <c r="F129" s="10">
        <f t="shared" si="6"/>
        <v>9150.4204173203416</v>
      </c>
      <c r="G129" s="10">
        <f t="shared" si="7"/>
        <v>0</v>
      </c>
      <c r="H129" s="10" t="e">
        <f>'dpc-covid19-ita-andamento-naz'!#REF!</f>
        <v>#REF!</v>
      </c>
      <c r="I129" s="8">
        <f t="shared" si="3"/>
        <v>48544.998314004857</v>
      </c>
      <c r="J129" s="10">
        <f t="shared" si="4"/>
        <v>49524.825557940196</v>
      </c>
      <c r="K129" s="10">
        <f t="shared" si="5"/>
        <v>47565.171070069518</v>
      </c>
      <c r="N129" s="1"/>
    </row>
    <row r="130" spans="2:14" x14ac:dyDescent="0.3">
      <c r="B130" s="9">
        <v>43912</v>
      </c>
      <c r="C130" s="4">
        <v>32</v>
      </c>
      <c r="D130" s="10" t="e">
        <f>'dpc-covid19-ita-andamento-naz'!#REF!</f>
        <v>#REF!</v>
      </c>
      <c r="E130" s="8">
        <f t="shared" si="2"/>
        <v>730.2766534794506</v>
      </c>
      <c r="F130" s="10">
        <f t="shared" si="6"/>
        <v>9200.3980200414862</v>
      </c>
      <c r="G130" s="10">
        <f t="shared" si="7"/>
        <v>0</v>
      </c>
      <c r="H130" s="10" t="e">
        <f>'dpc-covid19-ita-andamento-naz'!#REF!</f>
        <v>#REF!</v>
      </c>
      <c r="I130" s="8">
        <f t="shared" si="3"/>
        <v>53444.504225483717</v>
      </c>
      <c r="J130" s="10">
        <f t="shared" si="4"/>
        <v>54424.331469419056</v>
      </c>
      <c r="K130" s="10">
        <f t="shared" si="5"/>
        <v>52464.676981548379</v>
      </c>
    </row>
    <row r="131" spans="2:14" x14ac:dyDescent="0.3">
      <c r="B131" s="22">
        <v>43913</v>
      </c>
      <c r="C131" s="4">
        <v>33</v>
      </c>
      <c r="D131" s="10" t="e">
        <f>'dpc-covid19-ita-andamento-naz'!#REF!</f>
        <v>#REF!</v>
      </c>
      <c r="E131" s="8">
        <f t="shared" si="2"/>
        <v>779.74035843383729</v>
      </c>
      <c r="F131" s="10">
        <f t="shared" si="6"/>
        <v>9249.8617249958734</v>
      </c>
      <c r="G131" s="10">
        <f t="shared" si="7"/>
        <v>0</v>
      </c>
      <c r="H131" s="10" t="e">
        <f>'dpc-covid19-ita-andamento-naz'!#REF!</f>
        <v>#REF!</v>
      </c>
      <c r="I131" s="8">
        <f t="shared" si="3"/>
        <v>58400.30529680835</v>
      </c>
      <c r="J131" s="10">
        <f t="shared" si="4"/>
        <v>59380.132540743689</v>
      </c>
      <c r="K131" s="10">
        <f t="shared" si="5"/>
        <v>57420.478052873012</v>
      </c>
    </row>
    <row r="132" spans="2:14" x14ac:dyDescent="0.3">
      <c r="B132" s="9">
        <v>43914</v>
      </c>
      <c r="C132" s="4">
        <v>34</v>
      </c>
      <c r="D132" s="10" t="e">
        <f>'dpc-covid19-ita-andamento-naz'!#REF!</f>
        <v>#REF!</v>
      </c>
      <c r="E132" s="8">
        <f t="shared" si="2"/>
        <v>828.44001028635796</v>
      </c>
      <c r="F132" s="10">
        <f t="shared" si="6"/>
        <v>9298.5613768483945</v>
      </c>
      <c r="G132" s="10">
        <f t="shared" si="7"/>
        <v>0</v>
      </c>
      <c r="H132" s="10" t="e">
        <f>'dpc-covid19-ita-andamento-naz'!#REF!</f>
        <v>#REF!</v>
      </c>
      <c r="I132" s="8">
        <f t="shared" si="3"/>
        <v>63375.502939035905</v>
      </c>
      <c r="J132" s="10">
        <f t="shared" si="4"/>
        <v>64355.330182971244</v>
      </c>
      <c r="K132" s="10">
        <f t="shared" si="5"/>
        <v>62395.675695100566</v>
      </c>
    </row>
    <row r="133" spans="2:14" x14ac:dyDescent="0.3">
      <c r="B133" s="9">
        <v>43915</v>
      </c>
      <c r="C133" s="4">
        <v>35</v>
      </c>
      <c r="D133" s="10" t="e">
        <f>'dpc-covid19-ita-andamento-naz'!#REF!</f>
        <v>#REF!</v>
      </c>
      <c r="E133" s="8">
        <f t="shared" si="2"/>
        <v>876.15190500444612</v>
      </c>
      <c r="F133" s="10">
        <f t="shared" si="6"/>
        <v>9346.2732715664824</v>
      </c>
      <c r="G133" s="10">
        <f t="shared" si="7"/>
        <v>0</v>
      </c>
      <c r="H133" s="10" t="e">
        <f>'dpc-covid19-ita-andamento-naz'!#REF!</f>
        <v>#REF!</v>
      </c>
      <c r="I133" s="8">
        <f t="shared" si="3"/>
        <v>68334.954195017475</v>
      </c>
      <c r="J133" s="10">
        <f t="shared" si="4"/>
        <v>69314.781438952821</v>
      </c>
      <c r="K133" s="10">
        <f t="shared" si="5"/>
        <v>67355.126951082129</v>
      </c>
    </row>
    <row r="134" spans="2:14" x14ac:dyDescent="0.3">
      <c r="B134" s="9">
        <v>43916</v>
      </c>
      <c r="C134" s="4">
        <v>36</v>
      </c>
      <c r="D134" s="10" t="e">
        <f>'dpc-covid19-ita-andamento-naz'!#REF!</f>
        <v>#REF!</v>
      </c>
      <c r="E134" s="8">
        <f t="shared" si="2"/>
        <v>922.67956605744087</v>
      </c>
      <c r="F134" s="10">
        <f t="shared" si="6"/>
        <v>9392.800932619477</v>
      </c>
      <c r="G134" s="10">
        <f t="shared" si="7"/>
        <v>0</v>
      </c>
      <c r="H134" s="10" t="e">
        <f>'dpc-covid19-ita-andamento-naz'!#REF!</f>
        <v>#REF!</v>
      </c>
      <c r="I134" s="8">
        <f t="shared" si="3"/>
        <v>73245.833037851611</v>
      </c>
      <c r="J134" s="10">
        <f t="shared" si="4"/>
        <v>74225.660281786957</v>
      </c>
      <c r="K134" s="10">
        <f t="shared" si="5"/>
        <v>72266.005793916265</v>
      </c>
    </row>
    <row r="135" spans="2:14" x14ac:dyDescent="0.3">
      <c r="B135" s="9">
        <v>43917</v>
      </c>
      <c r="C135" s="4">
        <v>37</v>
      </c>
      <c r="D135" s="10" t="e">
        <f>'dpc-covid19-ita-andamento-naz'!#REF!</f>
        <v>#REF!</v>
      </c>
      <c r="E135" s="8">
        <f t="shared" si="2"/>
        <v>967.8538744413562</v>
      </c>
      <c r="F135" s="10">
        <f t="shared" si="6"/>
        <v>9437.9752410033925</v>
      </c>
      <c r="G135" s="10">
        <f t="shared" si="7"/>
        <v>0</v>
      </c>
      <c r="H135" s="10" t="e">
        <f>'dpc-covid19-ita-andamento-naz'!#REF!</f>
        <v>#REF!</v>
      </c>
      <c r="I135" s="8">
        <f t="shared" si="3"/>
        <v>78078.06751755724</v>
      </c>
      <c r="J135" s="10">
        <f t="shared" si="4"/>
        <v>79057.894761492586</v>
      </c>
      <c r="K135" s="10">
        <f t="shared" si="5"/>
        <v>77098.240273621894</v>
      </c>
    </row>
    <row r="136" spans="2:14" x14ac:dyDescent="0.3">
      <c r="B136" s="9">
        <v>43918</v>
      </c>
      <c r="C136" s="4">
        <v>38</v>
      </c>
      <c r="D136" s="10" t="e">
        <f>'dpc-covid19-ita-andamento-naz'!#REF!</f>
        <v>#REF!</v>
      </c>
      <c r="E136" s="8">
        <f t="shared" si="2"/>
        <v>1011.5326489130206</v>
      </c>
      <c r="F136" s="10">
        <f t="shared" si="6"/>
        <v>9481.6540154750564</v>
      </c>
      <c r="G136" s="10">
        <f t="shared" si="7"/>
        <v>0</v>
      </c>
      <c r="H136" s="10" t="e">
        <f>'dpc-covid19-ita-andamento-naz'!#REF!</f>
        <v>#REF!</v>
      </c>
      <c r="I136" s="8">
        <f t="shared" si="3"/>
        <v>82804.656258965202</v>
      </c>
      <c r="J136" s="10">
        <f t="shared" si="4"/>
        <v>83784.483502900548</v>
      </c>
      <c r="K136" s="10">
        <f t="shared" si="5"/>
        <v>81824.829015029856</v>
      </c>
    </row>
    <row r="137" spans="2:14" x14ac:dyDescent="0.3">
      <c r="B137" s="9">
        <v>43919</v>
      </c>
      <c r="C137" s="4">
        <v>39</v>
      </c>
      <c r="D137" s="10" t="e">
        <f>'dpc-covid19-ita-andamento-naz'!#REF!</f>
        <v>#REF!</v>
      </c>
      <c r="E137" s="8">
        <f t="shared" si="2"/>
        <v>1053.5997712845572</v>
      </c>
      <c r="F137" s="10">
        <f t="shared" si="6"/>
        <v>9523.7211378465927</v>
      </c>
      <c r="G137" s="10">
        <f t="shared" si="7"/>
        <v>0</v>
      </c>
      <c r="H137" s="10" t="e">
        <f>'dpc-covid19-ita-andamento-naz'!#REF!</f>
        <v>#REF!</v>
      </c>
      <c r="I137" s="8">
        <f t="shared" si="3"/>
        <v>87401.871697030569</v>
      </c>
      <c r="J137" s="10">
        <f t="shared" si="4"/>
        <v>88381.698940965915</v>
      </c>
      <c r="K137" s="10">
        <f t="shared" si="5"/>
        <v>86422.044453095223</v>
      </c>
    </row>
    <row r="138" spans="2:14" x14ac:dyDescent="0.3">
      <c r="B138" s="9">
        <v>43920</v>
      </c>
      <c r="C138" s="4">
        <v>40</v>
      </c>
      <c r="D138" s="10" t="e">
        <f>'dpc-covid19-ita-andamento-naz'!#REF!</f>
        <v>#REF!</v>
      </c>
      <c r="E138" s="8">
        <f t="shared" si="2"/>
        <v>1093.9639473438781</v>
      </c>
      <c r="F138" s="10">
        <f t="shared" si="6"/>
        <v>9564.0853139059145</v>
      </c>
      <c r="G138" s="10">
        <f t="shared" si="7"/>
        <v>0</v>
      </c>
      <c r="H138" s="10" t="e">
        <f>'dpc-covid19-ita-andamento-naz'!#REF!</f>
        <v>#REF!</v>
      </c>
      <c r="I138" s="8">
        <f t="shared" si="3"/>
        <v>91849.360276329855</v>
      </c>
      <c r="J138" s="10">
        <f t="shared" si="4"/>
        <v>92829.187520265201</v>
      </c>
      <c r="K138" s="10">
        <f t="shared" si="5"/>
        <v>90869.533032394509</v>
      </c>
    </row>
    <row r="139" spans="2:14" x14ac:dyDescent="0.3">
      <c r="B139" s="9">
        <v>43921</v>
      </c>
      <c r="C139" s="4">
        <v>41</v>
      </c>
      <c r="D139" s="10" t="e">
        <f>'dpc-covid19-ita-andamento-naz'!#REF!</f>
        <v>#REF!</v>
      </c>
      <c r="E139" s="8">
        <f t="shared" si="2"/>
        <v>1132.5571876946826</v>
      </c>
      <c r="F139" s="10">
        <f t="shared" si="6"/>
        <v>9602.6785542567195</v>
      </c>
      <c r="G139" s="10">
        <f t="shared" si="7"/>
        <v>0</v>
      </c>
      <c r="H139" s="10" t="e">
        <f>'dpc-covid19-ita-andamento-naz'!#REF!</f>
        <v>#REF!</v>
      </c>
      <c r="I139" s="8">
        <f t="shared" si="3"/>
        <v>96130.151727107834</v>
      </c>
      <c r="J139" s="10">
        <f>I139+CIh</f>
        <v>97109.97897104318</v>
      </c>
      <c r="K139" s="10">
        <f>MAX(I139-CIh,0)</f>
        <v>95150.324483172488</v>
      </c>
    </row>
    <row r="140" spans="2:14" x14ac:dyDescent="0.3">
      <c r="B140" s="9">
        <v>43922</v>
      </c>
      <c r="C140" s="4">
        <v>42</v>
      </c>
      <c r="D140" s="10" t="e">
        <f>'dpc-covid19-ita-andamento-naz'!#REF!</f>
        <v>#REF!</v>
      </c>
      <c r="E140" s="8">
        <f t="shared" si="2"/>
        <v>1169.3330852080055</v>
      </c>
      <c r="F140" s="10">
        <f t="shared" si="6"/>
        <v>9639.4544517700415</v>
      </c>
      <c r="G140" s="10">
        <f t="shared" si="7"/>
        <v>0</v>
      </c>
      <c r="H140" s="10" t="e">
        <f>'dpc-covid19-ita-andamento-naz'!#REF!</f>
        <v>#REF!</v>
      </c>
      <c r="I140" s="8">
        <f t="shared" si="3"/>
        <v>100230.59057695886</v>
      </c>
      <c r="J140" s="10">
        <f>I140+CIh</f>
        <v>101210.4178208942</v>
      </c>
      <c r="K140" s="10">
        <f>MAX(I140-CIh,0)</f>
        <v>99250.763333023511</v>
      </c>
    </row>
    <row r="141" spans="2:14" x14ac:dyDescent="0.3">
      <c r="B141" s="9">
        <v>43923</v>
      </c>
      <c r="C141" s="4">
        <v>43</v>
      </c>
      <c r="D141" s="10" t="e">
        <f>'dpc-covid19-ita-andamento-naz'!#REF!</f>
        <v>#REF!</v>
      </c>
      <c r="E141" s="8">
        <f t="shared" si="2"/>
        <v>1204.2649573973954</v>
      </c>
      <c r="F141" s="10">
        <f t="shared" si="6"/>
        <v>9674.386323959432</v>
      </c>
      <c r="G141" s="10">
        <f t="shared" si="7"/>
        <v>0</v>
      </c>
      <c r="H141" s="10" t="e">
        <f>'dpc-covid19-ita-andamento-naz'!#REF!</f>
        <v>#REF!</v>
      </c>
      <c r="I141" s="8">
        <f t="shared" si="3"/>
        <v>104140.20339598281</v>
      </c>
      <c r="J141" s="10">
        <f>I141+CIh</f>
        <v>105120.03063991816</v>
      </c>
      <c r="K141" s="10">
        <f>MAX(I141-CIh,0)</f>
        <v>103160.37615204747</v>
      </c>
    </row>
    <row r="142" spans="2:14" x14ac:dyDescent="0.3">
      <c r="B142" s="9">
        <v>43924</v>
      </c>
      <c r="C142" s="4">
        <v>44</v>
      </c>
      <c r="D142" s="10" t="e">
        <f>'dpc-covid19-ita-andamento-naz'!#REF!</f>
        <v>#REF!</v>
      </c>
      <c r="E142" s="8">
        <f t="shared" si="2"/>
        <v>1237.3439133193019</v>
      </c>
      <c r="F142" s="10">
        <f t="shared" si="6"/>
        <v>9707.4652798813386</v>
      </c>
      <c r="G142" s="10">
        <f t="shared" si="7"/>
        <v>0</v>
      </c>
      <c r="H142" s="10" t="e">
        <f>'dpc-covid19-ita-andamento-naz'!#REF!</f>
        <v>#REF!</v>
      </c>
      <c r="I142" s="8">
        <f t="shared" si="3"/>
        <v>107851.51503896498</v>
      </c>
      <c r="J142" s="10">
        <f>I142+CIh</f>
        <v>108831.34228290032</v>
      </c>
      <c r="K142" s="10">
        <f>MAX(I142-CIh,0)</f>
        <v>106871.68779502963</v>
      </c>
    </row>
    <row r="143" spans="2:14" x14ac:dyDescent="0.3">
      <c r="B143" s="9">
        <v>43925</v>
      </c>
      <c r="C143" s="4">
        <v>45</v>
      </c>
      <c r="D143" s="10" t="e">
        <f>'dpc-covid19-ita-andamento-naz'!#REF!</f>
        <v>#REF!</v>
      </c>
      <c r="E143" s="8">
        <f t="shared" si="2"/>
        <v>1268.5768959132918</v>
      </c>
      <c r="F143" s="10">
        <f t="shared" si="6"/>
        <v>9738.6982624753273</v>
      </c>
      <c r="G143" s="10">
        <f t="shared" si="7"/>
        <v>0</v>
      </c>
      <c r="H143" s="10" t="e">
        <f>'dpc-covid19-ita-andamento-naz'!#REF!</f>
        <v>#REF!</v>
      </c>
      <c r="I143" s="8">
        <f t="shared" si="3"/>
        <v>111359.82647167835</v>
      </c>
      <c r="J143" s="10">
        <f>I143+CIh</f>
        <v>112339.65371561369</v>
      </c>
      <c r="K143" s="10">
        <f>MAX(I143-CIh,0)</f>
        <v>110379.999227743</v>
      </c>
    </row>
    <row r="144" spans="2:14" x14ac:dyDescent="0.3">
      <c r="B144" s="9">
        <v>43926</v>
      </c>
      <c r="C144" s="4">
        <v>46</v>
      </c>
      <c r="E144" s="8">
        <f t="shared" si="2"/>
        <v>1297.9847423031081</v>
      </c>
      <c r="I144" s="8">
        <f t="shared" si="3"/>
        <v>114662.96577088306</v>
      </c>
    </row>
    <row r="145" spans="2:9" x14ac:dyDescent="0.3">
      <c r="B145" s="9">
        <v>43927</v>
      </c>
      <c r="C145" s="4">
        <v>47</v>
      </c>
      <c r="E145" s="8">
        <f t="shared" si="2"/>
        <v>1325.6002966757897</v>
      </c>
      <c r="I145" s="8">
        <f t="shared" si="3"/>
        <v>117761.02267673486</v>
      </c>
    </row>
    <row r="146" spans="2:9" x14ac:dyDescent="0.3">
      <c r="B146" s="9">
        <v>43928</v>
      </c>
      <c r="C146" s="4">
        <v>48</v>
      </c>
      <c r="E146" s="8">
        <f t="shared" si="2"/>
        <v>1351.4666030763628</v>
      </c>
      <c r="I146" s="8">
        <f t="shared" si="3"/>
        <v>120656.0757444675</v>
      </c>
    </row>
    <row r="147" spans="2:9" x14ac:dyDescent="0.3">
      <c r="B147" s="9">
        <v>43929</v>
      </c>
      <c r="C147" s="4">
        <v>49</v>
      </c>
      <c r="E147" s="8">
        <f t="shared" si="2"/>
        <v>1375.6351988823722</v>
      </c>
      <c r="I147" s="8">
        <f t="shared" si="3"/>
        <v>123351.91976580376</v>
      </c>
    </row>
    <row r="148" spans="2:9" x14ac:dyDescent="0.3">
      <c r="B148" s="9">
        <v>43930</v>
      </c>
      <c r="C148" s="4">
        <v>50</v>
      </c>
      <c r="E148" s="8">
        <f t="shared" si="2"/>
        <v>1398.1645238964052</v>
      </c>
      <c r="I148" s="8">
        <f t="shared" si="3"/>
        <v>125853.79977037416</v>
      </c>
    </row>
    <row r="149" spans="2:9" x14ac:dyDescent="0.3">
      <c r="B149" s="9">
        <v>43931</v>
      </c>
      <c r="C149" s="4">
        <v>51</v>
      </c>
      <c r="E149" s="8">
        <f t="shared" si="2"/>
        <v>1419.1184549231757</v>
      </c>
      <c r="I149" s="8">
        <f t="shared" si="3"/>
        <v>128168.15661974359</v>
      </c>
    </row>
    <row r="150" spans="2:9" x14ac:dyDescent="0.3">
      <c r="B150" s="9">
        <v>43932</v>
      </c>
      <c r="C150" s="4">
        <v>52</v>
      </c>
      <c r="E150" s="8">
        <f t="shared" si="2"/>
        <v>1438.5649713630471</v>
      </c>
      <c r="I150" s="8">
        <f t="shared" si="3"/>
        <v>130302.38800464902</v>
      </c>
    </row>
    <row r="151" spans="2:9" x14ac:dyDescent="0.3">
      <c r="B151" s="9">
        <v>43933</v>
      </c>
      <c r="C151" s="4">
        <v>53</v>
      </c>
      <c r="E151" s="8">
        <f t="shared" si="2"/>
        <v>1456.5749537198074</v>
      </c>
      <c r="I151" s="8">
        <f t="shared" si="3"/>
        <v>132264.62757161158</v>
      </c>
    </row>
    <row r="152" spans="2:9" x14ac:dyDescent="0.3">
      <c r="B152" s="9">
        <v>43934</v>
      </c>
      <c r="C152" s="4">
        <v>54</v>
      </c>
      <c r="E152" s="8">
        <f t="shared" si="2"/>
        <v>1473.2211139380217</v>
      </c>
      <c r="I152" s="8">
        <f t="shared" si="3"/>
        <v>134063.54395056149</v>
      </c>
    </row>
    <row r="153" spans="2:9" x14ac:dyDescent="0.3">
      <c r="B153" s="9">
        <v>43935</v>
      </c>
      <c r="C153" s="4">
        <v>55</v>
      </c>
      <c r="E153" s="8">
        <f t="shared" si="2"/>
        <v>1488.5770540971503</v>
      </c>
      <c r="I153" s="8">
        <f t="shared" si="3"/>
        <v>135708.16063514331</v>
      </c>
    </row>
    <row r="154" spans="2:9" x14ac:dyDescent="0.3">
      <c r="B154" s="9">
        <v>43936</v>
      </c>
      <c r="C154" s="4">
        <v>56</v>
      </c>
      <c r="E154" s="8">
        <f t="shared" si="2"/>
        <v>1502.7164481342111</v>
      </c>
      <c r="I154" s="8">
        <f t="shared" si="3"/>
        <v>137207.69698054969</v>
      </c>
    </row>
    <row r="155" spans="2:9" x14ac:dyDescent="0.3">
      <c r="B155" s="9">
        <v>43937</v>
      </c>
      <c r="C155" s="4">
        <v>57</v>
      </c>
      <c r="E155" s="8">
        <f t="shared" si="2"/>
        <v>1515.7123398810845</v>
      </c>
      <c r="I155" s="8">
        <f t="shared" si="3"/>
        <v>138571.43002414017</v>
      </c>
    </row>
    <row r="156" spans="2:9" x14ac:dyDescent="0.3">
      <c r="B156" s="9">
        <v>43938</v>
      </c>
      <c r="C156" s="4">
        <v>58</v>
      </c>
      <c r="E156" s="8">
        <f t="shared" si="2"/>
        <v>1527.6365497244344</v>
      </c>
      <c r="I156" s="8">
        <f t="shared" si="3"/>
        <v>139808.57639259941</v>
      </c>
    </row>
    <row r="157" spans="2:9" x14ac:dyDescent="0.3">
      <c r="B157" s="9">
        <v>43939</v>
      </c>
      <c r="C157" s="4">
        <v>59</v>
      </c>
      <c r="E157" s="8">
        <f t="shared" si="2"/>
        <v>1538.5591815660423</v>
      </c>
      <c r="I157" s="8">
        <f t="shared" si="3"/>
        <v>140928.19322478599</v>
      </c>
    </row>
    <row r="158" spans="2:9" x14ac:dyDescent="0.3">
      <c r="B158" s="9">
        <v>43940</v>
      </c>
      <c r="C158" s="4">
        <v>60</v>
      </c>
      <c r="E158" s="8">
        <f t="shared" si="2"/>
        <v>1548.5482214232122</v>
      </c>
      <c r="I158" s="8">
        <f t="shared" si="3"/>
        <v>141939.09679934804</v>
      </c>
    </row>
    <row r="159" spans="2:9" x14ac:dyDescent="0.3">
      <c r="B159" s="9">
        <v>43941</v>
      </c>
      <c r="C159" s="4">
        <v>61</v>
      </c>
      <c r="E159" s="8">
        <f t="shared" si="2"/>
        <v>1557.6692189114451</v>
      </c>
      <c r="I159" s="8">
        <f t="shared" si="3"/>
        <v>142849.79739788736</v>
      </c>
    </row>
    <row r="160" spans="2:9" x14ac:dyDescent="0.3">
      <c r="B160" s="9">
        <v>43942</v>
      </c>
      <c r="C160" s="4">
        <v>62</v>
      </c>
      <c r="E160" s="8">
        <f t="shared" si="2"/>
        <v>1565.9850429482419</v>
      </c>
      <c r="I160" s="8">
        <f t="shared" si="3"/>
        <v>143668.44884532277</v>
      </c>
    </row>
    <row r="161" spans="2:9" x14ac:dyDescent="0.3">
      <c r="B161" s="9">
        <v>43943</v>
      </c>
      <c r="C161" s="4">
        <v>63</v>
      </c>
      <c r="E161" s="8">
        <f t="shared" si="2"/>
        <v>1573.5557032663919</v>
      </c>
      <c r="I161" s="8">
        <f t="shared" si="3"/>
        <v>144402.81113711066</v>
      </c>
    </row>
    <row r="162" spans="2:9" x14ac:dyDescent="0.3">
      <c r="B162" s="9">
        <v>43944</v>
      </c>
      <c r="C162" s="4">
        <v>64</v>
      </c>
      <c r="E162" s="8">
        <f t="shared" si="2"/>
        <v>1580.4382296910758</v>
      </c>
      <c r="I162" s="8">
        <f t="shared" si="3"/>
        <v>145060.22457697141</v>
      </c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  <row r="266" spans="2:9" x14ac:dyDescent="0.3">
      <c r="B266" s="9"/>
      <c r="C266" s="4"/>
      <c r="E266" s="8"/>
      <c r="I266" s="8"/>
    </row>
    <row r="267" spans="2:9" x14ac:dyDescent="0.3">
      <c r="B267" s="9"/>
      <c r="C267" s="4"/>
      <c r="E267" s="8"/>
      <c r="I267" s="8"/>
    </row>
    <row r="268" spans="2:9" x14ac:dyDescent="0.3">
      <c r="B268" s="9"/>
      <c r="C268" s="4"/>
      <c r="E268" s="8"/>
      <c r="I268" s="8"/>
    </row>
    <row r="269" spans="2:9" x14ac:dyDescent="0.3">
      <c r="B269" s="9"/>
      <c r="C269" s="4"/>
      <c r="E269" s="8"/>
      <c r="I269" s="8"/>
    </row>
    <row r="270" spans="2:9" x14ac:dyDescent="0.3">
      <c r="B270" s="9"/>
      <c r="C270" s="4"/>
      <c r="E270" s="8"/>
      <c r="I270" s="8"/>
    </row>
    <row r="271" spans="2:9" x14ac:dyDescent="0.3">
      <c r="B271" s="9"/>
      <c r="C271" s="4"/>
      <c r="E271" s="8"/>
      <c r="I271" s="8"/>
    </row>
    <row r="272" spans="2:9" x14ac:dyDescent="0.3">
      <c r="B272" s="9"/>
      <c r="C272" s="4"/>
      <c r="E272" s="8"/>
      <c r="I272" s="8"/>
    </row>
    <row r="273" spans="2:9" x14ac:dyDescent="0.3">
      <c r="B273" s="9"/>
      <c r="C273" s="4"/>
      <c r="E273" s="8"/>
      <c r="I273" s="8"/>
    </row>
    <row r="274" spans="2:9" x14ac:dyDescent="0.3">
      <c r="B274" s="9"/>
      <c r="C274" s="4"/>
      <c r="E274" s="8"/>
      <c r="I274" s="8"/>
    </row>
    <row r="275" spans="2:9" x14ac:dyDescent="0.3">
      <c r="B275" s="9"/>
      <c r="C275" s="4"/>
      <c r="E275" s="8"/>
      <c r="I275" s="8"/>
    </row>
    <row r="276" spans="2:9" x14ac:dyDescent="0.3">
      <c r="B276" s="9"/>
      <c r="C276" s="4"/>
      <c r="E276" s="8"/>
      <c r="I276" s="8"/>
    </row>
    <row r="277" spans="2:9" x14ac:dyDescent="0.3">
      <c r="B277" s="9"/>
      <c r="C277" s="4"/>
      <c r="E277" s="8"/>
      <c r="I277" s="8"/>
    </row>
    <row r="278" spans="2:9" x14ac:dyDescent="0.3">
      <c r="B278" s="9"/>
      <c r="C278" s="4"/>
      <c r="E278" s="8"/>
      <c r="I278" s="8"/>
    </row>
    <row r="279" spans="2:9" x14ac:dyDescent="0.3">
      <c r="B279" s="9"/>
      <c r="C279" s="4"/>
      <c r="E279" s="8"/>
      <c r="I279" s="8"/>
    </row>
    <row r="280" spans="2:9" x14ac:dyDescent="0.3">
      <c r="B280" s="9"/>
      <c r="C280" s="4"/>
      <c r="E280" s="8"/>
      <c r="I280" s="8"/>
    </row>
    <row r="281" spans="2:9" x14ac:dyDescent="0.3">
      <c r="B281" s="9"/>
      <c r="C281" s="4"/>
      <c r="E281" s="8"/>
      <c r="I281" s="8"/>
    </row>
    <row r="282" spans="2:9" x14ac:dyDescent="0.3">
      <c r="B282" s="9"/>
      <c r="C282" s="4"/>
      <c r="E282" s="8"/>
      <c r="I282" s="8"/>
    </row>
    <row r="283" spans="2:9" x14ac:dyDescent="0.3">
      <c r="B283" s="9"/>
      <c r="C283" s="4"/>
      <c r="E283" s="8"/>
      <c r="I283" s="8"/>
    </row>
    <row r="284" spans="2:9" x14ac:dyDescent="0.3">
      <c r="B284" s="9"/>
      <c r="C284" s="4"/>
      <c r="E284" s="8"/>
      <c r="I284" s="8"/>
    </row>
    <row r="285" spans="2:9" x14ac:dyDescent="0.3">
      <c r="B285" s="9"/>
      <c r="C285" s="4"/>
      <c r="E285" s="8"/>
      <c r="I285" s="8"/>
    </row>
    <row r="286" spans="2:9" x14ac:dyDescent="0.3">
      <c r="B286" s="9"/>
      <c r="C286" s="4"/>
      <c r="E286" s="8"/>
      <c r="I286" s="8"/>
    </row>
  </sheetData>
  <mergeCells count="9">
    <mergeCell ref="AI3:AM3"/>
    <mergeCell ref="AI4:AM4"/>
    <mergeCell ref="AI5:AM5"/>
    <mergeCell ref="AT14:AT17"/>
    <mergeCell ref="AT24:AT27"/>
    <mergeCell ref="B2:H2"/>
    <mergeCell ref="H3:H6"/>
    <mergeCell ref="B4:G4"/>
    <mergeCell ref="B5:G5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68</vt:i4>
      </vt:variant>
    </vt:vector>
  </HeadingPairs>
  <TitlesOfParts>
    <vt:vector size="71" baseType="lpstr">
      <vt:lpstr>dpc-covid19-ita-andamento-naz</vt:lpstr>
      <vt:lpstr>New_confirmed - ExpPwLaw</vt:lpstr>
      <vt:lpstr>Cumul_confirmed - ExpPwLaw</vt:lpstr>
      <vt:lpstr>CI</vt:lpstr>
      <vt:lpstr>CId</vt:lpstr>
      <vt:lpstr>CIh</vt:lpstr>
      <vt:lpstr>CIn</vt:lpstr>
      <vt:lpstr>CIr</vt:lpstr>
      <vt:lpstr>CIt</vt:lpstr>
      <vt:lpstr>Critical_t</vt:lpstr>
      <vt:lpstr>Critical_td</vt:lpstr>
      <vt:lpstr>Critical_th</vt:lpstr>
      <vt:lpstr>Critical_tn</vt:lpstr>
      <vt:lpstr>Critical_tr</vt:lpstr>
      <vt:lpstr>Critical_tt</vt:lpstr>
      <vt:lpstr>df</vt:lpstr>
      <vt:lpstr>dfd</vt:lpstr>
      <vt:lpstr>dfh</vt:lpstr>
      <vt:lpstr>dfn</vt:lpstr>
      <vt:lpstr>dfr</vt:lpstr>
      <vt:lpstr>dft</vt:lpstr>
      <vt:lpstr>k</vt:lpstr>
      <vt:lpstr>Kd</vt:lpstr>
      <vt:lpstr>kh</vt:lpstr>
      <vt:lpstr>Kn</vt:lpstr>
      <vt:lpstr>kr</vt:lpstr>
      <vt:lpstr>kt</vt:lpstr>
      <vt:lpstr>Mean_of_y</vt:lpstr>
      <vt:lpstr>Mean_of_yd</vt:lpstr>
      <vt:lpstr>Mean_of_yh</vt:lpstr>
      <vt:lpstr>Mean_of_yn</vt:lpstr>
      <vt:lpstr>Mean_of_yr</vt:lpstr>
      <vt:lpstr>Mean_of_yt</vt:lpstr>
      <vt:lpstr>Peak</vt:lpstr>
      <vt:lpstr>Peak_d</vt:lpstr>
      <vt:lpstr>Peak_h</vt:lpstr>
      <vt:lpstr>Peak_n</vt:lpstr>
      <vt:lpstr>Peak_r</vt:lpstr>
      <vt:lpstr>Peak_t</vt:lpstr>
      <vt:lpstr>RSQ</vt:lpstr>
      <vt:lpstr>RSQd</vt:lpstr>
      <vt:lpstr>RSQh</vt:lpstr>
      <vt:lpstr>RSQn</vt:lpstr>
      <vt:lpstr>RSQr</vt:lpstr>
      <vt:lpstr>RSQt</vt:lpstr>
      <vt:lpstr>SE_of_y</vt:lpstr>
      <vt:lpstr>SE_of_yd</vt:lpstr>
      <vt:lpstr>SE_of_yh</vt:lpstr>
      <vt:lpstr>SE_of_yn</vt:lpstr>
      <vt:lpstr>SE_of_yr</vt:lpstr>
      <vt:lpstr>SE_of_yt</vt:lpstr>
      <vt:lpstr>t</vt:lpstr>
      <vt:lpstr>t_d</vt:lpstr>
      <vt:lpstr>t_h</vt:lpstr>
      <vt:lpstr>t_n</vt:lpstr>
      <vt:lpstr>t_r</vt:lpstr>
      <vt:lpstr>t_t</vt:lpstr>
      <vt:lpstr>t0</vt:lpstr>
      <vt:lpstr>t0d</vt:lpstr>
      <vt:lpstr>t0f</vt:lpstr>
      <vt:lpstr>t0h</vt:lpstr>
      <vt:lpstr>t0n</vt:lpstr>
      <vt:lpstr>t0r</vt:lpstr>
      <vt:lpstr>t0t</vt:lpstr>
      <vt:lpstr>w</vt:lpstr>
      <vt:lpstr>wd</vt:lpstr>
      <vt:lpstr>wf</vt:lpstr>
      <vt:lpstr>wh</vt:lpstr>
      <vt:lpstr>wn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2020-04-09T21:21:04Z</dcterms:modified>
</cp:coreProperties>
</file>