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81089E7A-72D3-490F-969C-03D5ADDA604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 fit'!$N$15</definedName>
    <definedName name="CId">'New_confirmed - Boltzmann fit'!$R$26</definedName>
    <definedName name="CIh">'Cumul_confirmed - Boltzmann fit'!$N$26</definedName>
    <definedName name="CIn">'New_confirmed - Boltzmann fit'!$R$15</definedName>
    <definedName name="Critical_t">'Cumul_confirmed - Boltzmann fit'!$N$14</definedName>
    <definedName name="Critical_td">'New_confirmed - Boltzmann fit'!$R$25</definedName>
    <definedName name="Critical_th">'Cumul_confirmed - Boltzmann fit'!$N$25</definedName>
    <definedName name="Critical_tn">'New_confirmed - Boltzmann fit'!$R$14</definedName>
    <definedName name="DatiEsterni_1" localSheetId="0" hidden="1">'dpc-covid19-ita-andamento-naz'!$A$1:$O$40</definedName>
    <definedName name="DatiEsterni_2" localSheetId="0" hidden="1">'dpc-covid19-ita-andamento-naz'!#REF!</definedName>
    <definedName name="df">'Cumul_confirmed - Boltzmann fit'!$N$11</definedName>
    <definedName name="dfd">'New_confirmed - Boltzmann fit'!$R$22</definedName>
    <definedName name="dfh">'Cumul_confirmed - Boltzmann fit'!$N$22</definedName>
    <definedName name="dfn">'New_confirmed - Boltzmann fit'!$R$11</definedName>
    <definedName name="dpc_covid19_ita_andamento_nazionale_1" localSheetId="1" hidden="1">'Cumul_confirmed - Boltzmann fit'!#REF!</definedName>
    <definedName name="E_end">'New_confirmed - Boltzmann fit'!$E$47</definedName>
    <definedName name="E_start">'New_confirmed - Boltzmann fit'!$E$7</definedName>
    <definedName name="G_end">'New_confirmed - Boltzmann fit'!$G$47</definedName>
    <definedName name="G_start">'New_confirmed - Boltzmann fit'!$G$7</definedName>
    <definedName name="K">'Cumul_confirmed - Boltzmann fit'!$N$7</definedName>
    <definedName name="K_end">'New_confirmed - Boltzmann fit'!$K$47</definedName>
    <definedName name="K_start">'New_confirmed - Boltzmann fit'!$K$7</definedName>
    <definedName name="Kd">'New_confirmed - Boltzmann fit'!$R$18</definedName>
    <definedName name="Kh">'Cumul_confirmed - Boltzmann fit'!$N$18</definedName>
    <definedName name="Kn">'New_confirmed - Boltzmann fit'!$R$7</definedName>
    <definedName name="M_end">'New_confirmed - Boltzmann fit'!$M$47</definedName>
    <definedName name="M_start">'New_confirmed - Boltzmann fit'!$M$7</definedName>
    <definedName name="Mean_of_y">'Cumul_confirmed - Boltzmann fit'!$N$10</definedName>
    <definedName name="Mean_of_yd">'New_confirmed - Boltzmann fit'!$R$21</definedName>
    <definedName name="Mean_of_yh">'Cumul_confirmed - Boltzmann fit'!$N$21</definedName>
    <definedName name="Mean_of_yn">'New_confirmed - Boltzmann fit'!$R$10</definedName>
    <definedName name="RSQ">'Cumul_confirmed - Boltzmann fit'!$N$13</definedName>
    <definedName name="RSQd">'New_confirmed - Boltzmann fit'!$R$24</definedName>
    <definedName name="RSQh">'Cumul_confirmed - Boltzmann fit'!$N$24</definedName>
    <definedName name="RSQn">'New_confirmed - Boltzmann fit'!$R$13</definedName>
    <definedName name="SE_of_y">'Cumul_confirmed - Boltzmann fit'!$N$12</definedName>
    <definedName name="SE_of_yd">'New_confirmed - Boltzmann fit'!$R$23</definedName>
    <definedName name="SE_of_yh">'Cumul_confirmed - Boltzmann fit'!$N$23</definedName>
    <definedName name="SE_of_yn">'New_confirmed - Boltzmann fit'!$R$12</definedName>
    <definedName name="solver_adj" localSheetId="1" hidden="1">'Cumul_confirmed - Boltzmann fit'!$N$18,'Cumul_confirmed - Boltzmann fit'!$N$19,'Cumul_confirmed - Boltzmann fit'!$N$20</definedName>
    <definedName name="solver_adj" localSheetId="2" hidden="1">'New_confirmed - Boltzmann fit'!$R$7,'New_confirmed - Boltzmann fit'!$R$8,'New_confirmed - Boltzmann fit'!$R$9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fit'!$N$18</definedName>
    <definedName name="solver_lhs1" localSheetId="2" hidden="1">'New_confirmed - Boltzmann fit'!$R$7</definedName>
    <definedName name="solver_lhs2" localSheetId="1" hidden="1">'Cumul_confirmed - Boltzmann fit'!$N$19</definedName>
    <definedName name="solver_lhs2" localSheetId="2" hidden="1">'New_confirmed - Boltzmann fit'!$R$8</definedName>
    <definedName name="solver_lhs3" localSheetId="1" hidden="1">'Cumul_confirmed - Boltzmann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'Cumul_confirmed - Boltzmann fit'!$N$24</definedName>
    <definedName name="solver_opt" localSheetId="2" hidden="1">'New_confirmed - Boltzmann fit'!$R$13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fit'!$N$8</definedName>
    <definedName name="t0d">'New_confirmed - Boltzmann fit'!$R$19</definedName>
    <definedName name="t0h">'Cumul_confirmed - Boltzmann fit'!$N$19</definedName>
    <definedName name="t0n">'New_confirmed - Boltzmann fit'!$R$8</definedName>
    <definedName name="w">'Cumul_confirmed - Boltzmann fit'!$N$9</definedName>
    <definedName name="wd">'New_confirmed - Boltzmann fit'!$R$20</definedName>
    <definedName name="wh">'Cumul_confirmed - Boltzmann fit'!$N$20</definedName>
    <definedName name="wn">'New_confirmed - Boltzmann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" i="19" l="1"/>
  <c r="R21" i="19"/>
  <c r="R11" i="19"/>
  <c r="R10" i="19"/>
  <c r="K46" i="19"/>
  <c r="K47" i="19"/>
  <c r="K48" i="19"/>
  <c r="K49" i="19"/>
  <c r="J46" i="19"/>
  <c r="J47" i="19"/>
  <c r="J48" i="19"/>
  <c r="J49" i="19"/>
  <c r="E47" i="19"/>
  <c r="E48" i="19"/>
  <c r="E49" i="19"/>
  <c r="D47" i="19"/>
  <c r="D48" i="19"/>
  <c r="D49" i="19"/>
  <c r="N22" i="12" l="1"/>
  <c r="N21" i="12"/>
  <c r="N11" i="12"/>
  <c r="N10" i="12"/>
  <c r="H47" i="12"/>
  <c r="H48" i="12"/>
  <c r="H49" i="12"/>
  <c r="D47" i="12"/>
  <c r="D48" i="12"/>
  <c r="D49" i="12"/>
  <c r="L70" i="19" l="1"/>
  <c r="F70" i="19"/>
  <c r="L69" i="19"/>
  <c r="F69" i="19"/>
  <c r="L68" i="19"/>
  <c r="F68" i="19"/>
  <c r="L67" i="19"/>
  <c r="F67" i="19"/>
  <c r="L66" i="19"/>
  <c r="F66" i="19"/>
  <c r="L65" i="19"/>
  <c r="F65" i="19"/>
  <c r="L64" i="19"/>
  <c r="F64" i="19"/>
  <c r="L63" i="19"/>
  <c r="F63" i="19"/>
  <c r="L62" i="19"/>
  <c r="F62" i="19"/>
  <c r="L61" i="19"/>
  <c r="F61" i="19"/>
  <c r="L60" i="19"/>
  <c r="F60" i="19"/>
  <c r="L59" i="19"/>
  <c r="F59" i="19"/>
  <c r="L58" i="19"/>
  <c r="F58" i="19"/>
  <c r="L57" i="19"/>
  <c r="F57" i="19"/>
  <c r="L56" i="19"/>
  <c r="F56" i="19"/>
  <c r="L55" i="19"/>
  <c r="F55" i="19"/>
  <c r="L54" i="19"/>
  <c r="F54" i="19"/>
  <c r="L53" i="19"/>
  <c r="F53" i="19"/>
  <c r="L52" i="19"/>
  <c r="F52" i="19"/>
  <c r="L51" i="19"/>
  <c r="F51" i="19"/>
  <c r="L50" i="19"/>
  <c r="F50" i="19"/>
  <c r="L49" i="19"/>
  <c r="F49" i="19"/>
  <c r="L48" i="19"/>
  <c r="F48" i="19"/>
  <c r="L47" i="19"/>
  <c r="F47" i="19"/>
  <c r="L46" i="19"/>
  <c r="F46" i="19"/>
  <c r="D46" i="19"/>
  <c r="E46" i="19" s="1"/>
  <c r="L45" i="19"/>
  <c r="J45" i="19"/>
  <c r="K45" i="19" s="1"/>
  <c r="F45" i="19"/>
  <c r="D45" i="19"/>
  <c r="E45" i="19" s="1"/>
  <c r="L44" i="19"/>
  <c r="J44" i="19"/>
  <c r="K44" i="19" s="1"/>
  <c r="F44" i="19"/>
  <c r="D44" i="19"/>
  <c r="E44" i="19" s="1"/>
  <c r="L43" i="19"/>
  <c r="J43" i="19"/>
  <c r="F43" i="19"/>
  <c r="D43" i="19"/>
  <c r="E43" i="19" s="1"/>
  <c r="L42" i="19"/>
  <c r="J42" i="19"/>
  <c r="K42" i="19" s="1"/>
  <c r="F42" i="19"/>
  <c r="E42" i="19"/>
  <c r="D42" i="19"/>
  <c r="L41" i="19"/>
  <c r="J41" i="19"/>
  <c r="F41" i="19"/>
  <c r="D41" i="19"/>
  <c r="E41" i="19" s="1"/>
  <c r="L40" i="19"/>
  <c r="J40" i="19"/>
  <c r="K40" i="19" s="1"/>
  <c r="F40" i="19"/>
  <c r="D40" i="19"/>
  <c r="E40" i="19" s="1"/>
  <c r="L39" i="19"/>
  <c r="J39" i="19"/>
  <c r="F39" i="19"/>
  <c r="D39" i="19"/>
  <c r="E39" i="19" s="1"/>
  <c r="L38" i="19"/>
  <c r="J38" i="19"/>
  <c r="K38" i="19" s="1"/>
  <c r="F38" i="19"/>
  <c r="D38" i="19"/>
  <c r="E38" i="19" s="1"/>
  <c r="L37" i="19"/>
  <c r="J37" i="19"/>
  <c r="K37" i="19" s="1"/>
  <c r="F37" i="19"/>
  <c r="D37" i="19"/>
  <c r="E37" i="19" s="1"/>
  <c r="L36" i="19"/>
  <c r="J36" i="19"/>
  <c r="F36" i="19"/>
  <c r="E36" i="19"/>
  <c r="D36" i="19"/>
  <c r="L35" i="19"/>
  <c r="J35" i="19"/>
  <c r="K35" i="19" s="1"/>
  <c r="F35" i="19"/>
  <c r="E35" i="19"/>
  <c r="D35" i="19"/>
  <c r="L34" i="19"/>
  <c r="J34" i="19"/>
  <c r="F34" i="19"/>
  <c r="D34" i="19"/>
  <c r="E34" i="19" s="1"/>
  <c r="L33" i="19"/>
  <c r="J33" i="19"/>
  <c r="K33" i="19" s="1"/>
  <c r="F33" i="19"/>
  <c r="D33" i="19"/>
  <c r="E33" i="19" s="1"/>
  <c r="L32" i="19"/>
  <c r="J32" i="19"/>
  <c r="K32" i="19" s="1"/>
  <c r="F32" i="19"/>
  <c r="D32" i="19"/>
  <c r="E32" i="19" s="1"/>
  <c r="L31" i="19"/>
  <c r="J31" i="19"/>
  <c r="F31" i="19"/>
  <c r="D31" i="19"/>
  <c r="E31" i="19" s="1"/>
  <c r="L30" i="19"/>
  <c r="J30" i="19"/>
  <c r="K30" i="19" s="1"/>
  <c r="F30" i="19"/>
  <c r="E30" i="19"/>
  <c r="D30" i="19"/>
  <c r="L29" i="19"/>
  <c r="J29" i="19"/>
  <c r="F29" i="19"/>
  <c r="D29" i="19"/>
  <c r="E29" i="19" s="1"/>
  <c r="L28" i="19"/>
  <c r="J28" i="19"/>
  <c r="K28" i="19" s="1"/>
  <c r="F28" i="19"/>
  <c r="D28" i="19"/>
  <c r="E28" i="19" s="1"/>
  <c r="R27" i="19"/>
  <c r="L27" i="19"/>
  <c r="J27" i="19"/>
  <c r="F27" i="19"/>
  <c r="D27" i="19"/>
  <c r="E27" i="19" s="1"/>
  <c r="L26" i="19"/>
  <c r="J26" i="19"/>
  <c r="K27" i="19" s="1"/>
  <c r="F26" i="19"/>
  <c r="D26" i="19"/>
  <c r="E26" i="19" s="1"/>
  <c r="L25" i="19"/>
  <c r="J25" i="19"/>
  <c r="K25" i="19" s="1"/>
  <c r="F25" i="19"/>
  <c r="D25" i="19"/>
  <c r="E25" i="19" s="1"/>
  <c r="L24" i="19"/>
  <c r="J24" i="19"/>
  <c r="F24" i="19"/>
  <c r="D24" i="19"/>
  <c r="L23" i="19"/>
  <c r="J23" i="19"/>
  <c r="K23" i="19" s="1"/>
  <c r="F23" i="19"/>
  <c r="D23" i="19"/>
  <c r="L22" i="19"/>
  <c r="J22" i="19"/>
  <c r="K22" i="19" s="1"/>
  <c r="F22" i="19"/>
  <c r="D22" i="19"/>
  <c r="L21" i="19"/>
  <c r="J21" i="19"/>
  <c r="K21" i="19" s="1"/>
  <c r="F21" i="19"/>
  <c r="E21" i="19"/>
  <c r="D21" i="19"/>
  <c r="L20" i="19"/>
  <c r="J20" i="19"/>
  <c r="F20" i="19"/>
  <c r="D20" i="19"/>
  <c r="E20" i="19" s="1"/>
  <c r="L19" i="19"/>
  <c r="J19" i="19"/>
  <c r="K19" i="19" s="1"/>
  <c r="F19" i="19"/>
  <c r="D19" i="19"/>
  <c r="E19" i="19" s="1"/>
  <c r="L18" i="19"/>
  <c r="J18" i="19"/>
  <c r="K18" i="19" s="1"/>
  <c r="F18" i="19"/>
  <c r="D18" i="19"/>
  <c r="E18" i="19" s="1"/>
  <c r="L17" i="19"/>
  <c r="J17" i="19"/>
  <c r="F17" i="19"/>
  <c r="D17" i="19"/>
  <c r="E17" i="19" s="1"/>
  <c r="R16" i="19"/>
  <c r="L16" i="19"/>
  <c r="J16" i="19"/>
  <c r="K16" i="19" s="1"/>
  <c r="F16" i="19"/>
  <c r="D16" i="19"/>
  <c r="L15" i="19"/>
  <c r="J15" i="19"/>
  <c r="F15" i="19"/>
  <c r="D15" i="19"/>
  <c r="L14" i="19"/>
  <c r="J14" i="19"/>
  <c r="K14" i="19" s="1"/>
  <c r="F14" i="19"/>
  <c r="E14" i="19"/>
  <c r="D14" i="19"/>
  <c r="L13" i="19"/>
  <c r="J13" i="19"/>
  <c r="F13" i="19"/>
  <c r="D13" i="19"/>
  <c r="E13" i="19" s="1"/>
  <c r="L12" i="19"/>
  <c r="J12" i="19"/>
  <c r="F12" i="19"/>
  <c r="D12" i="19"/>
  <c r="L11" i="19"/>
  <c r="J11" i="19"/>
  <c r="F11" i="19"/>
  <c r="D11" i="19"/>
  <c r="E11" i="19" s="1"/>
  <c r="L10" i="19"/>
  <c r="K10" i="19"/>
  <c r="F10" i="19"/>
  <c r="E10" i="19"/>
  <c r="L9" i="19"/>
  <c r="K9" i="19"/>
  <c r="F9" i="19"/>
  <c r="E9" i="19"/>
  <c r="L8" i="19"/>
  <c r="K8" i="19"/>
  <c r="F8" i="19"/>
  <c r="E8" i="19"/>
  <c r="L7" i="19"/>
  <c r="M7" i="19" s="1"/>
  <c r="K7" i="19"/>
  <c r="F7" i="19"/>
  <c r="G7" i="19" s="1"/>
  <c r="E7" i="19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H46" i="12"/>
  <c r="E46" i="12"/>
  <c r="D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G9" i="19" l="1"/>
  <c r="G29" i="19"/>
  <c r="G46" i="19"/>
  <c r="G12" i="19"/>
  <c r="G30" i="19"/>
  <c r="G19" i="19"/>
  <c r="G47" i="19"/>
  <c r="G18" i="19"/>
  <c r="G33" i="19"/>
  <c r="G60" i="19"/>
  <c r="G66" i="19"/>
  <c r="G54" i="19"/>
  <c r="G10" i="19"/>
  <c r="G13" i="19"/>
  <c r="G44" i="19"/>
  <c r="G31" i="19"/>
  <c r="G49" i="19"/>
  <c r="G8" i="19"/>
  <c r="G58" i="19"/>
  <c r="G70" i="19"/>
  <c r="G52" i="19"/>
  <c r="G64" i="19"/>
  <c r="G53" i="19"/>
  <c r="G59" i="19"/>
  <c r="G65" i="19"/>
  <c r="G11" i="19"/>
  <c r="G36" i="19"/>
  <c r="G39" i="19"/>
  <c r="G48" i="19"/>
  <c r="G28" i="19"/>
  <c r="G43" i="19"/>
  <c r="G35" i="19"/>
  <c r="G21" i="19"/>
  <c r="G15" i="19"/>
  <c r="G27" i="19"/>
  <c r="G45" i="19"/>
  <c r="G20" i="19"/>
  <c r="G16" i="19"/>
  <c r="G37" i="19"/>
  <c r="G55" i="19"/>
  <c r="G67" i="19"/>
  <c r="G40" i="19"/>
  <c r="G61" i="19"/>
  <c r="G25" i="19"/>
  <c r="G32" i="19"/>
  <c r="G50" i="19"/>
  <c r="G56" i="19"/>
  <c r="G62" i="19"/>
  <c r="G68" i="19"/>
  <c r="G14" i="19"/>
  <c r="G38" i="19"/>
  <c r="G41" i="19"/>
  <c r="G51" i="19"/>
  <c r="G57" i="19"/>
  <c r="G63" i="19"/>
  <c r="G69" i="19"/>
  <c r="G23" i="19"/>
  <c r="M31" i="19"/>
  <c r="M22" i="19"/>
  <c r="M69" i="19"/>
  <c r="M25" i="19"/>
  <c r="M33" i="19"/>
  <c r="M9" i="19"/>
  <c r="M18" i="19"/>
  <c r="M44" i="19"/>
  <c r="M24" i="19"/>
  <c r="M48" i="19"/>
  <c r="M37" i="19"/>
  <c r="M39" i="19"/>
  <c r="M52" i="19"/>
  <c r="M58" i="19"/>
  <c r="M64" i="19"/>
  <c r="M70" i="19"/>
  <c r="M54" i="19"/>
  <c r="M60" i="19"/>
  <c r="M66" i="19"/>
  <c r="M34" i="19"/>
  <c r="M29" i="19"/>
  <c r="M27" i="19"/>
  <c r="M41" i="19"/>
  <c r="M45" i="19"/>
  <c r="M49" i="19"/>
  <c r="M42" i="19"/>
  <c r="M19" i="19"/>
  <c r="M32" i="19"/>
  <c r="M15" i="19"/>
  <c r="M16" i="19"/>
  <c r="M36" i="19"/>
  <c r="M51" i="19"/>
  <c r="M57" i="19"/>
  <c r="M63" i="19"/>
  <c r="M13" i="19"/>
  <c r="M23" i="19"/>
  <c r="M14" i="19"/>
  <c r="M28" i="19"/>
  <c r="M40" i="19"/>
  <c r="M55" i="19"/>
  <c r="M61" i="19"/>
  <c r="M67" i="19"/>
  <c r="M26" i="19"/>
  <c r="M38" i="19"/>
  <c r="M17" i="19"/>
  <c r="M43" i="19"/>
  <c r="M68" i="19"/>
  <c r="M11" i="19"/>
  <c r="M46" i="19"/>
  <c r="M21" i="19"/>
  <c r="M8" i="19"/>
  <c r="M10" i="19"/>
  <c r="M12" i="19"/>
  <c r="G22" i="19"/>
  <c r="G24" i="19"/>
  <c r="G26" i="19"/>
  <c r="M35" i="19"/>
  <c r="M47" i="19"/>
  <c r="M20" i="19"/>
  <c r="G34" i="19"/>
  <c r="M50" i="19"/>
  <c r="M53" i="19"/>
  <c r="M56" i="19"/>
  <c r="M59" i="19"/>
  <c r="M62" i="19"/>
  <c r="M65" i="19"/>
  <c r="G17" i="19"/>
  <c r="M30" i="19"/>
  <c r="G42" i="19"/>
  <c r="N24" i="12" a="1"/>
  <c r="N24" i="12" s="1"/>
  <c r="N23" i="12" a="1"/>
  <c r="N23" i="12" s="1"/>
  <c r="N13" i="12" a="1"/>
  <c r="N13" i="12" s="1"/>
  <c r="N12" i="12" a="1"/>
  <c r="N12" i="12" s="1"/>
  <c r="E16" i="19"/>
  <c r="E23" i="19"/>
  <c r="E24" i="19"/>
  <c r="K13" i="19"/>
  <c r="K15" i="19"/>
  <c r="K29" i="19"/>
  <c r="K41" i="19"/>
  <c r="K24" i="19"/>
  <c r="K36" i="19"/>
  <c r="K39" i="19"/>
  <c r="K12" i="19"/>
  <c r="K20" i="19"/>
  <c r="K34" i="19"/>
  <c r="E12" i="19"/>
  <c r="K17" i="19"/>
  <c r="K31" i="19"/>
  <c r="K43" i="19"/>
  <c r="N25" i="12"/>
  <c r="E22" i="19"/>
  <c r="K26" i="19"/>
  <c r="K11" i="19"/>
  <c r="E15" i="19"/>
  <c r="R13" i="19" l="1" a="1"/>
  <c r="R13" i="19" s="1"/>
  <c r="R12" i="19" a="1"/>
  <c r="R12" i="19" s="1"/>
  <c r="R24" i="19" a="1"/>
  <c r="R24" i="19" s="1"/>
  <c r="R23" i="19" a="1"/>
  <c r="R23" i="19" s="1"/>
  <c r="N26" i="12"/>
  <c r="J49" i="12" s="1"/>
  <c r="R14" i="19"/>
  <c r="R25" i="19"/>
  <c r="N14" i="12"/>
  <c r="R15" i="19" l="1"/>
  <c r="I49" i="19" s="1"/>
  <c r="K33" i="12"/>
  <c r="K36" i="12"/>
  <c r="K35" i="12"/>
  <c r="K38" i="12"/>
  <c r="K17" i="12"/>
  <c r="K20" i="12"/>
  <c r="J21" i="12"/>
  <c r="K39" i="12"/>
  <c r="J15" i="12"/>
  <c r="K34" i="12"/>
  <c r="K42" i="12"/>
  <c r="J26" i="12"/>
  <c r="K37" i="12"/>
  <c r="J14" i="12"/>
  <c r="K43" i="12"/>
  <c r="K26" i="12"/>
  <c r="J25" i="12"/>
  <c r="K12" i="12"/>
  <c r="J29" i="12"/>
  <c r="K14" i="12"/>
  <c r="K23" i="12"/>
  <c r="J32" i="12"/>
  <c r="J34" i="12"/>
  <c r="J35" i="12"/>
  <c r="J37" i="12"/>
  <c r="J39" i="12"/>
  <c r="K21" i="12"/>
  <c r="J40" i="12"/>
  <c r="J16" i="12"/>
  <c r="K29" i="12"/>
  <c r="J43" i="12"/>
  <c r="K30" i="12"/>
  <c r="K32" i="12"/>
  <c r="J46" i="12"/>
  <c r="K46" i="12"/>
  <c r="J41" i="12"/>
  <c r="J7" i="12"/>
  <c r="K41" i="12"/>
  <c r="J11" i="12"/>
  <c r="K28" i="12"/>
  <c r="J9" i="12"/>
  <c r="J38" i="12"/>
  <c r="K25" i="12"/>
  <c r="J30" i="12"/>
  <c r="K44" i="12"/>
  <c r="K24" i="12"/>
  <c r="K11" i="12"/>
  <c r="K47" i="12"/>
  <c r="K16" i="12"/>
  <c r="J8" i="12"/>
  <c r="J47" i="12"/>
  <c r="J33" i="12"/>
  <c r="J20" i="12"/>
  <c r="K31" i="12"/>
  <c r="J12" i="12"/>
  <c r="K49" i="12"/>
  <c r="K19" i="12"/>
  <c r="J10" i="12"/>
  <c r="K8" i="12"/>
  <c r="J45" i="12"/>
  <c r="J24" i="12"/>
  <c r="K40" i="12"/>
  <c r="J23" i="12"/>
  <c r="J48" i="12"/>
  <c r="K45" i="12"/>
  <c r="J42" i="12"/>
  <c r="J19" i="12"/>
  <c r="J13" i="12"/>
  <c r="J44" i="12"/>
  <c r="J17" i="12"/>
  <c r="J22" i="12"/>
  <c r="K15" i="12"/>
  <c r="K10" i="12"/>
  <c r="K22" i="12"/>
  <c r="J28" i="12"/>
  <c r="J27" i="12"/>
  <c r="K7" i="12"/>
  <c r="K48" i="12"/>
  <c r="K27" i="12"/>
  <c r="J18" i="12"/>
  <c r="K18" i="12"/>
  <c r="J36" i="12"/>
  <c r="J31" i="12"/>
  <c r="K13" i="12"/>
  <c r="K9" i="12"/>
  <c r="R26" i="19"/>
  <c r="N15" i="12"/>
  <c r="H49" i="19" l="1"/>
  <c r="H48" i="19"/>
  <c r="I48" i="19"/>
  <c r="I35" i="19"/>
  <c r="H47" i="19"/>
  <c r="H36" i="19"/>
  <c r="H8" i="19"/>
  <c r="I10" i="19"/>
  <c r="H13" i="19"/>
  <c r="H21" i="19"/>
  <c r="H9" i="19"/>
  <c r="H44" i="19"/>
  <c r="H43" i="19"/>
  <c r="I11" i="19"/>
  <c r="H15" i="19"/>
  <c r="I20" i="19"/>
  <c r="H20" i="19"/>
  <c r="H29" i="19"/>
  <c r="I38" i="19"/>
  <c r="H39" i="19"/>
  <c r="H27" i="19"/>
  <c r="H28" i="19"/>
  <c r="H14" i="19"/>
  <c r="I15" i="19"/>
  <c r="I34" i="19"/>
  <c r="I47" i="19"/>
  <c r="H10" i="19"/>
  <c r="I24" i="19"/>
  <c r="I41" i="19"/>
  <c r="H7" i="19"/>
  <c r="H38" i="19"/>
  <c r="H17" i="19"/>
  <c r="I44" i="19"/>
  <c r="H33" i="19"/>
  <c r="I29" i="19"/>
  <c r="H16" i="19"/>
  <c r="I32" i="19"/>
  <c r="I22" i="19"/>
  <c r="H37" i="19"/>
  <c r="I39" i="19"/>
  <c r="H31" i="19"/>
  <c r="H46" i="19"/>
  <c r="I25" i="19"/>
  <c r="I37" i="19"/>
  <c r="H11" i="19"/>
  <c r="H32" i="19"/>
  <c r="I27" i="19"/>
  <c r="I43" i="19"/>
  <c r="I7" i="19"/>
  <c r="I31" i="19"/>
  <c r="I23" i="19"/>
  <c r="H18" i="19"/>
  <c r="I36" i="19"/>
  <c r="I46" i="19"/>
  <c r="H30" i="19"/>
  <c r="H25" i="19"/>
  <c r="I8" i="19"/>
  <c r="H41" i="19"/>
  <c r="I17" i="19"/>
  <c r="I40" i="19"/>
  <c r="I26" i="19"/>
  <c r="H35" i="19"/>
  <c r="I42" i="19"/>
  <c r="H23" i="19"/>
  <c r="I19" i="19"/>
  <c r="H26" i="19"/>
  <c r="I28" i="19"/>
  <c r="I13" i="19"/>
  <c r="I9" i="19"/>
  <c r="H22" i="19"/>
  <c r="I30" i="19"/>
  <c r="H24" i="19"/>
  <c r="H34" i="19"/>
  <c r="I12" i="19"/>
  <c r="H12" i="19"/>
  <c r="H40" i="19"/>
  <c r="I45" i="19"/>
  <c r="H42" i="19"/>
  <c r="H19" i="19"/>
  <c r="H45" i="19"/>
  <c r="I21" i="19"/>
  <c r="I14" i="19"/>
  <c r="I33" i="19"/>
  <c r="I16" i="19"/>
  <c r="I18" i="19"/>
  <c r="O49" i="19"/>
  <c r="N48" i="19"/>
  <c r="O48" i="19"/>
  <c r="N49" i="19"/>
  <c r="G47" i="12"/>
  <c r="G48" i="12"/>
  <c r="F47" i="12"/>
  <c r="F48" i="12"/>
  <c r="F49" i="12"/>
  <c r="G49" i="12"/>
  <c r="O29" i="19"/>
  <c r="N23" i="19"/>
  <c r="N33" i="19"/>
  <c r="N32" i="19"/>
  <c r="O14" i="19"/>
  <c r="N12" i="19"/>
  <c r="N20" i="19"/>
  <c r="N16" i="19"/>
  <c r="O37" i="19"/>
  <c r="O7" i="19"/>
  <c r="N42" i="19"/>
  <c r="N30" i="19"/>
  <c r="N26" i="19"/>
  <c r="N29" i="19"/>
  <c r="N17" i="19"/>
  <c r="O47" i="19"/>
  <c r="O9" i="19"/>
  <c r="N40" i="19"/>
  <c r="N13" i="19"/>
  <c r="O46" i="19"/>
  <c r="O11" i="19"/>
  <c r="N39" i="19"/>
  <c r="O24" i="19"/>
  <c r="O45" i="19"/>
  <c r="O33" i="19"/>
  <c r="N38" i="19"/>
  <c r="N25" i="19"/>
  <c r="O19" i="19"/>
  <c r="O30" i="19"/>
  <c r="O13" i="19"/>
  <c r="O18" i="19"/>
  <c r="N34" i="19"/>
  <c r="O10" i="19"/>
  <c r="O40" i="19"/>
  <c r="N8" i="19"/>
  <c r="N19" i="19"/>
  <c r="N15" i="19"/>
  <c r="O12" i="19"/>
  <c r="O23" i="19"/>
  <c r="N31" i="19"/>
  <c r="N18" i="19"/>
  <c r="O15" i="19"/>
  <c r="O36" i="19"/>
  <c r="N7" i="19"/>
  <c r="N41" i="19"/>
  <c r="O25" i="19"/>
  <c r="O35" i="19"/>
  <c r="N28" i="19"/>
  <c r="O16" i="19"/>
  <c r="O34" i="19"/>
  <c r="O27" i="19"/>
  <c r="N22" i="19"/>
  <c r="N10" i="19"/>
  <c r="N14" i="19"/>
  <c r="N35" i="19"/>
  <c r="O28" i="19"/>
  <c r="O22" i="19"/>
  <c r="O39" i="19"/>
  <c r="O38" i="19"/>
  <c r="N46" i="19"/>
  <c r="O17" i="19"/>
  <c r="N45" i="19"/>
  <c r="N44" i="19"/>
  <c r="N21" i="19"/>
  <c r="N43" i="19"/>
  <c r="O21" i="19"/>
  <c r="O44" i="19"/>
  <c r="O32" i="19"/>
  <c r="N37" i="19"/>
  <c r="N27" i="19"/>
  <c r="N9" i="19"/>
  <c r="O20" i="19"/>
  <c r="O43" i="19"/>
  <c r="O31" i="19"/>
  <c r="N36" i="19"/>
  <c r="O26" i="19"/>
  <c r="N24" i="19"/>
  <c r="O42" i="19"/>
  <c r="N47" i="19"/>
  <c r="N11" i="19"/>
  <c r="O41" i="19"/>
  <c r="O8" i="19"/>
  <c r="F26" i="12"/>
  <c r="F15" i="12"/>
  <c r="G22" i="12"/>
  <c r="G42" i="12"/>
  <c r="G30" i="12"/>
  <c r="G27" i="12"/>
  <c r="F11" i="12"/>
  <c r="F38" i="12"/>
  <c r="F21" i="12"/>
  <c r="G11" i="12"/>
  <c r="G45" i="12"/>
  <c r="G36" i="12"/>
  <c r="F22" i="12"/>
  <c r="G19" i="12"/>
  <c r="F29" i="12"/>
  <c r="G39" i="12"/>
  <c r="G33" i="12"/>
  <c r="G16" i="12"/>
  <c r="F45" i="12"/>
  <c r="F42" i="12"/>
  <c r="F39" i="12"/>
  <c r="F36" i="12"/>
  <c r="F33" i="12"/>
  <c r="F30" i="12"/>
  <c r="F27" i="12"/>
  <c r="F19" i="12"/>
  <c r="F16" i="12"/>
  <c r="G9" i="12"/>
  <c r="G7" i="12"/>
  <c r="G23" i="12"/>
  <c r="G12" i="12"/>
  <c r="F9" i="12"/>
  <c r="F7" i="12"/>
  <c r="F23" i="12"/>
  <c r="F12" i="12"/>
  <c r="G25" i="12"/>
  <c r="G14" i="12"/>
  <c r="G15" i="12"/>
  <c r="G8" i="12"/>
  <c r="G46" i="12"/>
  <c r="G43" i="12"/>
  <c r="G40" i="12"/>
  <c r="G37" i="12"/>
  <c r="G34" i="12"/>
  <c r="G31" i="12"/>
  <c r="G28" i="12"/>
  <c r="G24" i="12"/>
  <c r="G20" i="12"/>
  <c r="G17" i="12"/>
  <c r="G13" i="12"/>
  <c r="F46" i="12"/>
  <c r="F43" i="12"/>
  <c r="F40" i="12"/>
  <c r="F37" i="12"/>
  <c r="F34" i="12"/>
  <c r="F31" i="12"/>
  <c r="F28" i="12"/>
  <c r="F24" i="12"/>
  <c r="F20" i="12"/>
  <c r="F17" i="12"/>
  <c r="F13" i="12"/>
  <c r="F14" i="12"/>
  <c r="F41" i="12"/>
  <c r="F32" i="12"/>
  <c r="G26" i="12"/>
  <c r="F18" i="12"/>
  <c r="G10" i="12"/>
  <c r="F35" i="12"/>
  <c r="F25" i="12"/>
  <c r="G44" i="12"/>
  <c r="G41" i="12"/>
  <c r="G38" i="12"/>
  <c r="G35" i="12"/>
  <c r="G32" i="12"/>
  <c r="G29" i="12"/>
  <c r="G21" i="12"/>
  <c r="G18" i="12"/>
  <c r="F10" i="12"/>
  <c r="F8" i="12"/>
  <c r="F4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tc={72AF2297-8B28-419B-B702-DE9C5B9C6056}</author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72AF2297-8B28-419B-B702-DE9C5B9C605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tc={6ABD3661-8066-4E44-BA0D-35D35302F623}</author>
    <author>tc={6F280F21-F37E-4D54-8202-F02FF9F60413}</author>
    <author>tc={8C2E90DC-6FBB-4F6F-A491-7F04B14E3003}</author>
    <author>tc={165FF3CB-B6DD-4A5B-BEAB-465BE46910E5}</author>
    <author>tc={7F2EC179-DDA6-4C29-9AE2-3E7B978CA4FE}</author>
    <author>tc={330B5948-4F91-4530-8246-D8E052E48EC7}</author>
    <author>tc={B00751F2-9E53-4B46-A4E1-C852EDF26698}</author>
    <author>tc={F0A6F119-92D4-458E-9366-D89100014E7A}</author>
  </authors>
  <commentList>
    <comment ref="B7" authorId="0" shapeId="0" xr:uid="{6ABD3661-8066-4E44-BA0D-35D35302F62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F280F21-F37E-4D54-8202-F02FF9F6041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8C2E90DC-6FBB-4F6F-A491-7F04B14E30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165FF3CB-B6DD-4A5B-BEAB-465BE46910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7F2EC179-DDA6-4C29-9AE2-3E7B978CA4F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330B5948-4F91-4530-8246-D8E052E48E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B00751F2-9E53-4B46-A4E1-C852EDF266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F0A6F119-92D4-458E-9366-D89100014E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86DEF9B-B6EF-473E-B763-5372677BF1D3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<sst xmlns="http://schemas.openxmlformats.org/spreadsheetml/2006/main" count="216" uniqueCount="73">
  <si>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</si>
  <si>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</si>
  <si>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</si>
  <si>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</si>
  <si>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</si>
  <si>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</si>
  <si>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</si>
  <si>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</si>
  <si>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</si>
  <si>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</si>
  <si>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</si>
  <si>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</si>
  <si>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</si>
  <si>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</si>
  <si>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</si>
  <si>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</si>
  <si>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</si>
  <si>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</si>
  <si>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</si>
  <si>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</si>
  <si>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</si>
  <si>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</si>
  <si>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</si>
  <si>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</si>
  <si>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</si>
  <si>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</si>
  <si>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</si>
  <si>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</si>
  <si>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</si>
  <si>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</si>
  <si>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</si>
  <si>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</si>
  <si>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</si>
  <si>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</si>
  <si>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</si>
  <si>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</si>
  <si>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</si>
  <si>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</si>
  <si>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</si>
  <si>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</si>
  <si>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</si>
  <si>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</si>
  <si>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</si>
  <si>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</si>
  <si>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</si>
  <si>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</si>
  <si>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</si>
  <si>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</si>
  <si>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</si>
  <si>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</si>
  <si>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</si>
  <si>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</si>
  <si>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</si>
  <si>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Deaths</t>
  </si>
  <si>
    <t>Deaths fit</t>
  </si>
  <si>
    <t>saturation value - constraint (integer)</t>
  </si>
  <si>
    <t>crossover point - constraint (integer)</t>
  </si>
  <si>
    <t>Solver method: GRG non linear engine - option: integer optimization 0%</t>
  </si>
  <si>
    <t>width of crossover region - constraint (none)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</si>
  <si>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</si>
  <si>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</si>
  <si>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</si>
  <si>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</si>
  <si>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</si>
  <si>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</si>
  <si>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</si>
  <si>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</si>
  <si>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D. Upper CI</t>
  </si>
  <si>
    <t>D. Lower CI</t>
  </si>
  <si>
    <t>totale_positivi</t>
  </si>
  <si>
    <t>variazione_totale_positivi</t>
  </si>
  <si>
    <t>nuovi_positivi</t>
  </si>
  <si>
    <t>Peak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</si>
</sst>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1" fillId="0" borderId="0" xfId="0" applyFont="1" applyFill="1"/>
    <xf numFmtId="0" fontId="10" fillId="0" borderId="0" xfId="0" applyFont="1" applyFill="1"/>
    <xf numFmtId="1" fontId="11" fillId="0" borderId="0" xfId="0" applyNumberFormat="1" applyFont="1"/>
    <xf numFmtId="1" fontId="10" fillId="0" borderId="0" xfId="0" applyNumberFormat="1" applyFont="1"/>
    <xf numFmtId="0" fontId="11" fillId="0" borderId="0" xfId="0" applyFont="1" applyAlignment="1">
      <alignment horizontal="center" wrapText="1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Cumulative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  <c:pt idx="42">
                  <c:v>115242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fit'!$E$7:$E$70</c:f>
              <c:numCache>
                <c:formatCode>0</c:formatCode>
                <c:ptCount val="64"/>
                <c:pt idx="0">
                  <c:v>215.27502001124446</c:v>
                </c:pt>
                <c:pt idx="1">
                  <c:v>263.86322336921</c:v>
                </c:pt>
                <c:pt idx="2">
                  <c:v>323.38831971015674</c:v>
                </c:pt>
                <c:pt idx="3">
                  <c:v>396.29728101176681</c:v>
                </c:pt>
                <c:pt idx="4">
                  <c:v>485.57711315784894</c:v>
                </c:pt>
                <c:pt idx="5">
                  <c:v>594.87031366042777</c:v>
                </c:pt>
                <c:pt idx="6">
                  <c:v>728.61314468152341</c:v>
                </c:pt>
                <c:pt idx="7">
                  <c:v>892.20027925026898</c:v>
                </c:pt>
                <c:pt idx="8">
                  <c:v>1092.1794251336546</c:v>
                </c:pt>
                <c:pt idx="9">
                  <c:v>1336.4792458699862</c:v>
                </c:pt>
                <c:pt idx="10">
                  <c:v>1634.6730664856343</c:v>
                </c:pt>
                <c:pt idx="11">
                  <c:v>1998.2791618450883</c:v>
                </c:pt>
                <c:pt idx="12">
                  <c:v>2441.0954461140309</c:v>
                </c:pt>
                <c:pt idx="13">
                  <c:v>2979.5615350488893</c:v>
                </c:pt>
                <c:pt idx="14">
                  <c:v>3633.1337089095819</c:v>
                </c:pt>
                <c:pt idx="15">
                  <c:v>4424.6474124592805</c:v>
                </c:pt>
                <c:pt idx="16">
                  <c:v>5380.626730475431</c:v>
                </c:pt>
                <c:pt idx="17">
                  <c:v>6531.4801557336814</c:v>
                </c:pt>
                <c:pt idx="18">
                  <c:v>7911.4970197529919</c:v>
                </c:pt>
                <c:pt idx="19">
                  <c:v>9558.53077350071</c:v>
                </c:pt>
                <c:pt idx="20">
                  <c:v>11513.22807672305</c:v>
                </c:pt>
                <c:pt idx="21">
                  <c:v>13817.644495604909</c:v>
                </c:pt>
                <c:pt idx="22">
                  <c:v>16513.091630480336</c:v>
                </c:pt>
                <c:pt idx="23">
                  <c:v>19637.104633552637</c:v>
                </c:pt>
                <c:pt idx="24">
                  <c:v>23219.523078108727</c:v>
                </c:pt>
                <c:pt idx="25">
                  <c:v>27277.85593731693</c:v>
                </c:pt>
                <c:pt idx="26">
                  <c:v>31812.3482771415</c:v>
                </c:pt>
                <c:pt idx="27">
                  <c:v>36801.444521354337</c:v>
                </c:pt>
                <c:pt idx="28">
                  <c:v>42198.569251157947</c:v>
                </c:pt>
                <c:pt idx="29">
                  <c:v>47931.207455859876</c:v>
                </c:pt>
                <c:pt idx="30">
                  <c:v>53903.055774325185</c:v>
                </c:pt>
                <c:pt idx="31">
                  <c:v>59999.5</c:v>
                </c:pt>
                <c:pt idx="32">
                  <c:v>66095.94422567483</c:v>
                </c:pt>
                <c:pt idx="33">
                  <c:v>72067.792544140117</c:v>
                </c:pt>
                <c:pt idx="34">
                  <c:v>77800.43074884206</c:v>
                </c:pt>
                <c:pt idx="35">
                  <c:v>83197.555478645663</c:v>
                </c:pt>
                <c:pt idx="36">
                  <c:v>88186.651722858514</c:v>
                </c:pt>
                <c:pt idx="37">
                  <c:v>92721.144062683059</c:v>
                </c:pt>
                <c:pt idx="38">
                  <c:v>96779.47692189127</c:v>
                </c:pt>
                <c:pt idx="39">
                  <c:v>100361.89536644735</c:v>
                </c:pt>
                <c:pt idx="40">
                  <c:v>103485.90836951966</c:v>
                </c:pt>
                <c:pt idx="41">
                  <c:v>106181.35550439509</c:v>
                </c:pt>
                <c:pt idx="42">
                  <c:v>108485.77192327696</c:v>
                </c:pt>
                <c:pt idx="43">
                  <c:v>110440.46922649928</c:v>
                </c:pt>
                <c:pt idx="44">
                  <c:v>112087.50298024701</c:v>
                </c:pt>
                <c:pt idx="45">
                  <c:v>113467.51984426632</c:v>
                </c:pt>
                <c:pt idx="46">
                  <c:v>114618.37326952457</c:v>
                </c:pt>
                <c:pt idx="47">
                  <c:v>115574.35258754072</c:v>
                </c:pt>
                <c:pt idx="48">
                  <c:v>116365.86629109042</c:v>
                </c:pt>
                <c:pt idx="49">
                  <c:v>117019.43846495112</c:v>
                </c:pt>
                <c:pt idx="50">
                  <c:v>117557.90455388596</c:v>
                </c:pt>
                <c:pt idx="51">
                  <c:v>118000.72083815491</c:v>
                </c:pt>
                <c:pt idx="52">
                  <c:v>118364.32693351437</c:v>
                </c:pt>
                <c:pt idx="53">
                  <c:v>118662.52075413</c:v>
                </c:pt>
                <c:pt idx="54">
                  <c:v>118906.82057486635</c:v>
                </c:pt>
                <c:pt idx="55">
                  <c:v>119106.79972074972</c:v>
                </c:pt>
                <c:pt idx="56">
                  <c:v>119270.38685531846</c:v>
                </c:pt>
                <c:pt idx="57">
                  <c:v>119404.12968633957</c:v>
                </c:pt>
                <c:pt idx="58">
                  <c:v>119513.42288684215</c:v>
                </c:pt>
                <c:pt idx="59">
                  <c:v>119602.70271898822</c:v>
                </c:pt>
                <c:pt idx="60">
                  <c:v>119675.61168028983</c:v>
                </c:pt>
                <c:pt idx="61">
                  <c:v>119735.1367766308</c:v>
                </c:pt>
                <c:pt idx="62">
                  <c:v>119783.72497998876</c:v>
                </c:pt>
                <c:pt idx="63">
                  <c:v>119823.37919563067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fit'!$F$7:$F$70</c:f>
              <c:numCache>
                <c:formatCode>0</c:formatCode>
                <c:ptCount val="64"/>
                <c:pt idx="0">
                  <c:v>3783.3364752150542</c:v>
                </c:pt>
                <c:pt idx="1">
                  <c:v>3831.9246785730197</c:v>
                </c:pt>
                <c:pt idx="2">
                  <c:v>3891.4497749139664</c:v>
                </c:pt>
                <c:pt idx="3">
                  <c:v>3964.3587362155763</c:v>
                </c:pt>
                <c:pt idx="4">
                  <c:v>4053.6385683616586</c:v>
                </c:pt>
                <c:pt idx="5">
                  <c:v>4162.9317688642377</c:v>
                </c:pt>
                <c:pt idx="6">
                  <c:v>4296.674599885333</c:v>
                </c:pt>
                <c:pt idx="7">
                  <c:v>4460.2617344540786</c:v>
                </c:pt>
                <c:pt idx="8">
                  <c:v>4660.2408803374638</c:v>
                </c:pt>
                <c:pt idx="9">
                  <c:v>4904.5407010737963</c:v>
                </c:pt>
                <c:pt idx="10">
                  <c:v>5202.7345216894437</c:v>
                </c:pt>
                <c:pt idx="11">
                  <c:v>5566.3406170488979</c:v>
                </c:pt>
                <c:pt idx="12">
                  <c:v>6009.1569013178405</c:v>
                </c:pt>
                <c:pt idx="13">
                  <c:v>6547.6229902526993</c:v>
                </c:pt>
                <c:pt idx="14">
                  <c:v>7201.195164113391</c:v>
                </c:pt>
                <c:pt idx="15">
                  <c:v>7992.7088676630901</c:v>
                </c:pt>
                <c:pt idx="16">
                  <c:v>8948.6881856792406</c:v>
                </c:pt>
                <c:pt idx="17">
                  <c:v>10099.541610937491</c:v>
                </c:pt>
                <c:pt idx="18">
                  <c:v>11479.558474956801</c:v>
                </c:pt>
                <c:pt idx="19">
                  <c:v>13126.59222870452</c:v>
                </c:pt>
                <c:pt idx="20">
                  <c:v>15081.289531926859</c:v>
                </c:pt>
                <c:pt idx="21">
                  <c:v>17385.705950808719</c:v>
                </c:pt>
                <c:pt idx="22">
                  <c:v>20081.153085684145</c:v>
                </c:pt>
                <c:pt idx="23">
                  <c:v>23205.166088756447</c:v>
                </c:pt>
                <c:pt idx="24">
                  <c:v>26787.584533312536</c:v>
                </c:pt>
                <c:pt idx="25">
                  <c:v>30845.91739252074</c:v>
                </c:pt>
                <c:pt idx="26">
                  <c:v>35380.40973234531</c:v>
                </c:pt>
                <c:pt idx="27">
                  <c:v>40369.505976558146</c:v>
                </c:pt>
                <c:pt idx="28">
                  <c:v>45766.630706361757</c:v>
                </c:pt>
                <c:pt idx="29">
                  <c:v>51499.268911063686</c:v>
                </c:pt>
                <c:pt idx="30">
                  <c:v>57471.117229528994</c:v>
                </c:pt>
                <c:pt idx="31">
                  <c:v>63567.56145520381</c:v>
                </c:pt>
                <c:pt idx="32">
                  <c:v>69664.005680878647</c:v>
                </c:pt>
                <c:pt idx="33">
                  <c:v>75635.853999343934</c:v>
                </c:pt>
                <c:pt idx="34">
                  <c:v>81368.492204045877</c:v>
                </c:pt>
                <c:pt idx="35">
                  <c:v>86765.616933849466</c:v>
                </c:pt>
                <c:pt idx="36">
                  <c:v>91754.713178062317</c:v>
                </c:pt>
                <c:pt idx="37">
                  <c:v>96289.205517886876</c:v>
                </c:pt>
                <c:pt idx="38">
                  <c:v>100347.53837709507</c:v>
                </c:pt>
                <c:pt idx="39">
                  <c:v>103929.95682165117</c:v>
                </c:pt>
                <c:pt idx="40">
                  <c:v>107053.96982472346</c:v>
                </c:pt>
                <c:pt idx="41">
                  <c:v>109749.41695959889</c:v>
                </c:pt>
                <c:pt idx="42">
                  <c:v>112053.83337848078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65.072253705772255</c:v>
                </c:pt>
                <c:pt idx="15">
                  <c:v>856.58595725547093</c:v>
                </c:pt>
                <c:pt idx="16">
                  <c:v>1812.5652752716214</c:v>
                </c:pt>
                <c:pt idx="17">
                  <c:v>2963.4187005298718</c:v>
                </c:pt>
                <c:pt idx="18">
                  <c:v>4343.4355645491823</c:v>
                </c:pt>
                <c:pt idx="19">
                  <c:v>5990.4693182969004</c:v>
                </c:pt>
                <c:pt idx="20">
                  <c:v>7945.1666215192399</c:v>
                </c:pt>
                <c:pt idx="21">
                  <c:v>10249.583040401099</c:v>
                </c:pt>
                <c:pt idx="22">
                  <c:v>12945.030175276526</c:v>
                </c:pt>
                <c:pt idx="23">
                  <c:v>16069.043178348827</c:v>
                </c:pt>
                <c:pt idx="24">
                  <c:v>19651.461622904917</c:v>
                </c:pt>
                <c:pt idx="25">
                  <c:v>23709.79448211312</c:v>
                </c:pt>
                <c:pt idx="26">
                  <c:v>28244.286821937691</c:v>
                </c:pt>
                <c:pt idx="27">
                  <c:v>33233.383066150527</c:v>
                </c:pt>
                <c:pt idx="28">
                  <c:v>38630.507795954138</c:v>
                </c:pt>
                <c:pt idx="29">
                  <c:v>44363.146000656066</c:v>
                </c:pt>
                <c:pt idx="30">
                  <c:v>50334.994319121375</c:v>
                </c:pt>
                <c:pt idx="31">
                  <c:v>56431.43854479619</c:v>
                </c:pt>
                <c:pt idx="32">
                  <c:v>62527.88277047102</c:v>
                </c:pt>
                <c:pt idx="33">
                  <c:v>68499.7310889363</c:v>
                </c:pt>
                <c:pt idx="34">
                  <c:v>74232.369293638243</c:v>
                </c:pt>
                <c:pt idx="35">
                  <c:v>79629.494023441861</c:v>
                </c:pt>
                <c:pt idx="36">
                  <c:v>84618.590267654712</c:v>
                </c:pt>
                <c:pt idx="37">
                  <c:v>89153.082607479242</c:v>
                </c:pt>
                <c:pt idx="38">
                  <c:v>93211.415466687467</c:v>
                </c:pt>
                <c:pt idx="39">
                  <c:v>96793.833911243535</c:v>
                </c:pt>
                <c:pt idx="40">
                  <c:v>99917.846914315858</c:v>
                </c:pt>
                <c:pt idx="41">
                  <c:v>102613.29404919129</c:v>
                </c:pt>
                <c:pt idx="42">
                  <c:v>104917.71046807314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Boltzmann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Boltzmann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  <c:pt idx="42" formatCode="0">
                  <c:v>13915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Boltzmann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fit'!$I$7:$I$70</c:f>
              <c:numCache>
                <c:formatCode>0</c:formatCode>
                <c:ptCount val="64"/>
                <c:pt idx="0">
                  <c:v>13.606178974067443</c:v>
                </c:pt>
                <c:pt idx="1">
                  <c:v>16.752163739703768</c:v>
                </c:pt>
                <c:pt idx="2">
                  <c:v>20.62462546723857</c:v>
                </c:pt>
                <c:pt idx="3">
                  <c:v>25.390844523247651</c:v>
                </c:pt>
                <c:pt idx="4">
                  <c:v>31.256372815102459</c:v>
                </c:pt>
                <c:pt idx="5">
                  <c:v>38.473662685604189</c:v>
                </c:pt>
                <c:pt idx="6">
                  <c:v>47.352575784019812</c:v>
                </c:pt>
                <c:pt idx="7">
                  <c:v>58.273147528459482</c:v>
                </c:pt>
                <c:pt idx="8">
                  <c:v>71.701039860376667</c:v>
                </c:pt>
                <c:pt idx="9">
                  <c:v>88.206170628707739</c:v>
                </c:pt>
                <c:pt idx="10">
                  <c:v>108.48505485947784</c:v>
                </c:pt>
                <c:pt idx="11">
                  <c:v>133.38741936534961</c:v>
                </c:pt>
                <c:pt idx="12">
                  <c:v>163.94763865850507</c:v>
                </c:pt>
                <c:pt idx="13">
                  <c:v>201.4214580070807</c:v>
                </c:pt>
                <c:pt idx="14">
                  <c:v>247.32827598264961</c:v>
                </c:pt>
                <c:pt idx="15">
                  <c:v>303.49889297686389</c:v>
                </c:pt>
                <c:pt idx="16">
                  <c:v>372.1280101650994</c:v>
                </c:pt>
                <c:pt idx="17">
                  <c:v>455.82977585410674</c:v>
                </c:pt>
                <c:pt idx="18">
                  <c:v>557.69318984787878</c:v>
                </c:pt>
                <c:pt idx="19">
                  <c:v>681.33204668831706</c:v>
                </c:pt>
                <c:pt idx="20">
                  <c:v>830.92120121375092</c:v>
                </c:pt>
                <c:pt idx="21">
                  <c:v>1011.2072361277493</c:v>
                </c:pt>
                <c:pt idx="22">
                  <c:v>1227.4772609719296</c:v>
                </c:pt>
                <c:pt idx="23">
                  <c:v>1485.4651050435182</c:v>
                </c:pt>
                <c:pt idx="24">
                  <c:v>1791.1707038652439</c:v>
                </c:pt>
                <c:pt idx="25">
                  <c:v>2150.5679402010146</c:v>
                </c:pt>
                <c:pt idx="26">
                  <c:v>2569.1813589824737</c:v>
                </c:pt>
                <c:pt idx="27">
                  <c:v>3051.5262940453058</c:v>
                </c:pt>
                <c:pt idx="28">
                  <c:v>3600.4326791644849</c:v>
                </c:pt>
                <c:pt idx="29">
                  <c:v>4216.3101933029111</c:v>
                </c:pt>
                <c:pt idx="30">
                  <c:v>4896.4562041470372</c:v>
                </c:pt>
                <c:pt idx="31">
                  <c:v>5634.545913939919</c:v>
                </c:pt>
                <c:pt idx="32">
                  <c:v>6420.4578877627455</c:v>
                </c:pt>
                <c:pt idx="33">
                  <c:v>7240.5596534288843</c:v>
                </c:pt>
                <c:pt idx="34">
                  <c:v>8078.5</c:v>
                </c:pt>
                <c:pt idx="35">
                  <c:v>8916.4403465711148</c:v>
                </c:pt>
                <c:pt idx="36">
                  <c:v>9736.5421122372554</c:v>
                </c:pt>
                <c:pt idx="37">
                  <c:v>10522.454086060081</c:v>
                </c:pt>
                <c:pt idx="38">
                  <c:v>11260.543795852962</c:v>
                </c:pt>
                <c:pt idx="39">
                  <c:v>11940.689806697088</c:v>
                </c:pt>
                <c:pt idx="40">
                  <c:v>12556.567320835515</c:v>
                </c:pt>
                <c:pt idx="41">
                  <c:v>13105.473705954693</c:v>
                </c:pt>
                <c:pt idx="42">
                  <c:v>13587.818641017526</c:v>
                </c:pt>
                <c:pt idx="43">
                  <c:v>14006.432059798986</c:v>
                </c:pt>
                <c:pt idx="44">
                  <c:v>14365.829296134756</c:v>
                </c:pt>
                <c:pt idx="45">
                  <c:v>14671.534894956483</c:v>
                </c:pt>
                <c:pt idx="46">
                  <c:v>14929.522739028071</c:v>
                </c:pt>
                <c:pt idx="47">
                  <c:v>15145.79276387225</c:v>
                </c:pt>
                <c:pt idx="48">
                  <c:v>15326.07879878625</c:v>
                </c:pt>
                <c:pt idx="49">
                  <c:v>15475.667953311682</c:v>
                </c:pt>
                <c:pt idx="50">
                  <c:v>15599.306810152122</c:v>
                </c:pt>
                <c:pt idx="51">
                  <c:v>15701.170224145893</c:v>
                </c:pt>
                <c:pt idx="52">
                  <c:v>15784.871989834901</c:v>
                </c:pt>
                <c:pt idx="53">
                  <c:v>15853.501107023136</c:v>
                </c:pt>
                <c:pt idx="54">
                  <c:v>15909.671724017349</c:v>
                </c:pt>
                <c:pt idx="55">
                  <c:v>15955.578541992918</c:v>
                </c:pt>
                <c:pt idx="56">
                  <c:v>15993.052361341495</c:v>
                </c:pt>
                <c:pt idx="57">
                  <c:v>16023.612580634652</c:v>
                </c:pt>
                <c:pt idx="58">
                  <c:v>16048.514945140521</c:v>
                </c:pt>
                <c:pt idx="59">
                  <c:v>16068.793829371292</c:v>
                </c:pt>
                <c:pt idx="60">
                  <c:v>16085.298960139622</c:v>
                </c:pt>
                <c:pt idx="61">
                  <c:v>16098.72685247154</c:v>
                </c:pt>
                <c:pt idx="62">
                  <c:v>16109.647424215978</c:v>
                </c:pt>
                <c:pt idx="63">
                  <c:v>16118.526337314395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Boltzmann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fit'!$J$7:$J$70</c:f>
              <c:numCache>
                <c:formatCode>0</c:formatCode>
                <c:ptCount val="64"/>
                <c:pt idx="0">
                  <c:v>518.83648420306702</c:v>
                </c:pt>
                <c:pt idx="1">
                  <c:v>521.9824689687033</c:v>
                </c:pt>
                <c:pt idx="2">
                  <c:v>525.85493069623817</c:v>
                </c:pt>
                <c:pt idx="3">
                  <c:v>530.62114975224722</c:v>
                </c:pt>
                <c:pt idx="4">
                  <c:v>536.48667804410206</c:v>
                </c:pt>
                <c:pt idx="5">
                  <c:v>543.70396791460371</c:v>
                </c:pt>
                <c:pt idx="6">
                  <c:v>552.58288101301935</c:v>
                </c:pt>
                <c:pt idx="7">
                  <c:v>563.50345275745906</c:v>
                </c:pt>
                <c:pt idx="8">
                  <c:v>576.93134508937624</c:v>
                </c:pt>
                <c:pt idx="9">
                  <c:v>593.43647585770725</c:v>
                </c:pt>
                <c:pt idx="10">
                  <c:v>613.71536008847738</c:v>
                </c:pt>
                <c:pt idx="11">
                  <c:v>638.61772459434917</c:v>
                </c:pt>
                <c:pt idx="12">
                  <c:v>669.17794388750463</c:v>
                </c:pt>
                <c:pt idx="13">
                  <c:v>706.65176323608023</c:v>
                </c:pt>
                <c:pt idx="14">
                  <c:v>752.5585812116492</c:v>
                </c:pt>
                <c:pt idx="15">
                  <c:v>808.72919820586344</c:v>
                </c:pt>
                <c:pt idx="16">
                  <c:v>877.35831539409901</c:v>
                </c:pt>
                <c:pt idx="17">
                  <c:v>961.0600810831063</c:v>
                </c:pt>
                <c:pt idx="18">
                  <c:v>1062.9234950768782</c:v>
                </c:pt>
                <c:pt idx="19">
                  <c:v>1186.5623519173166</c:v>
                </c:pt>
                <c:pt idx="20">
                  <c:v>1336.1515064427504</c:v>
                </c:pt>
                <c:pt idx="21">
                  <c:v>1516.4375413567489</c:v>
                </c:pt>
                <c:pt idx="22">
                  <c:v>1732.7075662009293</c:v>
                </c:pt>
                <c:pt idx="23">
                  <c:v>1990.6954102725176</c:v>
                </c:pt>
                <c:pt idx="24">
                  <c:v>2296.4010090942434</c:v>
                </c:pt>
                <c:pt idx="25">
                  <c:v>2655.798245430014</c:v>
                </c:pt>
                <c:pt idx="26">
                  <c:v>3074.4116642114732</c:v>
                </c:pt>
                <c:pt idx="27">
                  <c:v>3556.7565992743052</c:v>
                </c:pt>
                <c:pt idx="28">
                  <c:v>4105.6629843934843</c:v>
                </c:pt>
                <c:pt idx="29">
                  <c:v>4721.540498531911</c:v>
                </c:pt>
                <c:pt idx="30">
                  <c:v>5401.6865093760371</c:v>
                </c:pt>
                <c:pt idx="31">
                  <c:v>6139.7762191689189</c:v>
                </c:pt>
                <c:pt idx="32">
                  <c:v>6925.6881929917454</c:v>
                </c:pt>
                <c:pt idx="33">
                  <c:v>7745.7899586578842</c:v>
                </c:pt>
                <c:pt idx="34">
                  <c:v>8583.730305228999</c:v>
                </c:pt>
                <c:pt idx="35">
                  <c:v>9421.6706518001138</c:v>
                </c:pt>
                <c:pt idx="36">
                  <c:v>10241.772417466254</c:v>
                </c:pt>
                <c:pt idx="37">
                  <c:v>11027.68439128908</c:v>
                </c:pt>
                <c:pt idx="38">
                  <c:v>11765.774101081961</c:v>
                </c:pt>
                <c:pt idx="39">
                  <c:v>12445.920111926087</c:v>
                </c:pt>
                <c:pt idx="40">
                  <c:v>13061.797626064514</c:v>
                </c:pt>
                <c:pt idx="41">
                  <c:v>13610.704011183692</c:v>
                </c:pt>
                <c:pt idx="42">
                  <c:v>14093.048946246525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Boltzmann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52.462884618879229</c:v>
                </c:pt>
                <c:pt idx="19">
                  <c:v>176.10174145931751</c:v>
                </c:pt>
                <c:pt idx="20">
                  <c:v>325.69089598475136</c:v>
                </c:pt>
                <c:pt idx="21">
                  <c:v>505.97693089874974</c:v>
                </c:pt>
                <c:pt idx="22">
                  <c:v>722.24695574293003</c:v>
                </c:pt>
                <c:pt idx="23">
                  <c:v>980.23479981451862</c:v>
                </c:pt>
                <c:pt idx="24">
                  <c:v>1285.9403986362445</c:v>
                </c:pt>
                <c:pt idx="25">
                  <c:v>1645.3376349720152</c:v>
                </c:pt>
                <c:pt idx="26">
                  <c:v>2063.9510537534743</c:v>
                </c:pt>
                <c:pt idx="27">
                  <c:v>2546.2959888163064</c:v>
                </c:pt>
                <c:pt idx="28">
                  <c:v>3095.2023739354854</c:v>
                </c:pt>
                <c:pt idx="29">
                  <c:v>3711.0798880739117</c:v>
                </c:pt>
                <c:pt idx="30">
                  <c:v>4391.2258989180373</c:v>
                </c:pt>
                <c:pt idx="31">
                  <c:v>5129.3156087109192</c:v>
                </c:pt>
                <c:pt idx="32">
                  <c:v>5915.2275825337456</c:v>
                </c:pt>
                <c:pt idx="33">
                  <c:v>6735.3293481998844</c:v>
                </c:pt>
                <c:pt idx="34">
                  <c:v>7573.2696947710001</c:v>
                </c:pt>
                <c:pt idx="35">
                  <c:v>8411.2100413421158</c:v>
                </c:pt>
                <c:pt idx="36">
                  <c:v>9231.3118070082564</c:v>
                </c:pt>
                <c:pt idx="37">
                  <c:v>10017.223780831082</c:v>
                </c:pt>
                <c:pt idx="38">
                  <c:v>10755.313490623963</c:v>
                </c:pt>
                <c:pt idx="39">
                  <c:v>11435.459501468089</c:v>
                </c:pt>
                <c:pt idx="40">
                  <c:v>12051.337015606516</c:v>
                </c:pt>
                <c:pt idx="41">
                  <c:v>12600.243400725694</c:v>
                </c:pt>
                <c:pt idx="42">
                  <c:v>13082.588335788527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fit'!$E$7:$E$70</c:f>
              <c:numCache>
                <c:formatCode>0</c:formatCode>
                <c:ptCount val="64"/>
                <c:pt idx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112.80218516762227</c:v>
                </c:pt>
                <c:pt idx="2">
                  <c:v>132.70393226550664</c:v>
                </c:pt>
                <c:pt idx="3">
                  <c:v>156.06949692460466</c:v>
                </c:pt>
                <c:pt idx="4">
                  <c:v>183.4834863246715</c:v>
                </c:pt>
                <c:pt idx="5">
                  <c:v>215.62215412514001</c:v>
                </c:pt>
                <c:pt idx="6">
                  <c:v>253.26504465702033</c:v>
                </c:pt>
                <c:pt idx="7">
                  <c:v>297.30701809754987</c:v>
                </c:pt>
                <c:pt idx="8">
                  <c:v>348.77014623812806</c:v>
                </c:pt>
                <c:pt idx="9">
                  <c:v>408.81470066280053</c:v>
                </c:pt>
                <c:pt idx="10">
                  <c:v>478.7480983388009</c:v>
                </c:pt>
                <c:pt idx="11">
                  <c:v>560.03020662764038</c:v>
                </c:pt>
                <c:pt idx="12">
                  <c:v>654.27282698691988</c:v>
                </c:pt>
                <c:pt idx="13">
                  <c:v>763.23047015342399</c:v>
                </c:pt>
                <c:pt idx="14">
                  <c:v>888.77872053660758</c:v>
                </c:pt>
                <c:pt idx="15">
                  <c:v>1032.8756124774363</c:v>
                </c:pt>
                <c:pt idx="16">
                  <c:v>1197.5006075100928</c:v>
                </c:pt>
                <c:pt idx="17">
                  <c:v>1384.5651487453761</c:v>
                </c:pt>
                <c:pt idx="18">
                  <c:v>1595.7886582322044</c:v>
                </c:pt>
                <c:pt idx="19">
                  <c:v>1832.5346408534224</c:v>
                </c:pt>
                <c:pt idx="20">
                  <c:v>2095.6037904930163</c:v>
                </c:pt>
                <c:pt idx="21">
                  <c:v>2384.9852620696583</c:v>
                </c:pt>
                <c:pt idx="22">
                  <c:v>2699.5741296579836</c:v>
                </c:pt>
                <c:pt idx="23">
                  <c:v>3036.8727718916271</c:v>
                </c:pt>
                <c:pt idx="24">
                  <c:v>3392.706162917344</c:v>
                </c:pt>
                <c:pt idx="25">
                  <c:v>3760.9944077614527</c:v>
                </c:pt>
                <c:pt idx="26">
                  <c:v>4133.6375484070304</c:v>
                </c:pt>
                <c:pt idx="27">
                  <c:v>4500.573430563476</c:v>
                </c:pt>
                <c:pt idx="28">
                  <c:v>4850.0641404897178</c:v>
                </c:pt>
                <c:pt idx="29">
                  <c:v>5169.2456749689081</c:v>
                </c:pt>
                <c:pt idx="30">
                  <c:v>5444.9374486808083</c:v>
                </c:pt>
                <c:pt idx="31">
                  <c:v>5664.6566100607088</c:v>
                </c:pt>
                <c:pt idx="32">
                  <c:v>5817.7271142859972</c:v>
                </c:pt>
                <c:pt idx="33">
                  <c:v>5896.3305040525593</c:v>
                </c:pt>
                <c:pt idx="34">
                  <c:v>5896.3305040525593</c:v>
                </c:pt>
                <c:pt idx="35">
                  <c:v>5817.7271142859972</c:v>
                </c:pt>
                <c:pt idx="36">
                  <c:v>5664.6566100607015</c:v>
                </c:pt>
                <c:pt idx="37">
                  <c:v>5444.9374486808083</c:v>
                </c:pt>
                <c:pt idx="38">
                  <c:v>5169.2456749689154</c:v>
                </c:pt>
                <c:pt idx="39">
                  <c:v>4850.0641404897178</c:v>
                </c:pt>
                <c:pt idx="40">
                  <c:v>4500.5734305634687</c:v>
                </c:pt>
                <c:pt idx="41">
                  <c:v>4133.6375484070304</c:v>
                </c:pt>
                <c:pt idx="42">
                  <c:v>3760.9944077614637</c:v>
                </c:pt>
                <c:pt idx="43">
                  <c:v>3392.7061629173404</c:v>
                </c:pt>
                <c:pt idx="44">
                  <c:v>3036.8727718916198</c:v>
                </c:pt>
                <c:pt idx="45">
                  <c:v>2699.5741296579945</c:v>
                </c:pt>
                <c:pt idx="46">
                  <c:v>2384.985262069662</c:v>
                </c:pt>
                <c:pt idx="47">
                  <c:v>2095.6037904930126</c:v>
                </c:pt>
                <c:pt idx="48">
                  <c:v>1832.5346408533951</c:v>
                </c:pt>
                <c:pt idx="49">
                  <c:v>1595.7886582322244</c:v>
                </c:pt>
                <c:pt idx="50">
                  <c:v>1384.5651487453724</c:v>
                </c:pt>
                <c:pt idx="51">
                  <c:v>1197.5006075100973</c:v>
                </c:pt>
                <c:pt idx="52">
                  <c:v>1032.8756124774227</c:v>
                </c:pt>
                <c:pt idx="53">
                  <c:v>888.77872053661849</c:v>
                </c:pt>
                <c:pt idx="54">
                  <c:v>763.23047015341581</c:v>
                </c:pt>
                <c:pt idx="55">
                  <c:v>654.27282698694034</c:v>
                </c:pt>
                <c:pt idx="56">
                  <c:v>560.03020662761992</c:v>
                </c:pt>
                <c:pt idx="57">
                  <c:v>478.74809833880863</c:v>
                </c:pt>
                <c:pt idx="58">
                  <c:v>408.81470066279871</c:v>
                </c:pt>
                <c:pt idx="59">
                  <c:v>348.77014623815194</c:v>
                </c:pt>
                <c:pt idx="60">
                  <c:v>297.30701809751918</c:v>
                </c:pt>
                <c:pt idx="61">
                  <c:v>253.26504465701873</c:v>
                </c:pt>
                <c:pt idx="62">
                  <c:v>215.62215412515798</c:v>
                </c:pt>
                <c:pt idx="63">
                  <c:v>183.48348632466514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fit'!$H$7:$H$70</c:f>
              <c:numCache>
                <c:formatCode>0</c:formatCode>
                <c:ptCount val="64"/>
                <c:pt idx="0">
                  <c:v>952.59713653703682</c:v>
                </c:pt>
                <c:pt idx="1">
                  <c:v>1065.3993217046591</c:v>
                </c:pt>
                <c:pt idx="2">
                  <c:v>1085.3010688025433</c:v>
                </c:pt>
                <c:pt idx="3">
                  <c:v>1108.6666334616416</c:v>
                </c:pt>
                <c:pt idx="4">
                  <c:v>1136.0806228617084</c:v>
                </c:pt>
                <c:pt idx="5">
                  <c:v>1168.2192906621767</c:v>
                </c:pt>
                <c:pt idx="6">
                  <c:v>1205.862181194057</c:v>
                </c:pt>
                <c:pt idx="7">
                  <c:v>1249.9041546345866</c:v>
                </c:pt>
                <c:pt idx="8">
                  <c:v>1301.3672827751648</c:v>
                </c:pt>
                <c:pt idx="9">
                  <c:v>1361.4118371998375</c:v>
                </c:pt>
                <c:pt idx="10">
                  <c:v>1431.3452348758378</c:v>
                </c:pt>
                <c:pt idx="11">
                  <c:v>1512.6273431646773</c:v>
                </c:pt>
                <c:pt idx="12">
                  <c:v>1606.8699635239568</c:v>
                </c:pt>
                <c:pt idx="13">
                  <c:v>1715.8276066904609</c:v>
                </c:pt>
                <c:pt idx="14">
                  <c:v>1841.3758570736445</c:v>
                </c:pt>
                <c:pt idx="15">
                  <c:v>1985.4727490144733</c:v>
                </c:pt>
                <c:pt idx="16">
                  <c:v>2150.0977440471297</c:v>
                </c:pt>
                <c:pt idx="17">
                  <c:v>2337.162285282413</c:v>
                </c:pt>
                <c:pt idx="18">
                  <c:v>2548.3857947692413</c:v>
                </c:pt>
                <c:pt idx="19">
                  <c:v>2785.1317773904593</c:v>
                </c:pt>
                <c:pt idx="20">
                  <c:v>3048.2009270300532</c:v>
                </c:pt>
                <c:pt idx="21">
                  <c:v>3337.5823986066953</c:v>
                </c:pt>
                <c:pt idx="22">
                  <c:v>3652.1712661950205</c:v>
                </c:pt>
                <c:pt idx="23">
                  <c:v>3989.469908428664</c:v>
                </c:pt>
                <c:pt idx="24">
                  <c:v>4345.303299454381</c:v>
                </c:pt>
                <c:pt idx="25">
                  <c:v>4713.5915442984897</c:v>
                </c:pt>
                <c:pt idx="26">
                  <c:v>5086.2346849440673</c:v>
                </c:pt>
                <c:pt idx="27">
                  <c:v>5453.1705671005129</c:v>
                </c:pt>
                <c:pt idx="28">
                  <c:v>5802.6612770267548</c:v>
                </c:pt>
                <c:pt idx="29">
                  <c:v>6121.8428115059451</c:v>
                </c:pt>
                <c:pt idx="30">
                  <c:v>6397.5345852178452</c:v>
                </c:pt>
                <c:pt idx="31">
                  <c:v>6617.2537465977457</c:v>
                </c:pt>
                <c:pt idx="32">
                  <c:v>6770.3242508230342</c:v>
                </c:pt>
                <c:pt idx="33">
                  <c:v>6848.9276405895962</c:v>
                </c:pt>
                <c:pt idx="34">
                  <c:v>6848.9276405895962</c:v>
                </c:pt>
                <c:pt idx="35">
                  <c:v>6770.3242508230342</c:v>
                </c:pt>
                <c:pt idx="36">
                  <c:v>6617.2537465977384</c:v>
                </c:pt>
                <c:pt idx="37">
                  <c:v>6397.5345852178452</c:v>
                </c:pt>
                <c:pt idx="38">
                  <c:v>6121.8428115059523</c:v>
                </c:pt>
                <c:pt idx="39">
                  <c:v>5802.6612770267548</c:v>
                </c:pt>
                <c:pt idx="40">
                  <c:v>5453.1705671005057</c:v>
                </c:pt>
                <c:pt idx="41">
                  <c:v>5086.2346849440673</c:v>
                </c:pt>
                <c:pt idx="42">
                  <c:v>4713.5915442985006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80.278475940399517</c:v>
                </c:pt>
                <c:pt idx="16">
                  <c:v>244.90347097305596</c:v>
                </c:pt>
                <c:pt idx="17">
                  <c:v>431.96801220833925</c:v>
                </c:pt>
                <c:pt idx="18">
                  <c:v>643.19152169516758</c:v>
                </c:pt>
                <c:pt idx="19">
                  <c:v>879.93750431638557</c:v>
                </c:pt>
                <c:pt idx="20">
                  <c:v>1143.0066539559793</c:v>
                </c:pt>
                <c:pt idx="21">
                  <c:v>1432.3881255326214</c:v>
                </c:pt>
                <c:pt idx="22">
                  <c:v>1746.9769931209466</c:v>
                </c:pt>
                <c:pt idx="23">
                  <c:v>2084.2756353545901</c:v>
                </c:pt>
                <c:pt idx="24">
                  <c:v>2440.1090263803071</c:v>
                </c:pt>
                <c:pt idx="25">
                  <c:v>2808.3972712244158</c:v>
                </c:pt>
                <c:pt idx="26">
                  <c:v>3181.0404118699935</c:v>
                </c:pt>
                <c:pt idx="27">
                  <c:v>3547.9762940264391</c:v>
                </c:pt>
                <c:pt idx="28">
                  <c:v>3897.4670039526809</c:v>
                </c:pt>
                <c:pt idx="29">
                  <c:v>4216.6485384318712</c:v>
                </c:pt>
                <c:pt idx="30">
                  <c:v>4492.3403121437714</c:v>
                </c:pt>
                <c:pt idx="31">
                  <c:v>4712.0594735236718</c:v>
                </c:pt>
                <c:pt idx="32">
                  <c:v>4865.1299777489603</c:v>
                </c:pt>
                <c:pt idx="33">
                  <c:v>4943.7333675155223</c:v>
                </c:pt>
                <c:pt idx="34">
                  <c:v>4943.7333675155223</c:v>
                </c:pt>
                <c:pt idx="35">
                  <c:v>4865.1299777489603</c:v>
                </c:pt>
                <c:pt idx="36">
                  <c:v>4712.0594735236646</c:v>
                </c:pt>
                <c:pt idx="37">
                  <c:v>4492.3403121437714</c:v>
                </c:pt>
                <c:pt idx="38">
                  <c:v>4216.6485384318785</c:v>
                </c:pt>
                <c:pt idx="39">
                  <c:v>3897.4670039526809</c:v>
                </c:pt>
                <c:pt idx="40">
                  <c:v>3547.9762940264318</c:v>
                </c:pt>
                <c:pt idx="41">
                  <c:v>3181.0404118699935</c:v>
                </c:pt>
                <c:pt idx="42">
                  <c:v>2808.3972712244267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Boltzmann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Boltzmann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fit'!$M$7:$M$70</c:f>
              <c:numCache>
                <c:formatCode>0</c:formatCode>
                <c:ptCount val="64"/>
                <c:pt idx="0">
                  <c:v>0</c:v>
                </c:pt>
                <c:pt idx="1">
                  <c:v>8.7000499835309029</c:v>
                </c:pt>
                <c:pt idx="2">
                  <c:v>10.230725092451351</c:v>
                </c:pt>
                <c:pt idx="3">
                  <c:v>12.028744441934236</c:v>
                </c:pt>
                <c:pt idx="4">
                  <c:v>14.14005042619705</c:v>
                </c:pt>
                <c:pt idx="5">
                  <c:v>16.618192658146427</c:v>
                </c:pt>
                <c:pt idx="6">
                  <c:v>19.525476853518938</c:v>
                </c:pt>
                <c:pt idx="7">
                  <c:v>22.934243866001793</c:v>
                </c:pt>
                <c:pt idx="8">
                  <c:v>26.928275530826596</c:v>
                </c:pt>
                <c:pt idx="9">
                  <c:v>31.604314331666018</c:v>
                </c:pt>
                <c:pt idx="10">
                  <c:v>37.073669733144214</c:v>
                </c:pt>
                <c:pt idx="11">
                  <c:v>43.46386381433328</c:v>
                </c:pt>
                <c:pt idx="12">
                  <c:v>50.920240768788403</c:v>
                </c:pt>
                <c:pt idx="13">
                  <c:v>59.607426781481649</c:v>
                </c:pt>
                <c:pt idx="14">
                  <c:v>69.710476452697321</c:v>
                </c:pt>
                <c:pt idx="15">
                  <c:v>81.435477102589914</c:v>
                </c:pt>
                <c:pt idx="16">
                  <c:v>95.009301337294346</c:v>
                </c:pt>
                <c:pt idx="17">
                  <c:v>110.67810101365058</c:v>
                </c:pt>
                <c:pt idx="18">
                  <c:v>128.70402482109694</c:v>
                </c:pt>
                <c:pt idx="19">
                  <c:v>149.35952448239209</c:v>
                </c:pt>
                <c:pt idx="20">
                  <c:v>172.91850585664019</c:v>
                </c:pt>
                <c:pt idx="21">
                  <c:v>199.64350646540674</c:v>
                </c:pt>
                <c:pt idx="22">
                  <c:v>229.76807960405995</c:v>
                </c:pt>
                <c:pt idx="23">
                  <c:v>263.47369298305171</c:v>
                </c:pt>
                <c:pt idx="24">
                  <c:v>300.86077798564088</c:v>
                </c:pt>
                <c:pt idx="25">
                  <c:v>341.9141737222667</c:v>
                </c:pt>
                <c:pt idx="26">
                  <c:v>386.46416860109957</c:v>
                </c:pt>
                <c:pt idx="27">
                  <c:v>434.14568091427554</c:v>
                </c:pt>
                <c:pt idx="28">
                  <c:v>484.3597815399703</c:v>
                </c:pt>
                <c:pt idx="29">
                  <c:v>536.24354671883384</c:v>
                </c:pt>
                <c:pt idx="30">
                  <c:v>588.65575066233123</c:v>
                </c:pt>
                <c:pt idx="31">
                  <c:v>640.18659236628719</c:v>
                </c:pt>
                <c:pt idx="32">
                  <c:v>689.19882076342128</c:v>
                </c:pt>
                <c:pt idx="33">
                  <c:v>733.90469589432178</c:v>
                </c:pt>
                <c:pt idx="34">
                  <c:v>772.47801692150551</c:v>
                </c:pt>
                <c:pt idx="35">
                  <c:v>803.19348380790325</c:v>
                </c:pt>
                <c:pt idx="36">
                  <c:v>824.57832021757531</c:v>
                </c:pt>
                <c:pt idx="37">
                  <c:v>835.55542152647831</c:v>
                </c:pt>
                <c:pt idx="38">
                  <c:v>835.55542152647649</c:v>
                </c:pt>
                <c:pt idx="39">
                  <c:v>824.57832021757713</c:v>
                </c:pt>
                <c:pt idx="40">
                  <c:v>803.19348380790507</c:v>
                </c:pt>
                <c:pt idx="41">
                  <c:v>772.4780169215046</c:v>
                </c:pt>
                <c:pt idx="42">
                  <c:v>733.90469589431996</c:v>
                </c:pt>
                <c:pt idx="43">
                  <c:v>689.19882076342219</c:v>
                </c:pt>
                <c:pt idx="44">
                  <c:v>640.18659236628628</c:v>
                </c:pt>
                <c:pt idx="45">
                  <c:v>588.65575066233032</c:v>
                </c:pt>
                <c:pt idx="46">
                  <c:v>536.24354671883702</c:v>
                </c:pt>
                <c:pt idx="47">
                  <c:v>484.35978153996984</c:v>
                </c:pt>
                <c:pt idx="48">
                  <c:v>434.14568091427645</c:v>
                </c:pt>
                <c:pt idx="49">
                  <c:v>386.46416860109821</c:v>
                </c:pt>
                <c:pt idx="50">
                  <c:v>341.91417372226715</c:v>
                </c:pt>
                <c:pt idx="51">
                  <c:v>300.86077798563929</c:v>
                </c:pt>
                <c:pt idx="52">
                  <c:v>263.47369298305421</c:v>
                </c:pt>
                <c:pt idx="53">
                  <c:v>229.76807960405858</c:v>
                </c:pt>
                <c:pt idx="54">
                  <c:v>199.64350646540697</c:v>
                </c:pt>
                <c:pt idx="55">
                  <c:v>172.91850585663997</c:v>
                </c:pt>
                <c:pt idx="56">
                  <c:v>149.35952448239186</c:v>
                </c:pt>
                <c:pt idx="57">
                  <c:v>128.70402482109421</c:v>
                </c:pt>
                <c:pt idx="58">
                  <c:v>110.67810101365467</c:v>
                </c:pt>
                <c:pt idx="59">
                  <c:v>95.009301337293437</c:v>
                </c:pt>
                <c:pt idx="60">
                  <c:v>81.435477102590085</c:v>
                </c:pt>
                <c:pt idx="61">
                  <c:v>69.71047645269573</c:v>
                </c:pt>
                <c:pt idx="62">
                  <c:v>59.607426781483809</c:v>
                </c:pt>
                <c:pt idx="63">
                  <c:v>50.920240768784424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4-4C6D-B8AE-A194F4E036FC}"/>
            </c:ext>
          </c:extLst>
        </c:ser>
        <c:ser>
          <c:idx val="6"/>
          <c:order val="6"/>
          <c:tx>
            <c:strRef>
              <c:f>'New_confirmed - Boltzmann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fit'!$N$7:$N$70</c:f>
              <c:numCache>
                <c:formatCode>0</c:formatCode>
                <c:ptCount val="64"/>
                <c:pt idx="0">
                  <c:v>124.93544145026314</c:v>
                </c:pt>
                <c:pt idx="1">
                  <c:v>133.63549143379404</c:v>
                </c:pt>
                <c:pt idx="2">
                  <c:v>135.16616654271451</c:v>
                </c:pt>
                <c:pt idx="3">
                  <c:v>136.96418589219738</c:v>
                </c:pt>
                <c:pt idx="4">
                  <c:v>139.07549187646021</c:v>
                </c:pt>
                <c:pt idx="5">
                  <c:v>141.55363410840957</c:v>
                </c:pt>
                <c:pt idx="6">
                  <c:v>144.46091830378208</c:v>
                </c:pt>
                <c:pt idx="7">
                  <c:v>147.86968531626493</c:v>
                </c:pt>
                <c:pt idx="8">
                  <c:v>151.86371698108974</c:v>
                </c:pt>
                <c:pt idx="9">
                  <c:v>156.53975578192916</c:v>
                </c:pt>
                <c:pt idx="10">
                  <c:v>162.00911118340736</c:v>
                </c:pt>
                <c:pt idx="11">
                  <c:v>168.39930526459642</c:v>
                </c:pt>
                <c:pt idx="12">
                  <c:v>175.85568221905154</c:v>
                </c:pt>
                <c:pt idx="13">
                  <c:v>184.54286823174479</c:v>
                </c:pt>
                <c:pt idx="14">
                  <c:v>194.64591790296046</c:v>
                </c:pt>
                <c:pt idx="15">
                  <c:v>206.37091855285306</c:v>
                </c:pt>
                <c:pt idx="16">
                  <c:v>219.94474278755749</c:v>
                </c:pt>
                <c:pt idx="17">
                  <c:v>235.61354246391372</c:v>
                </c:pt>
                <c:pt idx="18">
                  <c:v>253.63946627136008</c:v>
                </c:pt>
                <c:pt idx="19">
                  <c:v>274.29496593265526</c:v>
                </c:pt>
                <c:pt idx="20">
                  <c:v>297.85394730690336</c:v>
                </c:pt>
                <c:pt idx="21">
                  <c:v>324.57894791566991</c:v>
                </c:pt>
                <c:pt idx="22">
                  <c:v>354.70352105432312</c:v>
                </c:pt>
                <c:pt idx="23">
                  <c:v>388.40913443331488</c:v>
                </c:pt>
                <c:pt idx="24">
                  <c:v>425.79621943590405</c:v>
                </c:pt>
                <c:pt idx="25">
                  <c:v>466.84961517252987</c:v>
                </c:pt>
                <c:pt idx="26">
                  <c:v>511.39961005136274</c:v>
                </c:pt>
                <c:pt idx="27">
                  <c:v>559.08112236453871</c:v>
                </c:pt>
                <c:pt idx="28">
                  <c:v>609.29522299023347</c:v>
                </c:pt>
                <c:pt idx="29">
                  <c:v>661.17898816909701</c:v>
                </c:pt>
                <c:pt idx="30">
                  <c:v>713.5911921125944</c:v>
                </c:pt>
                <c:pt idx="31">
                  <c:v>765.12203381655036</c:v>
                </c:pt>
                <c:pt idx="32">
                  <c:v>814.13426221368445</c:v>
                </c:pt>
                <c:pt idx="33">
                  <c:v>858.84013734458495</c:v>
                </c:pt>
                <c:pt idx="34">
                  <c:v>897.41345837176868</c:v>
                </c:pt>
                <c:pt idx="35">
                  <c:v>928.12892525816642</c:v>
                </c:pt>
                <c:pt idx="36">
                  <c:v>949.51376166783848</c:v>
                </c:pt>
                <c:pt idx="37">
                  <c:v>960.49086297674148</c:v>
                </c:pt>
                <c:pt idx="38">
                  <c:v>960.49086297673966</c:v>
                </c:pt>
                <c:pt idx="39">
                  <c:v>949.5137616678403</c:v>
                </c:pt>
                <c:pt idx="40">
                  <c:v>928.12892525816824</c:v>
                </c:pt>
                <c:pt idx="41">
                  <c:v>897.41345837176777</c:v>
                </c:pt>
                <c:pt idx="42">
                  <c:v>858.84013734458313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4-4C6D-B8AE-A194F4E036FC}"/>
            </c:ext>
          </c:extLst>
        </c:ser>
        <c:ser>
          <c:idx val="7"/>
          <c:order val="7"/>
          <c:tx>
            <c:strRef>
              <c:f>'New_confirmed - Boltzmann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3.7685833708337952</c:v>
                </c:pt>
                <c:pt idx="19">
                  <c:v>24.424083032128948</c:v>
                </c:pt>
                <c:pt idx="20">
                  <c:v>47.983064406377054</c:v>
                </c:pt>
                <c:pt idx="21">
                  <c:v>74.708065015143603</c:v>
                </c:pt>
                <c:pt idx="22">
                  <c:v>104.83263815379681</c:v>
                </c:pt>
                <c:pt idx="23">
                  <c:v>138.53825153278856</c:v>
                </c:pt>
                <c:pt idx="24">
                  <c:v>175.92533653537774</c:v>
                </c:pt>
                <c:pt idx="25">
                  <c:v>216.97873227200355</c:v>
                </c:pt>
                <c:pt idx="26">
                  <c:v>261.5287271508364</c:v>
                </c:pt>
                <c:pt idx="27">
                  <c:v>309.21023946401237</c:v>
                </c:pt>
                <c:pt idx="28">
                  <c:v>359.42434008970713</c:v>
                </c:pt>
                <c:pt idx="29">
                  <c:v>411.30810526857067</c:v>
                </c:pt>
                <c:pt idx="30">
                  <c:v>463.72030921206806</c:v>
                </c:pt>
                <c:pt idx="31">
                  <c:v>515.25115091602402</c:v>
                </c:pt>
                <c:pt idx="32">
                  <c:v>564.26337931315811</c:v>
                </c:pt>
                <c:pt idx="33">
                  <c:v>608.96925444405861</c:v>
                </c:pt>
                <c:pt idx="34">
                  <c:v>647.54257547124234</c:v>
                </c:pt>
                <c:pt idx="35">
                  <c:v>678.25804235764008</c:v>
                </c:pt>
                <c:pt idx="36">
                  <c:v>699.64287876731214</c:v>
                </c:pt>
                <c:pt idx="37">
                  <c:v>710.61998007621514</c:v>
                </c:pt>
                <c:pt idx="38">
                  <c:v>710.61998007621332</c:v>
                </c:pt>
                <c:pt idx="39">
                  <c:v>699.64287876731396</c:v>
                </c:pt>
                <c:pt idx="40">
                  <c:v>678.2580423576419</c:v>
                </c:pt>
                <c:pt idx="41">
                  <c:v>647.54257547124143</c:v>
                </c:pt>
                <c:pt idx="42">
                  <c:v>608.96925444405679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541020</xdr:colOff>
      <xdr:row>2</xdr:row>
      <xdr:rowOff>152400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144779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8476706" y="1284514"/>
          <a:ext cx="6938554" cy="6131922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8031480" y="2609725"/>
            <a:ext cx="1828800" cy="12000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119998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4.904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0.9979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3568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0.62971</cdr:x>
      <cdr:y>0.445</cdr:y>
    </cdr:from>
    <cdr:to>
      <cdr:x>0.89315</cdr:x>
      <cdr:y>0.68256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371361" y="2702541"/>
          <a:ext cx="1828753" cy="144274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16157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4.803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0.9968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505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670560</xdr:colOff>
      <xdr:row>1</xdr:row>
      <xdr:rowOff>274320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4</xdr:row>
      <xdr:rowOff>228599</xdr:rowOff>
    </xdr:from>
    <xdr:to>
      <xdr:col>29</xdr:col>
      <xdr:colOff>99060</xdr:colOff>
      <xdr:row>37</xdr:row>
      <xdr:rowOff>144777</xdr:rowOff>
    </xdr:to>
    <xdr:grpSp>
      <xdr:nvGrpSpPr>
        <xdr:cNvPr id="20" name="Gruppo 19">
          <a:extLst>
            <a:ext uri="{FF2B5EF4-FFF2-40B4-BE49-F238E27FC236}">
              <a16:creationId xmlns:a16="http://schemas.microsoft.com/office/drawing/2014/main" id="{95F3DA41-4DFD-45B3-8167-891DCA1368C7}"/>
            </a:ext>
          </a:extLst>
        </xdr:cNvPr>
        <xdr:cNvGrpSpPr/>
      </xdr:nvGrpSpPr>
      <xdr:grpSpPr>
        <a:xfrm>
          <a:off x="11034849" y="1284513"/>
          <a:ext cx="6938554" cy="6131921"/>
          <a:chOff x="8846820" y="1287779"/>
          <a:chExt cx="6941820" cy="5303518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D25FE9E0-6E39-41D0-A756-6C7FAD1336E5}"/>
              </a:ext>
            </a:extLst>
          </xdr:cNvPr>
          <xdr:cNvGrpSpPr/>
        </xdr:nvGrpSpPr>
        <xdr:grpSpPr>
          <a:xfrm>
            <a:off x="8846820" y="1287779"/>
            <a:ext cx="6941820" cy="5303518"/>
            <a:chOff x="8846820" y="1287779"/>
            <a:chExt cx="6941820" cy="5303518"/>
          </a:xfrm>
        </xdr:grpSpPr>
        <xdr:grpSp>
          <xdr:nvGrpSpPr>
            <xdr:cNvPr id="18" name="Gruppo 17">
              <a:extLst>
                <a:ext uri="{FF2B5EF4-FFF2-40B4-BE49-F238E27FC236}">
                  <a16:creationId xmlns:a16="http://schemas.microsoft.com/office/drawing/2014/main" id="{2CA05283-5F31-4B63-8812-E61CCEB33C10}"/>
                </a:ext>
              </a:extLst>
            </xdr:cNvPr>
            <xdr:cNvGrpSpPr/>
          </xdr:nvGrpSpPr>
          <xdr:grpSpPr>
            <a:xfrm>
              <a:off x="8846820" y="1287779"/>
              <a:ext cx="6941820" cy="5303518"/>
              <a:chOff x="8846820" y="1287779"/>
              <a:chExt cx="6941820" cy="5303518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F5082D72-C1F7-4963-A285-6EBE98D385D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8846820" y="1287779"/>
              <a:ext cx="6941820" cy="530351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𝐵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)=</m:t>
                          </m:r>
                          <m:f>
                            <m:f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d>
                                <m:d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1+</m:t>
                                  </m:r>
                                  <m:sSup>
                                    <m:sSup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 </m:t>
                                      </m:r>
                                      <m:box>
                                        <m:box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boxPr>
                                        <m:e>
                                          <m:argPr>
                                            <m:argSz m:val="-1"/>
                                          </m:argPr>
                                          <m:f>
                                            <m:fPr>
                                              <m:ctrlP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fPr>
                                            <m:num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𝑡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0</m:t>
                                                  </m:r>
                                                </m:sub>
                                              </m:sSub>
                                            </m:num>
                                            <m:den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𝑤</m:t>
                                              </m:r>
                                            </m:den>
                                          </m:f>
                                        </m:e>
                                      </m:box>
                                    </m:sup>
                                  </m:sSup>
                                </m:e>
                              </m:d>
                            </m:den>
                          </m:f>
                        </m:oMath>
                      </m:oMathPara>
                    </a14:m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𝐵(𝑡)=𝐾/(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(1+𝑒^(− □(64&amp;(𝑡−𝑡_0)/𝑤)) ) )</a:t>
                    </a:r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  <xdr:cxnSp macro="">
          <xdr:nvCxnSpPr>
            <xdr:cNvPr id="7" name="Connettore diritto 6">
              <a:extLst>
                <a:ext uri="{FF2B5EF4-FFF2-40B4-BE49-F238E27FC236}">
                  <a16:creationId xmlns:a16="http://schemas.microsoft.com/office/drawing/2014/main" id="{F2565D0C-65C1-4565-A4DC-96DFBF81741D}"/>
                </a:ext>
              </a:extLst>
            </xdr:cNvPr>
            <xdr:cNvCxnSpPr/>
          </xdr:nvCxnSpPr>
          <xdr:spPr>
            <a:xfrm>
              <a:off x="9296400" y="2888717"/>
              <a:ext cx="3489960" cy="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𝑦=𝐵(𝑡+1)−𝐵(𝑡)</a:t>
                </a:r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18</xdr:col>
      <xdr:colOff>502920</xdr:colOff>
      <xdr:row>15</xdr:row>
      <xdr:rowOff>80556</xdr:rowOff>
    </xdr:from>
    <xdr:to>
      <xdr:col>21</xdr:col>
      <xdr:colOff>502920</xdr:colOff>
      <xdr:row>22</xdr:row>
      <xdr:rowOff>171995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9293C884-D776-4B8E-9F62-AF94A78AF218}"/>
            </a:ext>
          </a:extLst>
        </xdr:cNvPr>
        <xdr:cNvSpPr txBox="1"/>
      </xdr:nvSpPr>
      <xdr:spPr>
        <a:xfrm>
          <a:off x="11530149" y="3248299"/>
          <a:ext cx="1828800" cy="139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5910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6.090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0.9588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953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571500</xdr:colOff>
      <xdr:row>18</xdr:row>
      <xdr:rowOff>189411</xdr:rowOff>
    </xdr:from>
    <xdr:to>
      <xdr:col>28</xdr:col>
      <xdr:colOff>571453</xdr:colOff>
      <xdr:row>26</xdr:row>
      <xdr:rowOff>102325</xdr:rowOff>
    </xdr:to>
    <xdr:sp macro="" textlink="">
      <xdr:nvSpPr>
        <xdr:cNvPr id="16" name="CasellaDiTesto 6">
          <a:extLst>
            <a:ext uri="{FF2B5EF4-FFF2-40B4-BE49-F238E27FC236}">
              <a16:creationId xmlns:a16="http://schemas.microsoft.com/office/drawing/2014/main" id="{CEB1BF83-AB2A-4FDF-92A5-CE635460130E}"/>
            </a:ext>
          </a:extLst>
        </xdr:cNvPr>
        <xdr:cNvSpPr txBox="1"/>
      </xdr:nvSpPr>
      <xdr:spPr>
        <a:xfrm>
          <a:off x="16007443" y="3912325"/>
          <a:ext cx="1828753" cy="1426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837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6.135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0.9663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125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18</xdr:col>
      <xdr:colOff>449580</xdr:colOff>
      <xdr:row>29</xdr:row>
      <xdr:rowOff>22860</xdr:rowOff>
    </xdr:from>
    <xdr:to>
      <xdr:col>24</xdr:col>
      <xdr:colOff>137160</xdr:colOff>
      <xdr:row>29</xdr:row>
      <xdr:rowOff>22862</xdr:rowOff>
    </xdr:to>
    <xdr:cxnSp macro="">
      <xdr:nvCxnSpPr>
        <xdr:cNvPr id="17" name="Connettore diritto 16">
          <a:extLst>
            <a:ext uri="{FF2B5EF4-FFF2-40B4-BE49-F238E27FC236}">
              <a16:creationId xmlns:a16="http://schemas.microsoft.com/office/drawing/2014/main" id="{EB0DF4AC-5E4A-4DC2-BC30-DFE6FF957242}"/>
            </a:ext>
          </a:extLst>
        </xdr:cNvPr>
        <xdr:cNvCxnSpPr/>
      </xdr:nvCxnSpPr>
      <xdr:spPr>
        <a:xfrm>
          <a:off x="11460480" y="5775960"/>
          <a:ext cx="3489960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0.2082</cdr:x>
      <cdr:y>0.2356</cdr:y>
    </cdr:from>
    <cdr:to>
      <cdr:x>0.27706</cdr:x>
      <cdr:y>0.28115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0070C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C472245-A03D-4A71-9570-BE0D48B366C0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38269-E2C7-4D0F-B397-CB7C63C69247}" name="dpc_covid19_ita_andamento_nazionale__8" displayName="dpc_covid19_ita_andamento_nazionale__8" ref="A1:O40" tableType="queryTable" totalsRowShown="0">
  <autoFilter ref="A1:O40" xr:uid="{46EDFBA1-D4C7-48DD-807A-5BA4A2158DD5}"/>
  <tableColumns count="15">
    <tableColumn id="1" xr3:uid="{1597B4C5-C435-4062-B545-93C389BD10FD}" uniqueName="1" name="data" queryTableFieldId="1" dataDxfId="3"/>
    <tableColumn id="2" xr3:uid="{C9DFBF57-23AC-42CC-8F4C-3F76C465A55E}" uniqueName="2" name="stato" queryTableFieldId="2" dataDxfId="2"/>
    <tableColumn id="3" xr3:uid="{7604452C-2DC4-4E04-B26E-BEE2B3EAD53E}" uniqueName="3" name="ricoverati_con_sintomi" queryTableFieldId="3"/>
    <tableColumn id="4" xr3:uid="{8D512155-3BD5-4A69-B8CE-4331BA2012A3}" uniqueName="4" name="terapia_intensiva" queryTableFieldId="4"/>
    <tableColumn id="5" xr3:uid="{07E78C5F-AD7E-469D-BC71-DF89B9FC92E9}" uniqueName="5" name="totale_ospedalizzati" queryTableFieldId="5"/>
    <tableColumn id="6" xr3:uid="{5D1A6368-3039-481A-A029-D870A1988E2C}" uniqueName="6" name="isolamento_domiciliare" queryTableFieldId="6"/>
    <tableColumn id="7" xr3:uid="{ADDC5A4F-AC57-4C0C-84A4-956511D02C18}" uniqueName="7" name="totale_positivi" queryTableFieldId="7"/>
    <tableColumn id="8" xr3:uid="{3B9203F4-1719-494E-9E03-AF543553CB17}" uniqueName="8" name="variazione_totale_positivi" queryTableFieldId="8"/>
    <tableColumn id="9" xr3:uid="{8B11D556-1269-411C-B5B3-2C26B63DF39F}" uniqueName="9" name="nuovi_positivi" queryTableFieldId="9"/>
    <tableColumn id="10" xr3:uid="{89DACC67-0BA3-494B-AB48-C27AD24ABB7E}" uniqueName="10" name="dimessi_guariti" queryTableFieldId="10"/>
    <tableColumn id="11" xr3:uid="{F30DDA0F-52BB-496C-B126-1D724A447981}" uniqueName="11" name="deceduti" queryTableFieldId="11"/>
    <tableColumn id="12" xr3:uid="{4C74A0BB-6CDD-473A-B78A-4DF4E7DA6A3C}" uniqueName="12" name="totale_casi" queryTableFieldId="12"/>
    <tableColumn id="13" xr3:uid="{A612C32C-635D-4E7A-8FE9-8E4897D106AC}" uniqueName="13" name="tamponi" queryTableFieldId="13"/>
    <tableColumn id="14" xr3:uid="{C064B719-C1F9-47A4-B109-75B44C8FDA9D}" uniqueName="14" name="note_it" queryTableFieldId="14" dataDxfId="1"/>
    <tableColumn id="15" xr3:uid="{4ED24097-F667-4B3A-A74B-6206A5A621A4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72AF2297-8B28-419B-B702-DE9C5B9C6056}">
    <text>Worldometer data</text>
  </threadedComment>
  <threadedComment ref="B11" dT="2020-03-21T22:11:56.31" personId="{46504131-ADD3-4530-BCC7-16E4FED1C2C4}" id="{6AE41525-C545-4B83-8686-2D973E356B51}">
    <text>first red zones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(northern Italy)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6ABD3661-8066-4E44-BA0D-35D35302F623}">
    <text>Worldometer data</text>
  </threadedComment>
  <threadedComment ref="B11" dT="2020-03-21T22:11:56.31" personId="{46504131-ADD3-4530-BCC7-16E4FED1C2C4}" id="{6F280F21-F37E-4D54-8202-F02FF9F60413}">
    <text>first red zones</text>
  </threadedComment>
  <threadedComment ref="B17" dT="2020-03-21T22:12:51.46" personId="{46504131-ADD3-4530-BCC7-16E4FED1C2C4}" id="{8C2E90DC-6FBB-4F6F-A491-7F04B14E3003}">
    <text>partial lockdown (north)</text>
  </threadedComment>
  <threadedComment ref="B21" dT="2020-03-21T22:13:52.19" personId="{46504131-ADD3-4530-BCC7-16E4FED1C2C4}" id="{165FF3CB-B6DD-4A5B-BEAB-465BE46910E5}">
    <text>school closure (Italy)</text>
  </threadedComment>
  <threadedComment ref="B24" dT="2020-03-21T22:14:24.84" personId="{46504131-ADD3-4530-BCC7-16E4FED1C2C4}" id="{7F2EC179-DDA6-4C29-9AE2-3E7B978CA4FE}">
    <text>lockdown (northern Italy)</text>
  </threadedComment>
  <threadedComment ref="B26" dT="2020-03-21T22:14:52.14" personId="{46504131-ADD3-4530-BCC7-16E4FED1C2C4}" id="{330B5948-4F91-4530-8246-D8E052E48EC7}">
    <text>partial lockdown (Italy)</text>
  </threadedComment>
  <threadedComment ref="B28" dT="2020-03-21T22:15:16.77" personId="{46504131-ADD3-4530-BCC7-16E4FED1C2C4}" id="{B00751F2-9E53-4B46-A4E1-C852EDF26698}">
    <text>lockdown (Italy)</text>
  </threadedComment>
  <threadedComment ref="B39" dT="2020-03-23T21:41:16.67" personId="{46504131-ADD3-4530-BCC7-16E4FED1C2C4}" id="{F0A6F119-92D4-458E-9366-D89100014E7A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0"/>
  <sheetViews>
    <sheetView topLeftCell="A19" workbookViewId="0">
      <selection activeCell="K2" sqref="K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69</v>
      </c>
      <c r="H1" t="s">
        <v>70</v>
      </c>
      <c r="I1" t="s">
        <v>71</v>
      </c>
      <c r="J1" t="s">
        <v>20</v>
      </c>
      <c r="K1" t="s">
        <v>21</v>
      </c>
      <c r="L1" t="s">
        <v>22</v>
      </c>
      <c r="M1" t="s">
        <v>23</v>
      </c>
      <c r="N1" t="s">
        <v>30</v>
      </c>
      <c r="O1" t="s">
        <v>31</v>
      </c>
    </row>
    <row r="2" spans="1:15" x14ac:dyDescent="0.3">
      <c r="A2" s="19">
        <v>43885.75</v>
      </c>
      <c r="B2" s="18" t="s">
        <v>24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32</v>
      </c>
      <c r="O2" s="18" t="s">
        <v>32</v>
      </c>
    </row>
    <row r="3" spans="1:15" x14ac:dyDescent="0.3">
      <c r="A3" s="19">
        <v>43886.75</v>
      </c>
      <c r="B3" s="18" t="s">
        <v>24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32</v>
      </c>
      <c r="O3" s="18" t="s">
        <v>32</v>
      </c>
    </row>
    <row r="4" spans="1:15" x14ac:dyDescent="0.3">
      <c r="A4" s="19">
        <v>43887.75</v>
      </c>
      <c r="B4" s="18" t="s">
        <v>24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32</v>
      </c>
      <c r="O4" s="18" t="s">
        <v>32</v>
      </c>
    </row>
    <row r="5" spans="1:15" x14ac:dyDescent="0.3">
      <c r="A5" s="19">
        <v>43888.75</v>
      </c>
      <c r="B5" s="18" t="s">
        <v>24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32</v>
      </c>
      <c r="O5" s="18" t="s">
        <v>32</v>
      </c>
    </row>
    <row r="6" spans="1:15" x14ac:dyDescent="0.3">
      <c r="A6" s="19">
        <v>43889.75</v>
      </c>
      <c r="B6" s="18" t="s">
        <v>24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32</v>
      </c>
      <c r="O6" s="18" t="s">
        <v>32</v>
      </c>
    </row>
    <row r="7" spans="1:15" x14ac:dyDescent="0.3">
      <c r="A7" s="19">
        <v>43890.75</v>
      </c>
      <c r="B7" s="18" t="s">
        <v>24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32</v>
      </c>
      <c r="O7" s="18" t="s">
        <v>32</v>
      </c>
    </row>
    <row r="8" spans="1:15" x14ac:dyDescent="0.3">
      <c r="A8" s="19">
        <v>43891.75</v>
      </c>
      <c r="B8" s="18" t="s">
        <v>24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32</v>
      </c>
      <c r="O8" s="18" t="s">
        <v>32</v>
      </c>
    </row>
    <row r="9" spans="1:15" x14ac:dyDescent="0.3">
      <c r="A9" s="19">
        <v>43892.75</v>
      </c>
      <c r="B9" s="18" t="s">
        <v>24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32</v>
      </c>
      <c r="O9" s="18" t="s">
        <v>32</v>
      </c>
    </row>
    <row r="10" spans="1:15" x14ac:dyDescent="0.3">
      <c r="A10" s="19">
        <v>43893.75</v>
      </c>
      <c r="B10" s="18" t="s">
        <v>24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32</v>
      </c>
      <c r="O10" s="18" t="s">
        <v>32</v>
      </c>
    </row>
    <row r="11" spans="1:15" x14ac:dyDescent="0.3">
      <c r="A11" s="19">
        <v>43894.75</v>
      </c>
      <c r="B11" s="18" t="s">
        <v>24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32</v>
      </c>
      <c r="O11" s="18" t="s">
        <v>32</v>
      </c>
    </row>
    <row r="12" spans="1:15" x14ac:dyDescent="0.3">
      <c r="A12" s="19">
        <v>43895.75</v>
      </c>
      <c r="B12" s="18" t="s">
        <v>24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32</v>
      </c>
      <c r="O12" s="18" t="s">
        <v>32</v>
      </c>
    </row>
    <row r="13" spans="1:15" x14ac:dyDescent="0.3">
      <c r="A13" s="19">
        <v>43896.75</v>
      </c>
      <c r="B13" s="18" t="s">
        <v>24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32</v>
      </c>
      <c r="O13" s="18" t="s">
        <v>32</v>
      </c>
    </row>
    <row r="14" spans="1:15" x14ac:dyDescent="0.3">
      <c r="A14" s="19">
        <v>43897.75</v>
      </c>
      <c r="B14" s="18" t="s">
        <v>24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33</v>
      </c>
      <c r="O14" s="18" t="s">
        <v>34</v>
      </c>
    </row>
    <row r="15" spans="1:15" x14ac:dyDescent="0.3">
      <c r="A15" s="19">
        <v>43898.75</v>
      </c>
      <c r="B15" s="18" t="s">
        <v>24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32</v>
      </c>
      <c r="O15" s="18" t="s">
        <v>32</v>
      </c>
    </row>
    <row r="16" spans="1:15" x14ac:dyDescent="0.3">
      <c r="A16" s="19">
        <v>43899.75</v>
      </c>
      <c r="B16" s="18" t="s">
        <v>24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32</v>
      </c>
      <c r="O16" s="18" t="s">
        <v>32</v>
      </c>
    </row>
    <row r="17" spans="1:15" x14ac:dyDescent="0.3">
      <c r="A17" s="19">
        <v>43900.75</v>
      </c>
      <c r="B17" s="18" t="s">
        <v>24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35</v>
      </c>
      <c r="O17" s="18" t="s">
        <v>36</v>
      </c>
    </row>
    <row r="18" spans="1:15" x14ac:dyDescent="0.3">
      <c r="A18" s="19">
        <v>43901.708333333336</v>
      </c>
      <c r="B18" s="18" t="s">
        <v>24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37</v>
      </c>
      <c r="O18" s="18" t="s">
        <v>38</v>
      </c>
    </row>
    <row r="19" spans="1:15" x14ac:dyDescent="0.3">
      <c r="A19" s="19">
        <v>43902.708333333336</v>
      </c>
      <c r="B19" s="18" t="s">
        <v>24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32</v>
      </c>
      <c r="O19" s="18" t="s">
        <v>32</v>
      </c>
    </row>
    <row r="20" spans="1:15" x14ac:dyDescent="0.3">
      <c r="A20" s="19">
        <v>43903.708333333336</v>
      </c>
      <c r="B20" s="18" t="s">
        <v>24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32</v>
      </c>
      <c r="O20" s="18" t="s">
        <v>32</v>
      </c>
    </row>
    <row r="21" spans="1:15" x14ac:dyDescent="0.3">
      <c r="A21" s="19">
        <v>43904.708333333336</v>
      </c>
      <c r="B21" s="18" t="s">
        <v>24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32</v>
      </c>
      <c r="O21" s="18" t="s">
        <v>32</v>
      </c>
    </row>
    <row r="22" spans="1:15" x14ac:dyDescent="0.3">
      <c r="A22" s="19">
        <v>43905.708333333336</v>
      </c>
      <c r="B22" s="18" t="s">
        <v>24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32</v>
      </c>
      <c r="O22" s="18" t="s">
        <v>32</v>
      </c>
    </row>
    <row r="23" spans="1:15" x14ac:dyDescent="0.3">
      <c r="A23" s="19">
        <v>43906.708333333336</v>
      </c>
      <c r="B23" s="18" t="s">
        <v>24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39</v>
      </c>
      <c r="O23" s="18" t="s">
        <v>40</v>
      </c>
    </row>
    <row r="24" spans="1:15" x14ac:dyDescent="0.3">
      <c r="A24" s="19">
        <v>43907.708333333336</v>
      </c>
      <c r="B24" s="18" t="s">
        <v>24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41</v>
      </c>
      <c r="O24" s="18" t="s">
        <v>42</v>
      </c>
    </row>
    <row r="25" spans="1:15" x14ac:dyDescent="0.3">
      <c r="A25" s="19">
        <v>43908.708333333336</v>
      </c>
      <c r="B25" s="18" t="s">
        <v>24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43</v>
      </c>
      <c r="O25" s="18" t="s">
        <v>44</v>
      </c>
    </row>
    <row r="26" spans="1:15" x14ac:dyDescent="0.3">
      <c r="A26" s="19">
        <v>43909.708333333336</v>
      </c>
      <c r="B26" s="18" t="s">
        <v>24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32</v>
      </c>
      <c r="O26" s="18" t="s">
        <v>32</v>
      </c>
    </row>
    <row r="27" spans="1:15" x14ac:dyDescent="0.3">
      <c r="A27" s="19">
        <v>43910.708333333336</v>
      </c>
      <c r="B27" s="18" t="s">
        <v>24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32</v>
      </c>
      <c r="O27" s="18" t="s">
        <v>32</v>
      </c>
    </row>
    <row r="28" spans="1:15" x14ac:dyDescent="0.3">
      <c r="A28" s="19">
        <v>43911.708333333336</v>
      </c>
      <c r="B28" s="18" t="s">
        <v>24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32</v>
      </c>
      <c r="O28" s="18" t="s">
        <v>32</v>
      </c>
    </row>
    <row r="29" spans="1:15" x14ac:dyDescent="0.3">
      <c r="A29" s="19">
        <v>43912.708333333336</v>
      </c>
      <c r="B29" s="18" t="s">
        <v>24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32</v>
      </c>
      <c r="O29" s="18" t="s">
        <v>32</v>
      </c>
    </row>
    <row r="30" spans="1:15" x14ac:dyDescent="0.3">
      <c r="A30" s="19">
        <v>43913.708333333336</v>
      </c>
      <c r="B30" s="18" t="s">
        <v>24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32</v>
      </c>
      <c r="O30" s="18" t="s">
        <v>32</v>
      </c>
    </row>
    <row r="31" spans="1:15" x14ac:dyDescent="0.3">
      <c r="A31" s="19">
        <v>43914.708333333336</v>
      </c>
      <c r="B31" s="18" t="s">
        <v>24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32</v>
      </c>
      <c r="O31" s="18" t="s">
        <v>32</v>
      </c>
    </row>
    <row r="32" spans="1:15" x14ac:dyDescent="0.3">
      <c r="A32" s="19">
        <v>43915.708333333336</v>
      </c>
      <c r="B32" s="18" t="s">
        <v>24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32</v>
      </c>
      <c r="O32" s="18" t="s">
        <v>32</v>
      </c>
    </row>
    <row r="33" spans="1:15" x14ac:dyDescent="0.3">
      <c r="A33" s="19">
        <v>43916.708333333336</v>
      </c>
      <c r="B33" s="18" t="s">
        <v>24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45</v>
      </c>
      <c r="O33" s="18" t="s">
        <v>46</v>
      </c>
    </row>
    <row r="34" spans="1:15" x14ac:dyDescent="0.3">
      <c r="A34" s="19">
        <v>43917.708333333336</v>
      </c>
      <c r="B34" s="18" t="s">
        <v>24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32</v>
      </c>
      <c r="O34" s="18" t="s">
        <v>32</v>
      </c>
    </row>
    <row r="35" spans="1:15" x14ac:dyDescent="0.3">
      <c r="A35" s="19">
        <v>43918.708333333336</v>
      </c>
      <c r="B35" s="18" t="s">
        <v>24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32</v>
      </c>
      <c r="O35" s="18" t="s">
        <v>32</v>
      </c>
    </row>
    <row r="36" spans="1:15" x14ac:dyDescent="0.3">
      <c r="A36" s="19">
        <v>43919.708333333336</v>
      </c>
      <c r="B36" s="18" t="s">
        <v>24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51</v>
      </c>
      <c r="O36" s="18" t="s">
        <v>52</v>
      </c>
    </row>
    <row r="37" spans="1:15" x14ac:dyDescent="0.3">
      <c r="A37" s="19">
        <v>43920.708333333336</v>
      </c>
      <c r="B37" s="18" t="s">
        <v>24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32</v>
      </c>
      <c r="O37" s="18" t="s">
        <v>32</v>
      </c>
    </row>
    <row r="38" spans="1:15" x14ac:dyDescent="0.3">
      <c r="A38" s="19">
        <v>43921.708333333336</v>
      </c>
      <c r="B38" s="18" t="s">
        <v>24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32</v>
      </c>
      <c r="O38" s="18" t="s">
        <v>32</v>
      </c>
    </row>
    <row r="39" spans="1:15" x14ac:dyDescent="0.3">
      <c r="A39" s="19">
        <v>43922.708333333336</v>
      </c>
      <c r="B39" s="18" t="s">
        <v>24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8" t="s">
        <v>32</v>
      </c>
      <c r="O39" s="18" t="s">
        <v>32</v>
      </c>
    </row>
    <row r="40" spans="1:15" x14ac:dyDescent="0.3">
      <c r="A40" s="19">
        <v>43923.708333333336</v>
      </c>
      <c r="B40" s="18" t="s">
        <v>24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8" t="s">
        <v>32</v>
      </c>
      <c r="O40" s="18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72"/>
  <sheetViews>
    <sheetView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3"/>
      <c r="C3" s="14"/>
      <c r="D3" s="14"/>
      <c r="E3" s="14"/>
      <c r="F3" s="14"/>
      <c r="H3" s="14"/>
      <c r="I3" s="14"/>
      <c r="J3" s="14"/>
      <c r="O3" s="21" t="s">
        <v>0</v>
      </c>
      <c r="P3" s="20" t="s">
        <v>55</v>
      </c>
      <c r="Q3" s="17"/>
      <c r="R3" s="17"/>
    </row>
    <row r="4" spans="2:18" ht="20.399999999999999" x14ac:dyDescent="0.35">
      <c r="B4" s="16" t="s">
        <v>25</v>
      </c>
      <c r="C4" s="15"/>
      <c r="D4" s="14"/>
      <c r="E4" s="14"/>
      <c r="F4" s="14"/>
      <c r="H4" s="14"/>
      <c r="I4" s="14"/>
      <c r="J4" s="14"/>
      <c r="O4" s="21" t="s">
        <v>26</v>
      </c>
      <c r="P4" s="20" t="s">
        <v>56</v>
      </c>
      <c r="Q4" s="17"/>
      <c r="R4" s="17"/>
    </row>
    <row r="5" spans="2:18" ht="18" x14ac:dyDescent="0.35">
      <c r="B5" s="16" t="s">
        <v>57</v>
      </c>
      <c r="C5" s="14"/>
      <c r="D5" s="14"/>
      <c r="E5" s="14"/>
      <c r="F5" s="14"/>
      <c r="H5" s="14"/>
      <c r="I5" s="14"/>
      <c r="J5" s="14"/>
      <c r="O5" s="21" t="s">
        <v>1</v>
      </c>
      <c r="P5" s="20" t="s">
        <v>58</v>
      </c>
      <c r="Q5" s="17"/>
      <c r="R5" s="17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53</v>
      </c>
      <c r="I6" s="9" t="s">
        <v>54</v>
      </c>
      <c r="J6" s="9" t="s">
        <v>67</v>
      </c>
      <c r="K6" s="9" t="s">
        <v>68</v>
      </c>
      <c r="L6" s="9"/>
      <c r="M6" s="33" t="s">
        <v>50</v>
      </c>
      <c r="N6" s="3"/>
      <c r="O6" s="3"/>
    </row>
    <row r="7" spans="2:18" x14ac:dyDescent="0.3">
      <c r="B7" s="26">
        <v>43881</v>
      </c>
      <c r="C7" s="27">
        <v>1</v>
      </c>
      <c r="D7" s="28">
        <v>3</v>
      </c>
      <c r="E7" s="11">
        <f t="shared" ref="E7:E38" si="0">K/(1+EXP(-($C7-t0)/w))</f>
        <v>215.27502001124446</v>
      </c>
      <c r="F7" s="11">
        <f>E7+CI</f>
        <v>3783.3364752150542</v>
      </c>
      <c r="G7" s="11">
        <f>MAX(E7-CI,0)</f>
        <v>0</v>
      </c>
      <c r="H7" s="27">
        <v>0</v>
      </c>
      <c r="I7" s="11">
        <f t="shared" ref="I7:I38" si="1">Kh/(1+EXP(-($C7-t0h)/wh))</f>
        <v>13.606178974067443</v>
      </c>
      <c r="J7" s="11">
        <f t="shared" ref="J7:J47" si="2">I7+CIh</f>
        <v>518.83648420306702</v>
      </c>
      <c r="K7" s="11">
        <f t="shared" ref="K7:K46" si="3">MAX(I7-CIh,0)</f>
        <v>0</v>
      </c>
      <c r="L7" s="9"/>
      <c r="M7" s="22" t="s">
        <v>0</v>
      </c>
      <c r="N7" s="5">
        <v>119999</v>
      </c>
      <c r="O7" s="3"/>
    </row>
    <row r="8" spans="2:18" ht="15.6" x14ac:dyDescent="0.35">
      <c r="B8" s="26">
        <v>43882</v>
      </c>
      <c r="C8" s="27">
        <v>2</v>
      </c>
      <c r="D8" s="28">
        <v>20</v>
      </c>
      <c r="E8" s="11">
        <f t="shared" si="0"/>
        <v>263.86322336921</v>
      </c>
      <c r="F8" s="11">
        <f>E8+CI</f>
        <v>3831.9246785730197</v>
      </c>
      <c r="G8" s="11">
        <f>MAX(E8-CI,0)</f>
        <v>0</v>
      </c>
      <c r="H8" s="27">
        <v>1</v>
      </c>
      <c r="I8" s="11">
        <f t="shared" si="1"/>
        <v>16.752163739703768</v>
      </c>
      <c r="J8" s="11">
        <f t="shared" si="2"/>
        <v>521.9824689687033</v>
      </c>
      <c r="K8" s="11">
        <f t="shared" si="3"/>
        <v>0</v>
      </c>
      <c r="L8" s="9"/>
      <c r="M8" s="22" t="s">
        <v>27</v>
      </c>
      <c r="N8" s="5">
        <v>32</v>
      </c>
      <c r="O8" s="3"/>
    </row>
    <row r="9" spans="2:18" x14ac:dyDescent="0.3">
      <c r="B9" s="26">
        <v>43883</v>
      </c>
      <c r="C9" s="27">
        <v>3</v>
      </c>
      <c r="D9" s="28">
        <v>62</v>
      </c>
      <c r="E9" s="11">
        <f t="shared" si="0"/>
        <v>323.38831971015674</v>
      </c>
      <c r="F9" s="11">
        <f>E9+CI</f>
        <v>3891.4497749139664</v>
      </c>
      <c r="G9" s="11">
        <f>MAX(E9-CI,0)</f>
        <v>0</v>
      </c>
      <c r="H9" s="27">
        <v>2</v>
      </c>
      <c r="I9" s="11">
        <f t="shared" si="1"/>
        <v>20.62462546723857</v>
      </c>
      <c r="J9" s="11">
        <f t="shared" si="2"/>
        <v>525.85493069623817</v>
      </c>
      <c r="K9" s="11">
        <f t="shared" si="3"/>
        <v>0</v>
      </c>
      <c r="L9" s="9"/>
      <c r="M9" s="22" t="s">
        <v>1</v>
      </c>
      <c r="N9" s="25">
        <v>4.9038786550350366</v>
      </c>
      <c r="O9" s="3"/>
    </row>
    <row r="10" spans="2:18" x14ac:dyDescent="0.3">
      <c r="B10" s="26">
        <v>43884</v>
      </c>
      <c r="C10" s="27">
        <v>4</v>
      </c>
      <c r="D10" s="28">
        <v>155</v>
      </c>
      <c r="E10" s="11">
        <f t="shared" si="0"/>
        <v>396.29728101176681</v>
      </c>
      <c r="F10" s="11">
        <f>E10+CI</f>
        <v>3964.3587362155763</v>
      </c>
      <c r="G10" s="11">
        <f>MAX(E10-CI,0)</f>
        <v>0</v>
      </c>
      <c r="H10" s="27">
        <v>3</v>
      </c>
      <c r="I10" s="11">
        <f t="shared" si="1"/>
        <v>25.390844523247651</v>
      </c>
      <c r="J10" s="11">
        <f t="shared" si="2"/>
        <v>530.62114975224722</v>
      </c>
      <c r="K10" s="11">
        <f t="shared" si="3"/>
        <v>0</v>
      </c>
      <c r="L10" s="9"/>
      <c r="M10" s="6" t="s">
        <v>2</v>
      </c>
      <c r="N10" s="1">
        <f>AVERAGE(D7:D49)</f>
        <v>33474.302325581397</v>
      </c>
      <c r="O10" s="3"/>
    </row>
    <row r="11" spans="2:18" x14ac:dyDescent="0.3">
      <c r="B11" s="23">
        <v>43885</v>
      </c>
      <c r="C11" s="4">
        <v>5</v>
      </c>
      <c r="D11" s="11">
        <f>'dpc-covid19-ita-andamento-naz'!L2</f>
        <v>229</v>
      </c>
      <c r="E11" s="11">
        <f t="shared" si="0"/>
        <v>485.57711315784894</v>
      </c>
      <c r="F11" s="11">
        <f t="shared" ref="F11:F33" si="4">E11+CI</f>
        <v>4053.6385683616586</v>
      </c>
      <c r="G11" s="11">
        <f t="shared" ref="G11:G37" si="5">MAX(E11-CI,0)</f>
        <v>0</v>
      </c>
      <c r="H11" s="11">
        <f>'dpc-covid19-ita-andamento-naz'!K2</f>
        <v>7</v>
      </c>
      <c r="I11" s="11">
        <f t="shared" si="1"/>
        <v>31.256372815102459</v>
      </c>
      <c r="J11" s="11">
        <f t="shared" si="2"/>
        <v>536.48667804410206</v>
      </c>
      <c r="K11" s="11">
        <f t="shared" si="3"/>
        <v>0</v>
      </c>
      <c r="L11" s="1"/>
      <c r="M11" s="6" t="s">
        <v>3</v>
      </c>
      <c r="N11" s="1">
        <f>COUNT(D7:D49)-COUNT(N7:N9)</f>
        <v>40</v>
      </c>
    </row>
    <row r="12" spans="2:18" x14ac:dyDescent="0.3">
      <c r="B12" s="10">
        <v>43886</v>
      </c>
      <c r="C12" s="4">
        <v>6</v>
      </c>
      <c r="D12" s="11">
        <f>'dpc-covid19-ita-andamento-naz'!L3</f>
        <v>322</v>
      </c>
      <c r="E12" s="11">
        <f t="shared" si="0"/>
        <v>594.87031366042777</v>
      </c>
      <c r="F12" s="11">
        <f t="shared" si="4"/>
        <v>4162.9317688642377</v>
      </c>
      <c r="G12" s="11">
        <f t="shared" si="5"/>
        <v>0</v>
      </c>
      <c r="H12" s="11">
        <f>'dpc-covid19-ita-andamento-naz'!K3</f>
        <v>10</v>
      </c>
      <c r="I12" s="11">
        <f t="shared" si="1"/>
        <v>38.473662685604189</v>
      </c>
      <c r="J12" s="11">
        <f t="shared" si="2"/>
        <v>543.70396791460371</v>
      </c>
      <c r="K12" s="11">
        <f t="shared" si="3"/>
        <v>0</v>
      </c>
      <c r="L12" s="1"/>
      <c r="M12" s="6" t="s">
        <v>4</v>
      </c>
      <c r="N12" s="7" cm="1">
        <f t="array" ref="N12">SQRT(SUM((D7:D49-E7:E49)^2)/df)</f>
        <v>1765.4271940163032</v>
      </c>
    </row>
    <row r="13" spans="2:18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si="0"/>
        <v>728.61314468152341</v>
      </c>
      <c r="F13" s="11">
        <f t="shared" si="4"/>
        <v>4296.674599885333</v>
      </c>
      <c r="G13" s="11">
        <f t="shared" si="5"/>
        <v>0</v>
      </c>
      <c r="H13" s="11">
        <f>'dpc-covid19-ita-andamento-naz'!K4</f>
        <v>12</v>
      </c>
      <c r="I13" s="11">
        <f t="shared" si="1"/>
        <v>47.352575784019812</v>
      </c>
      <c r="J13" s="11">
        <f t="shared" si="2"/>
        <v>552.58288101301935</v>
      </c>
      <c r="K13" s="11">
        <f t="shared" si="3"/>
        <v>0</v>
      </c>
      <c r="L13" s="1"/>
      <c r="M13" s="6" t="s">
        <v>5</v>
      </c>
      <c r="N13" s="8" cm="1">
        <f t="array" ref="N13">1-SUM((D7:D49-E7:E49)^2)/SUM((D7:D49-Mean_of_y)^2)</f>
        <v>0.99794758334088518</v>
      </c>
    </row>
    <row r="14" spans="2:18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0"/>
        <v>892.20027925026898</v>
      </c>
      <c r="F14" s="11">
        <f t="shared" si="4"/>
        <v>4460.2617344540786</v>
      </c>
      <c r="G14" s="11">
        <f t="shared" si="5"/>
        <v>0</v>
      </c>
      <c r="H14" s="11">
        <f>'dpc-covid19-ita-andamento-naz'!K5</f>
        <v>17</v>
      </c>
      <c r="I14" s="11">
        <f t="shared" si="1"/>
        <v>58.273147528459482</v>
      </c>
      <c r="J14" s="11">
        <f t="shared" si="2"/>
        <v>563.50345275745906</v>
      </c>
      <c r="K14" s="11">
        <f t="shared" si="3"/>
        <v>0</v>
      </c>
      <c r="L14" s="1"/>
      <c r="M14" s="6" t="s">
        <v>6</v>
      </c>
      <c r="N14" s="8">
        <f>TINV(0.05,df)</f>
        <v>2.0210753903062737</v>
      </c>
    </row>
    <row r="15" spans="2:18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0"/>
        <v>1092.1794251336546</v>
      </c>
      <c r="F15" s="11">
        <f t="shared" si="4"/>
        <v>4660.2408803374638</v>
      </c>
      <c r="G15" s="11">
        <f t="shared" si="5"/>
        <v>0</v>
      </c>
      <c r="H15" s="11">
        <f>'dpc-covid19-ita-andamento-naz'!K6</f>
        <v>21</v>
      </c>
      <c r="I15" s="11">
        <f t="shared" si="1"/>
        <v>71.701039860376667</v>
      </c>
      <c r="J15" s="11">
        <f t="shared" si="2"/>
        <v>576.93134508937624</v>
      </c>
      <c r="K15" s="11">
        <f t="shared" si="3"/>
        <v>0</v>
      </c>
      <c r="L15" s="1"/>
      <c r="M15" s="6" t="s">
        <v>7</v>
      </c>
      <c r="N15" s="1">
        <f>Critical_t*SE_of_y</f>
        <v>3568.0614552038096</v>
      </c>
    </row>
    <row r="16" spans="2:18" x14ac:dyDescent="0.3">
      <c r="B16" s="10">
        <v>43890</v>
      </c>
      <c r="C16" s="4">
        <v>10</v>
      </c>
      <c r="D16" s="11">
        <f>'dpc-covid19-ita-andamento-naz'!L7</f>
        <v>1128</v>
      </c>
      <c r="E16" s="11">
        <f t="shared" si="0"/>
        <v>1336.4792458699862</v>
      </c>
      <c r="F16" s="11">
        <f t="shared" si="4"/>
        <v>4904.5407010737963</v>
      </c>
      <c r="G16" s="11">
        <f t="shared" si="5"/>
        <v>0</v>
      </c>
      <c r="H16" s="11">
        <f>'dpc-covid19-ita-andamento-naz'!K7</f>
        <v>29</v>
      </c>
      <c r="I16" s="11">
        <f t="shared" si="1"/>
        <v>88.206170628707739</v>
      </c>
      <c r="J16" s="11">
        <f t="shared" si="2"/>
        <v>593.43647585770725</v>
      </c>
      <c r="K16" s="11">
        <f t="shared" si="3"/>
        <v>0</v>
      </c>
      <c r="L16" s="1"/>
      <c r="M16" s="6"/>
    </row>
    <row r="17" spans="2:14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0"/>
        <v>1634.6730664856343</v>
      </c>
      <c r="F17" s="11">
        <f t="shared" si="4"/>
        <v>5202.7345216894437</v>
      </c>
      <c r="G17" s="11">
        <f t="shared" si="5"/>
        <v>0</v>
      </c>
      <c r="H17" s="11">
        <f>'dpc-covid19-ita-andamento-naz'!K8</f>
        <v>34</v>
      </c>
      <c r="I17" s="11">
        <f t="shared" si="1"/>
        <v>108.48505485947784</v>
      </c>
      <c r="J17" s="11">
        <f t="shared" si="2"/>
        <v>613.71536008847738</v>
      </c>
      <c r="K17" s="11">
        <f t="shared" si="3"/>
        <v>0</v>
      </c>
      <c r="L17" s="1"/>
      <c r="M17" s="24" t="s">
        <v>53</v>
      </c>
      <c r="N17" s="3"/>
    </row>
    <row r="18" spans="2:14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0"/>
        <v>1998.2791618450883</v>
      </c>
      <c r="F18" s="11">
        <f t="shared" si="4"/>
        <v>5566.3406170488979</v>
      </c>
      <c r="G18" s="11">
        <f t="shared" si="5"/>
        <v>0</v>
      </c>
      <c r="H18" s="11">
        <f>'dpc-covid19-ita-andamento-naz'!K9</f>
        <v>52</v>
      </c>
      <c r="I18" s="11">
        <f t="shared" si="1"/>
        <v>133.38741936534961</v>
      </c>
      <c r="J18" s="11">
        <f t="shared" si="2"/>
        <v>638.61772459434917</v>
      </c>
      <c r="K18" s="11">
        <f t="shared" si="3"/>
        <v>0</v>
      </c>
      <c r="L18" s="1"/>
      <c r="M18" s="22" t="s">
        <v>0</v>
      </c>
      <c r="N18" s="5">
        <v>16157</v>
      </c>
    </row>
    <row r="19" spans="2:14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0"/>
        <v>2441.0954461140309</v>
      </c>
      <c r="F19" s="11">
        <f t="shared" si="4"/>
        <v>6009.1569013178405</v>
      </c>
      <c r="G19" s="11">
        <f t="shared" si="5"/>
        <v>0</v>
      </c>
      <c r="H19" s="11">
        <f>'dpc-covid19-ita-andamento-naz'!K10</f>
        <v>79</v>
      </c>
      <c r="I19" s="11">
        <f t="shared" si="1"/>
        <v>163.94763865850507</v>
      </c>
      <c r="J19" s="11">
        <f t="shared" si="2"/>
        <v>669.17794388750463</v>
      </c>
      <c r="K19" s="11">
        <f t="shared" si="3"/>
        <v>0</v>
      </c>
      <c r="L19" s="1"/>
      <c r="M19" s="22" t="s">
        <v>27</v>
      </c>
      <c r="N19" s="5">
        <v>35</v>
      </c>
    </row>
    <row r="20" spans="2:14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0"/>
        <v>2979.5615350488893</v>
      </c>
      <c r="F20" s="11">
        <f t="shared" si="4"/>
        <v>6547.6229902526993</v>
      </c>
      <c r="G20" s="11">
        <f t="shared" si="5"/>
        <v>0</v>
      </c>
      <c r="H20" s="11">
        <f>'dpc-covid19-ita-andamento-naz'!K11</f>
        <v>107</v>
      </c>
      <c r="I20" s="11">
        <f t="shared" si="1"/>
        <v>201.4214580070807</v>
      </c>
      <c r="J20" s="11">
        <f t="shared" si="2"/>
        <v>706.65176323608023</v>
      </c>
      <c r="K20" s="11">
        <f t="shared" si="3"/>
        <v>0</v>
      </c>
      <c r="L20" s="1"/>
      <c r="M20" s="22" t="s">
        <v>1</v>
      </c>
      <c r="N20" s="25">
        <v>4.8031132077278427</v>
      </c>
    </row>
    <row r="21" spans="2:14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0"/>
        <v>3633.1337089095819</v>
      </c>
      <c r="F21" s="11">
        <f t="shared" si="4"/>
        <v>7201.195164113391</v>
      </c>
      <c r="G21" s="11">
        <f t="shared" si="5"/>
        <v>65.072253705772255</v>
      </c>
      <c r="H21" s="11">
        <f>'dpc-covid19-ita-andamento-naz'!K12</f>
        <v>148</v>
      </c>
      <c r="I21" s="11">
        <f t="shared" si="1"/>
        <v>247.32827598264961</v>
      </c>
      <c r="J21" s="11">
        <f t="shared" si="2"/>
        <v>752.5585812116492</v>
      </c>
      <c r="K21" s="11">
        <f t="shared" si="3"/>
        <v>0</v>
      </c>
      <c r="L21" s="1"/>
      <c r="M21" s="2" t="s">
        <v>2</v>
      </c>
      <c r="N21" s="1">
        <f>AVERAGE(H7:H49)</f>
        <v>3342.7441860465115</v>
      </c>
    </row>
    <row r="22" spans="2:14" x14ac:dyDescent="0.3">
      <c r="B22" s="10">
        <v>43896</v>
      </c>
      <c r="C22" s="4">
        <v>16</v>
      </c>
      <c r="D22" s="11">
        <f>'dpc-covid19-ita-andamento-naz'!L13</f>
        <v>4636</v>
      </c>
      <c r="E22" s="11">
        <f t="shared" si="0"/>
        <v>4424.6474124592805</v>
      </c>
      <c r="F22" s="11">
        <f t="shared" si="4"/>
        <v>7992.7088676630901</v>
      </c>
      <c r="G22" s="11">
        <f t="shared" si="5"/>
        <v>856.58595725547093</v>
      </c>
      <c r="H22" s="11">
        <f>'dpc-covid19-ita-andamento-naz'!K13</f>
        <v>197</v>
      </c>
      <c r="I22" s="11">
        <f t="shared" si="1"/>
        <v>303.49889297686389</v>
      </c>
      <c r="J22" s="11">
        <f t="shared" si="2"/>
        <v>808.72919820586344</v>
      </c>
      <c r="K22" s="11">
        <f t="shared" si="3"/>
        <v>0</v>
      </c>
      <c r="L22" s="1"/>
      <c r="M22" s="2" t="s">
        <v>3</v>
      </c>
      <c r="N22" s="1">
        <f>COUNT(H7:H49)-COUNT(N18:N20)</f>
        <v>40</v>
      </c>
    </row>
    <row r="23" spans="2:14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0"/>
        <v>5380.626730475431</v>
      </c>
      <c r="F23" s="11">
        <f t="shared" si="4"/>
        <v>8948.6881856792406</v>
      </c>
      <c r="G23" s="11">
        <f t="shared" si="5"/>
        <v>1812.5652752716214</v>
      </c>
      <c r="H23" s="11">
        <f>'dpc-covid19-ita-andamento-naz'!K14</f>
        <v>233</v>
      </c>
      <c r="I23" s="11">
        <f t="shared" si="1"/>
        <v>372.1280101650994</v>
      </c>
      <c r="J23" s="11">
        <f t="shared" si="2"/>
        <v>877.35831539409901</v>
      </c>
      <c r="K23" s="11">
        <f t="shared" si="3"/>
        <v>0</v>
      </c>
      <c r="L23" s="1"/>
      <c r="M23" s="2" t="s">
        <v>4</v>
      </c>
      <c r="N23" s="7" cm="1">
        <f t="array" ref="N23">SQRT(SUM((H7:H49-I7:I49)^2)/dfh)</f>
        <v>249.98092978235562</v>
      </c>
    </row>
    <row r="24" spans="2:14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0"/>
        <v>6531.4801557336814</v>
      </c>
      <c r="F24" s="11">
        <f t="shared" si="4"/>
        <v>10099.541610937491</v>
      </c>
      <c r="G24" s="11">
        <f t="shared" si="5"/>
        <v>2963.4187005298718</v>
      </c>
      <c r="H24" s="11">
        <f>'dpc-covid19-ita-andamento-naz'!K15</f>
        <v>366</v>
      </c>
      <c r="I24" s="11">
        <f t="shared" si="1"/>
        <v>455.82977585410674</v>
      </c>
      <c r="J24" s="11">
        <f t="shared" si="2"/>
        <v>961.0600810831063</v>
      </c>
      <c r="K24" s="11">
        <f t="shared" si="3"/>
        <v>0</v>
      </c>
      <c r="L24" s="1"/>
      <c r="M24" s="2" t="s">
        <v>5</v>
      </c>
      <c r="N24" s="8" cm="1">
        <f t="array" ref="N24">1-SUM((H7:H49-I7:I49)^2)/SUM((H7:H49-Mean_of_yh)^2)</f>
        <v>0.99684372367495067</v>
      </c>
    </row>
    <row r="25" spans="2:14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0"/>
        <v>7911.4970197529919</v>
      </c>
      <c r="F25" s="11">
        <f t="shared" si="4"/>
        <v>11479.558474956801</v>
      </c>
      <c r="G25" s="11">
        <f t="shared" si="5"/>
        <v>4343.4355645491823</v>
      </c>
      <c r="H25" s="11">
        <f>'dpc-covid19-ita-andamento-naz'!K16</f>
        <v>463</v>
      </c>
      <c r="I25" s="11">
        <f t="shared" si="1"/>
        <v>557.69318984787878</v>
      </c>
      <c r="J25" s="11">
        <f t="shared" si="2"/>
        <v>1062.9234950768782</v>
      </c>
      <c r="K25" s="11">
        <f t="shared" si="3"/>
        <v>52.462884618879229</v>
      </c>
      <c r="L25" s="1"/>
      <c r="M25" s="2" t="s">
        <v>6</v>
      </c>
      <c r="N25" s="8">
        <f>TINV(0.05,dfh)</f>
        <v>2.0210753903062737</v>
      </c>
    </row>
    <row r="26" spans="2:14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0"/>
        <v>9558.53077350071</v>
      </c>
      <c r="F26" s="11">
        <f t="shared" si="4"/>
        <v>13126.59222870452</v>
      </c>
      <c r="G26" s="11">
        <f t="shared" si="5"/>
        <v>5990.4693182969004</v>
      </c>
      <c r="H26" s="11">
        <f>'dpc-covid19-ita-andamento-naz'!K17</f>
        <v>631</v>
      </c>
      <c r="I26" s="11">
        <f t="shared" si="1"/>
        <v>681.33204668831706</v>
      </c>
      <c r="J26" s="11">
        <f t="shared" si="2"/>
        <v>1186.5623519173166</v>
      </c>
      <c r="K26" s="11">
        <f t="shared" si="3"/>
        <v>176.10174145931751</v>
      </c>
      <c r="L26" s="1"/>
      <c r="M26" s="2" t="s">
        <v>7</v>
      </c>
      <c r="N26" s="1">
        <f>Critical_th*SE_of_yh</f>
        <v>505.23030522899955</v>
      </c>
    </row>
    <row r="27" spans="2:14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0"/>
        <v>11513.22807672305</v>
      </c>
      <c r="F27" s="11">
        <f t="shared" si="4"/>
        <v>15081.289531926859</v>
      </c>
      <c r="G27" s="11">
        <f t="shared" si="5"/>
        <v>7945.1666215192399</v>
      </c>
      <c r="H27" s="11">
        <f>'dpc-covid19-ita-andamento-naz'!K18</f>
        <v>827</v>
      </c>
      <c r="I27" s="11">
        <f t="shared" si="1"/>
        <v>830.92120121375092</v>
      </c>
      <c r="J27" s="11">
        <f t="shared" si="2"/>
        <v>1336.1515064427504</v>
      </c>
      <c r="K27" s="11">
        <f t="shared" si="3"/>
        <v>325.69089598475136</v>
      </c>
      <c r="L27" s="1"/>
      <c r="M27" s="6"/>
    </row>
    <row r="28" spans="2:14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0"/>
        <v>13817.644495604909</v>
      </c>
      <c r="F28" s="11">
        <f t="shared" si="4"/>
        <v>17385.705950808719</v>
      </c>
      <c r="G28" s="11">
        <f t="shared" si="5"/>
        <v>10249.583040401099</v>
      </c>
      <c r="H28" s="11">
        <f>'dpc-covid19-ita-andamento-naz'!K19</f>
        <v>1016</v>
      </c>
      <c r="I28" s="11">
        <f t="shared" si="1"/>
        <v>1011.2072361277493</v>
      </c>
      <c r="J28" s="11">
        <f t="shared" si="2"/>
        <v>1516.4375413567489</v>
      </c>
      <c r="K28" s="11">
        <f t="shared" si="3"/>
        <v>505.97693089874974</v>
      </c>
      <c r="L28" s="1"/>
      <c r="M28" s="6"/>
    </row>
    <row r="29" spans="2:14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0"/>
        <v>16513.091630480336</v>
      </c>
      <c r="F29" s="11">
        <f t="shared" si="4"/>
        <v>20081.153085684145</v>
      </c>
      <c r="G29" s="11">
        <f t="shared" si="5"/>
        <v>12945.030175276526</v>
      </c>
      <c r="H29" s="11">
        <f>'dpc-covid19-ita-andamento-naz'!K20</f>
        <v>1266</v>
      </c>
      <c r="I29" s="11">
        <f t="shared" si="1"/>
        <v>1227.4772609719296</v>
      </c>
      <c r="J29" s="11">
        <f t="shared" si="2"/>
        <v>1732.7075662009293</v>
      </c>
      <c r="K29" s="11">
        <f t="shared" si="3"/>
        <v>722.24695574293003</v>
      </c>
      <c r="L29" s="1"/>
    </row>
    <row r="30" spans="2:14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0"/>
        <v>19637.104633552637</v>
      </c>
      <c r="F30" s="11">
        <f t="shared" si="4"/>
        <v>23205.166088756447</v>
      </c>
      <c r="G30" s="11">
        <f t="shared" si="5"/>
        <v>16069.043178348827</v>
      </c>
      <c r="H30" s="11">
        <f>'dpc-covid19-ita-andamento-naz'!K21</f>
        <v>1441</v>
      </c>
      <c r="I30" s="11">
        <f t="shared" si="1"/>
        <v>1485.4651050435182</v>
      </c>
      <c r="J30" s="11">
        <f t="shared" si="2"/>
        <v>1990.6954102725176</v>
      </c>
      <c r="K30" s="11">
        <f t="shared" si="3"/>
        <v>980.23479981451862</v>
      </c>
      <c r="L30" s="1"/>
    </row>
    <row r="31" spans="2:14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0"/>
        <v>23219.523078108727</v>
      </c>
      <c r="F31" s="11">
        <f t="shared" si="4"/>
        <v>26787.584533312536</v>
      </c>
      <c r="G31" s="11">
        <f t="shared" si="5"/>
        <v>19651.461622904917</v>
      </c>
      <c r="H31" s="11">
        <f>'dpc-covid19-ita-andamento-naz'!K22</f>
        <v>1809</v>
      </c>
      <c r="I31" s="11">
        <f t="shared" si="1"/>
        <v>1791.1707038652439</v>
      </c>
      <c r="J31" s="11">
        <f t="shared" si="2"/>
        <v>2296.4010090942434</v>
      </c>
      <c r="K31" s="11">
        <f t="shared" si="3"/>
        <v>1285.9403986362445</v>
      </c>
      <c r="L31" s="1"/>
    </row>
    <row r="32" spans="2:14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0"/>
        <v>27277.85593731693</v>
      </c>
      <c r="F32" s="11">
        <f t="shared" si="4"/>
        <v>30845.91739252074</v>
      </c>
      <c r="G32" s="11">
        <f t="shared" si="5"/>
        <v>23709.79448211312</v>
      </c>
      <c r="H32" s="11">
        <f>'dpc-covid19-ita-andamento-naz'!K23</f>
        <v>2158</v>
      </c>
      <c r="I32" s="11">
        <f t="shared" si="1"/>
        <v>2150.5679402010146</v>
      </c>
      <c r="J32" s="11">
        <f t="shared" si="2"/>
        <v>2655.798245430014</v>
      </c>
      <c r="K32" s="11">
        <f t="shared" si="3"/>
        <v>1645.3376349720152</v>
      </c>
      <c r="L32" s="1"/>
    </row>
    <row r="33" spans="2:17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0"/>
        <v>31812.3482771415</v>
      </c>
      <c r="F33" s="11">
        <f t="shared" si="4"/>
        <v>35380.40973234531</v>
      </c>
      <c r="G33" s="11">
        <f t="shared" si="5"/>
        <v>28244.286821937691</v>
      </c>
      <c r="H33" s="11">
        <f>'dpc-covid19-ita-andamento-naz'!K24</f>
        <v>2503</v>
      </c>
      <c r="I33" s="11">
        <f t="shared" si="1"/>
        <v>2569.1813589824737</v>
      </c>
      <c r="J33" s="11">
        <f t="shared" si="2"/>
        <v>3074.4116642114732</v>
      </c>
      <c r="K33" s="11">
        <f t="shared" si="3"/>
        <v>2063.9510537534743</v>
      </c>
      <c r="L33" s="1"/>
    </row>
    <row r="34" spans="2:17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0"/>
        <v>36801.444521354337</v>
      </c>
      <c r="F34" s="11">
        <f t="shared" ref="F34:F49" si="6">E34+CI</f>
        <v>40369.505976558146</v>
      </c>
      <c r="G34" s="11">
        <f t="shared" si="5"/>
        <v>33233.383066150527</v>
      </c>
      <c r="H34" s="11">
        <f>'dpc-covid19-ita-andamento-naz'!K25</f>
        <v>2978</v>
      </c>
      <c r="I34" s="11">
        <f t="shared" si="1"/>
        <v>3051.5262940453058</v>
      </c>
      <c r="J34" s="11">
        <f t="shared" si="2"/>
        <v>3556.7565992743052</v>
      </c>
      <c r="K34" s="11">
        <f t="shared" si="3"/>
        <v>2546.2959888163064</v>
      </c>
      <c r="Q34" s="1"/>
    </row>
    <row r="35" spans="2:17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0"/>
        <v>42198.569251157947</v>
      </c>
      <c r="F35" s="11">
        <f t="shared" si="6"/>
        <v>45766.630706361757</v>
      </c>
      <c r="G35" s="11">
        <f t="shared" si="5"/>
        <v>38630.507795954138</v>
      </c>
      <c r="H35" s="11">
        <f>'dpc-covid19-ita-andamento-naz'!K26</f>
        <v>3405</v>
      </c>
      <c r="I35" s="11">
        <f t="shared" si="1"/>
        <v>3600.4326791644849</v>
      </c>
      <c r="J35" s="11">
        <f t="shared" si="2"/>
        <v>4105.6629843934843</v>
      </c>
      <c r="K35" s="11">
        <f t="shared" si="3"/>
        <v>3095.2023739354854</v>
      </c>
    </row>
    <row r="36" spans="2:17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0"/>
        <v>47931.207455859876</v>
      </c>
      <c r="F36" s="11">
        <f t="shared" si="6"/>
        <v>51499.268911063686</v>
      </c>
      <c r="G36" s="11">
        <f t="shared" si="5"/>
        <v>44363.146000656066</v>
      </c>
      <c r="H36" s="11">
        <f>'dpc-covid19-ita-andamento-naz'!K27</f>
        <v>4032</v>
      </c>
      <c r="I36" s="11">
        <f t="shared" si="1"/>
        <v>4216.3101933029111</v>
      </c>
      <c r="J36" s="11">
        <f t="shared" si="2"/>
        <v>4721.540498531911</v>
      </c>
      <c r="K36" s="11">
        <f t="shared" si="3"/>
        <v>3711.0798880739117</v>
      </c>
    </row>
    <row r="37" spans="2:17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0"/>
        <v>53903.055774325185</v>
      </c>
      <c r="F37" s="11">
        <f t="shared" si="6"/>
        <v>57471.117229528994</v>
      </c>
      <c r="G37" s="11">
        <f t="shared" si="5"/>
        <v>50334.994319121375</v>
      </c>
      <c r="H37" s="11">
        <f>'dpc-covid19-ita-andamento-naz'!K28</f>
        <v>4825</v>
      </c>
      <c r="I37" s="11">
        <f t="shared" si="1"/>
        <v>4896.4562041470372</v>
      </c>
      <c r="J37" s="11">
        <f t="shared" si="2"/>
        <v>5401.6865093760371</v>
      </c>
      <c r="K37" s="11">
        <f t="shared" si="3"/>
        <v>4391.2258989180373</v>
      </c>
    </row>
    <row r="38" spans="2:17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0"/>
        <v>59999.5</v>
      </c>
      <c r="F38" s="11">
        <f t="shared" si="6"/>
        <v>63567.56145520381</v>
      </c>
      <c r="G38" s="11">
        <f t="shared" ref="G38:G49" si="7">MAX(E38-CI,0)</f>
        <v>56431.43854479619</v>
      </c>
      <c r="H38" s="11">
        <f>'dpc-covid19-ita-andamento-naz'!K29</f>
        <v>5476</v>
      </c>
      <c r="I38" s="11">
        <f t="shared" si="1"/>
        <v>5634.545913939919</v>
      </c>
      <c r="J38" s="11">
        <f t="shared" si="2"/>
        <v>6139.7762191689189</v>
      </c>
      <c r="K38" s="11">
        <f t="shared" si="3"/>
        <v>5129.3156087109192</v>
      </c>
    </row>
    <row r="39" spans="2:17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ref="E39:E70" si="8">K/(1+EXP(-($C39-t0)/w))</f>
        <v>66095.94422567483</v>
      </c>
      <c r="F39" s="11">
        <f t="shared" si="6"/>
        <v>69664.005680878647</v>
      </c>
      <c r="G39" s="11">
        <f t="shared" si="7"/>
        <v>62527.88277047102</v>
      </c>
      <c r="H39" s="11">
        <f>'dpc-covid19-ita-andamento-naz'!K30</f>
        <v>6077</v>
      </c>
      <c r="I39" s="11">
        <f t="shared" ref="I39:I70" si="9">Kh/(1+EXP(-($C39-t0h)/wh))</f>
        <v>6420.4578877627455</v>
      </c>
      <c r="J39" s="11">
        <f t="shared" si="2"/>
        <v>6925.6881929917454</v>
      </c>
      <c r="K39" s="11">
        <f t="shared" si="3"/>
        <v>5915.2275825337456</v>
      </c>
    </row>
    <row r="40" spans="2:17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8"/>
        <v>72067.792544140117</v>
      </c>
      <c r="F40" s="11">
        <f t="shared" si="6"/>
        <v>75635.853999343934</v>
      </c>
      <c r="G40" s="11">
        <f t="shared" si="7"/>
        <v>68499.7310889363</v>
      </c>
      <c r="H40" s="11">
        <f>'dpc-covid19-ita-andamento-naz'!K31</f>
        <v>6820</v>
      </c>
      <c r="I40" s="11">
        <f t="shared" si="9"/>
        <v>7240.5596534288843</v>
      </c>
      <c r="J40" s="11">
        <f t="shared" si="2"/>
        <v>7745.7899586578842</v>
      </c>
      <c r="K40" s="11">
        <f t="shared" si="3"/>
        <v>6735.3293481998844</v>
      </c>
    </row>
    <row r="41" spans="2:17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8"/>
        <v>77800.43074884206</v>
      </c>
      <c r="F41" s="11">
        <f t="shared" si="6"/>
        <v>81368.492204045877</v>
      </c>
      <c r="G41" s="11">
        <f t="shared" si="7"/>
        <v>74232.369293638243</v>
      </c>
      <c r="H41" s="11">
        <f>'dpc-covid19-ita-andamento-naz'!K32</f>
        <v>7503</v>
      </c>
      <c r="I41" s="11">
        <f t="shared" si="9"/>
        <v>8078.5</v>
      </c>
      <c r="J41" s="11">
        <f t="shared" si="2"/>
        <v>8583.730305228999</v>
      </c>
      <c r="K41" s="11">
        <f t="shared" si="3"/>
        <v>7573.2696947710001</v>
      </c>
    </row>
    <row r="42" spans="2:17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8"/>
        <v>83197.555478645663</v>
      </c>
      <c r="F42" s="11">
        <f t="shared" si="6"/>
        <v>86765.616933849466</v>
      </c>
      <c r="G42" s="11">
        <f t="shared" si="7"/>
        <v>79629.494023441861</v>
      </c>
      <c r="H42" s="11">
        <f>'dpc-covid19-ita-andamento-naz'!K33</f>
        <v>8165</v>
      </c>
      <c r="I42" s="11">
        <f t="shared" si="9"/>
        <v>8916.4403465711148</v>
      </c>
      <c r="J42" s="11">
        <f t="shared" si="2"/>
        <v>9421.6706518001138</v>
      </c>
      <c r="K42" s="11">
        <f t="shared" si="3"/>
        <v>8411.2100413421158</v>
      </c>
    </row>
    <row r="43" spans="2:17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8"/>
        <v>88186.651722858514</v>
      </c>
      <c r="F43" s="11">
        <f t="shared" si="6"/>
        <v>91754.713178062317</v>
      </c>
      <c r="G43" s="11">
        <f t="shared" si="7"/>
        <v>84618.590267654712</v>
      </c>
      <c r="H43" s="11">
        <f>'dpc-covid19-ita-andamento-naz'!K34</f>
        <v>9134</v>
      </c>
      <c r="I43" s="11">
        <f t="shared" si="9"/>
        <v>9736.5421122372554</v>
      </c>
      <c r="J43" s="11">
        <f t="shared" si="2"/>
        <v>10241.772417466254</v>
      </c>
      <c r="K43" s="11">
        <f t="shared" si="3"/>
        <v>9231.3118070082564</v>
      </c>
    </row>
    <row r="44" spans="2:17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8"/>
        <v>92721.144062683059</v>
      </c>
      <c r="F44" s="11">
        <f t="shared" si="6"/>
        <v>96289.205517886876</v>
      </c>
      <c r="G44" s="11">
        <f t="shared" si="7"/>
        <v>89153.082607479242</v>
      </c>
      <c r="H44" s="11">
        <f>'dpc-covid19-ita-andamento-naz'!K35</f>
        <v>10023</v>
      </c>
      <c r="I44" s="11">
        <f t="shared" si="9"/>
        <v>10522.454086060081</v>
      </c>
      <c r="J44" s="11">
        <f t="shared" si="2"/>
        <v>11027.68439128908</v>
      </c>
      <c r="K44" s="11">
        <f t="shared" si="3"/>
        <v>10017.223780831082</v>
      </c>
    </row>
    <row r="45" spans="2:17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8"/>
        <v>96779.47692189127</v>
      </c>
      <c r="F45" s="11">
        <f t="shared" si="6"/>
        <v>100347.53837709507</v>
      </c>
      <c r="G45" s="11">
        <f t="shared" si="7"/>
        <v>93211.415466687467</v>
      </c>
      <c r="H45" s="11">
        <f>'dpc-covid19-ita-andamento-naz'!K36</f>
        <v>10779</v>
      </c>
      <c r="I45" s="11">
        <f t="shared" si="9"/>
        <v>11260.543795852962</v>
      </c>
      <c r="J45" s="11">
        <f t="shared" si="2"/>
        <v>11765.774101081961</v>
      </c>
      <c r="K45" s="11">
        <f t="shared" si="3"/>
        <v>10755.313490623963</v>
      </c>
    </row>
    <row r="46" spans="2:17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8"/>
        <v>100361.89536644735</v>
      </c>
      <c r="F46" s="11">
        <f t="shared" si="6"/>
        <v>103929.95682165117</v>
      </c>
      <c r="G46" s="11">
        <f t="shared" si="7"/>
        <v>96793.833911243535</v>
      </c>
      <c r="H46" s="11">
        <f>'dpc-covid19-ita-andamento-naz'!K37</f>
        <v>11591</v>
      </c>
      <c r="I46" s="11">
        <f t="shared" si="9"/>
        <v>11940.689806697088</v>
      </c>
      <c r="J46" s="11">
        <f t="shared" si="2"/>
        <v>12445.920111926087</v>
      </c>
      <c r="K46" s="11">
        <f t="shared" si="3"/>
        <v>11435.459501468089</v>
      </c>
    </row>
    <row r="47" spans="2:17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8"/>
        <v>103485.90836951966</v>
      </c>
      <c r="F47" s="11">
        <f t="shared" si="6"/>
        <v>107053.96982472346</v>
      </c>
      <c r="G47" s="11">
        <f t="shared" si="7"/>
        <v>99917.846914315858</v>
      </c>
      <c r="H47" s="11">
        <f>'dpc-covid19-ita-andamento-naz'!K38</f>
        <v>12428</v>
      </c>
      <c r="I47" s="11">
        <f t="shared" si="9"/>
        <v>12556.567320835515</v>
      </c>
      <c r="J47" s="11">
        <f t="shared" si="2"/>
        <v>13061.797626064514</v>
      </c>
      <c r="K47" s="11">
        <f>MAX(I47-CIh,0)</f>
        <v>12051.337015606516</v>
      </c>
    </row>
    <row r="48" spans="2:17" x14ac:dyDescent="0.3">
      <c r="B48" s="10">
        <v>43922</v>
      </c>
      <c r="C48" s="4">
        <v>42</v>
      </c>
      <c r="D48" s="11">
        <f>'dpc-covid19-ita-andamento-naz'!L39</f>
        <v>110574</v>
      </c>
      <c r="E48" s="11">
        <f t="shared" si="8"/>
        <v>106181.35550439509</v>
      </c>
      <c r="F48" s="11">
        <f t="shared" si="6"/>
        <v>109749.41695959889</v>
      </c>
      <c r="G48" s="11">
        <f t="shared" si="7"/>
        <v>102613.29404919129</v>
      </c>
      <c r="H48" s="11">
        <f>'dpc-covid19-ita-andamento-naz'!K39</f>
        <v>13155</v>
      </c>
      <c r="I48" s="11">
        <f t="shared" si="9"/>
        <v>13105.473705954693</v>
      </c>
      <c r="J48" s="11">
        <f t="shared" ref="J48:J49" si="10">I48+CIh</f>
        <v>13610.704011183692</v>
      </c>
      <c r="K48" s="11">
        <f>MAX(I48-CIh,0)</f>
        <v>12600.243400725694</v>
      </c>
    </row>
    <row r="49" spans="2:11" x14ac:dyDescent="0.3">
      <c r="B49" s="10">
        <v>43923</v>
      </c>
      <c r="C49" s="4">
        <v>43</v>
      </c>
      <c r="D49" s="11">
        <f>'dpc-covid19-ita-andamento-naz'!L40</f>
        <v>115242</v>
      </c>
      <c r="E49" s="11">
        <f t="shared" si="8"/>
        <v>108485.77192327696</v>
      </c>
      <c r="F49" s="11">
        <f t="shared" si="6"/>
        <v>112053.83337848078</v>
      </c>
      <c r="G49" s="11">
        <f t="shared" si="7"/>
        <v>104917.71046807314</v>
      </c>
      <c r="H49" s="11">
        <f>'dpc-covid19-ita-andamento-naz'!K40</f>
        <v>13915</v>
      </c>
      <c r="I49" s="11">
        <f t="shared" si="9"/>
        <v>13587.818641017526</v>
      </c>
      <c r="J49" s="11">
        <f t="shared" si="10"/>
        <v>14093.048946246525</v>
      </c>
      <c r="K49" s="11">
        <f>MAX(I49-CIh,0)</f>
        <v>13082.588335788527</v>
      </c>
    </row>
    <row r="50" spans="2:11" x14ac:dyDescent="0.3">
      <c r="B50" s="10">
        <v>43924</v>
      </c>
      <c r="C50" s="4">
        <v>44</v>
      </c>
      <c r="E50" s="11">
        <f t="shared" si="8"/>
        <v>110440.46922649928</v>
      </c>
      <c r="I50" s="11">
        <f t="shared" si="9"/>
        <v>14006.432059798986</v>
      </c>
    </row>
    <row r="51" spans="2:11" x14ac:dyDescent="0.3">
      <c r="B51" s="10">
        <v>43925</v>
      </c>
      <c r="C51" s="4">
        <v>45</v>
      </c>
      <c r="E51" s="11">
        <f t="shared" si="8"/>
        <v>112087.50298024701</v>
      </c>
      <c r="I51" s="11">
        <f t="shared" si="9"/>
        <v>14365.829296134756</v>
      </c>
    </row>
    <row r="52" spans="2:11" x14ac:dyDescent="0.3">
      <c r="B52" s="10">
        <v>43926</v>
      </c>
      <c r="C52" s="4">
        <v>46</v>
      </c>
      <c r="E52" s="11">
        <f t="shared" si="8"/>
        <v>113467.51984426632</v>
      </c>
      <c r="I52" s="11">
        <f t="shared" si="9"/>
        <v>14671.534894956483</v>
      </c>
    </row>
    <row r="53" spans="2:11" x14ac:dyDescent="0.3">
      <c r="B53" s="10">
        <v>43927</v>
      </c>
      <c r="C53" s="4">
        <v>47</v>
      </c>
      <c r="E53" s="11">
        <f t="shared" si="8"/>
        <v>114618.37326952457</v>
      </c>
      <c r="I53" s="11">
        <f t="shared" si="9"/>
        <v>14929.522739028071</v>
      </c>
    </row>
    <row r="54" spans="2:11" x14ac:dyDescent="0.3">
      <c r="B54" s="10">
        <v>43928</v>
      </c>
      <c r="C54" s="4">
        <v>48</v>
      </c>
      <c r="E54" s="11">
        <f t="shared" si="8"/>
        <v>115574.35258754072</v>
      </c>
      <c r="I54" s="11">
        <f t="shared" si="9"/>
        <v>15145.79276387225</v>
      </c>
    </row>
    <row r="55" spans="2:11" x14ac:dyDescent="0.3">
      <c r="B55" s="10">
        <v>43929</v>
      </c>
      <c r="C55" s="4">
        <v>49</v>
      </c>
      <c r="E55" s="11">
        <f t="shared" si="8"/>
        <v>116365.86629109042</v>
      </c>
      <c r="I55" s="11">
        <f t="shared" si="9"/>
        <v>15326.07879878625</v>
      </c>
    </row>
    <row r="56" spans="2:11" x14ac:dyDescent="0.3">
      <c r="B56" s="10">
        <v>43930</v>
      </c>
      <c r="C56" s="4">
        <v>50</v>
      </c>
      <c r="E56" s="11">
        <f t="shared" si="8"/>
        <v>117019.43846495112</v>
      </c>
      <c r="I56" s="11">
        <f t="shared" si="9"/>
        <v>15475.667953311682</v>
      </c>
    </row>
    <row r="57" spans="2:11" x14ac:dyDescent="0.3">
      <c r="B57" s="10">
        <v>43931</v>
      </c>
      <c r="C57" s="4">
        <v>51</v>
      </c>
      <c r="E57" s="11">
        <f t="shared" si="8"/>
        <v>117557.90455388596</v>
      </c>
      <c r="I57" s="11">
        <f t="shared" si="9"/>
        <v>15599.306810152122</v>
      </c>
    </row>
    <row r="58" spans="2:11" x14ac:dyDescent="0.3">
      <c r="B58" s="10">
        <v>43932</v>
      </c>
      <c r="C58" s="4">
        <v>52</v>
      </c>
      <c r="E58" s="11">
        <f t="shared" si="8"/>
        <v>118000.72083815491</v>
      </c>
      <c r="I58" s="11">
        <f t="shared" si="9"/>
        <v>15701.170224145893</v>
      </c>
    </row>
    <row r="59" spans="2:11" x14ac:dyDescent="0.3">
      <c r="B59" s="10">
        <v>43933</v>
      </c>
      <c r="C59" s="4">
        <v>53</v>
      </c>
      <c r="E59" s="11">
        <f t="shared" si="8"/>
        <v>118364.32693351437</v>
      </c>
      <c r="I59" s="11">
        <f t="shared" si="9"/>
        <v>15784.871989834901</v>
      </c>
    </row>
    <row r="60" spans="2:11" x14ac:dyDescent="0.3">
      <c r="B60" s="10">
        <v>43934</v>
      </c>
      <c r="C60" s="4">
        <v>54</v>
      </c>
      <c r="E60" s="11">
        <f t="shared" si="8"/>
        <v>118662.52075413</v>
      </c>
      <c r="I60" s="11">
        <f t="shared" si="9"/>
        <v>15853.501107023136</v>
      </c>
    </row>
    <row r="61" spans="2:11" x14ac:dyDescent="0.3">
      <c r="B61" s="10">
        <v>43935</v>
      </c>
      <c r="C61" s="4">
        <v>55</v>
      </c>
      <c r="E61" s="11">
        <f t="shared" si="8"/>
        <v>118906.82057486635</v>
      </c>
      <c r="I61" s="11">
        <f t="shared" si="9"/>
        <v>15909.671724017349</v>
      </c>
    </row>
    <row r="62" spans="2:11" x14ac:dyDescent="0.3">
      <c r="B62" s="10">
        <v>43936</v>
      </c>
      <c r="C62" s="4">
        <v>56</v>
      </c>
      <c r="E62" s="11">
        <f t="shared" si="8"/>
        <v>119106.79972074972</v>
      </c>
      <c r="I62" s="11">
        <f t="shared" si="9"/>
        <v>15955.578541992918</v>
      </c>
    </row>
    <row r="63" spans="2:11" x14ac:dyDescent="0.3">
      <c r="B63" s="10">
        <v>43937</v>
      </c>
      <c r="C63" s="4">
        <v>57</v>
      </c>
      <c r="E63" s="11">
        <f t="shared" si="8"/>
        <v>119270.38685531846</v>
      </c>
      <c r="I63" s="11">
        <f t="shared" si="9"/>
        <v>15993.052361341495</v>
      </c>
    </row>
    <row r="64" spans="2:11" x14ac:dyDescent="0.3">
      <c r="B64" s="10">
        <v>43938</v>
      </c>
      <c r="C64" s="4">
        <v>58</v>
      </c>
      <c r="E64" s="11">
        <f t="shared" si="8"/>
        <v>119404.12968633957</v>
      </c>
      <c r="I64" s="11">
        <f t="shared" si="9"/>
        <v>16023.612580634652</v>
      </c>
    </row>
    <row r="65" spans="2:9" x14ac:dyDescent="0.3">
      <c r="B65" s="10">
        <v>43939</v>
      </c>
      <c r="C65" s="4">
        <v>59</v>
      </c>
      <c r="E65" s="11">
        <f t="shared" si="8"/>
        <v>119513.42288684215</v>
      </c>
      <c r="I65" s="11">
        <f t="shared" si="9"/>
        <v>16048.514945140521</v>
      </c>
    </row>
    <row r="66" spans="2:9" x14ac:dyDescent="0.3">
      <c r="B66" s="10">
        <v>43940</v>
      </c>
      <c r="C66" s="4">
        <v>60</v>
      </c>
      <c r="E66" s="11">
        <f t="shared" si="8"/>
        <v>119602.70271898822</v>
      </c>
      <c r="I66" s="11">
        <f t="shared" si="9"/>
        <v>16068.793829371292</v>
      </c>
    </row>
    <row r="67" spans="2:9" x14ac:dyDescent="0.3">
      <c r="B67" s="10">
        <v>43941</v>
      </c>
      <c r="C67" s="4">
        <v>61</v>
      </c>
      <c r="E67" s="11">
        <f t="shared" si="8"/>
        <v>119675.61168028983</v>
      </c>
      <c r="I67" s="11">
        <f t="shared" si="9"/>
        <v>16085.298960139622</v>
      </c>
    </row>
    <row r="68" spans="2:9" x14ac:dyDescent="0.3">
      <c r="B68" s="10">
        <v>43942</v>
      </c>
      <c r="C68" s="4">
        <v>62</v>
      </c>
      <c r="E68" s="11">
        <f t="shared" si="8"/>
        <v>119735.1367766308</v>
      </c>
      <c r="I68" s="11">
        <f t="shared" si="9"/>
        <v>16098.72685247154</v>
      </c>
    </row>
    <row r="69" spans="2:9" x14ac:dyDescent="0.3">
      <c r="B69" s="10">
        <v>43943</v>
      </c>
      <c r="C69" s="4">
        <v>63</v>
      </c>
      <c r="E69" s="11">
        <f t="shared" si="8"/>
        <v>119783.72497998876</v>
      </c>
      <c r="I69" s="11">
        <f t="shared" si="9"/>
        <v>16109.647424215978</v>
      </c>
    </row>
    <row r="70" spans="2:9" x14ac:dyDescent="0.3">
      <c r="B70" s="10">
        <v>43944</v>
      </c>
      <c r="C70" s="4">
        <v>64</v>
      </c>
      <c r="E70" s="11">
        <f t="shared" si="8"/>
        <v>119823.37919563067</v>
      </c>
      <c r="I70" s="11">
        <f t="shared" si="9"/>
        <v>16118.526337314395</v>
      </c>
    </row>
    <row r="71" spans="2:9" x14ac:dyDescent="0.3">
      <c r="B71" s="10"/>
      <c r="C71" s="4"/>
    </row>
    <row r="72" spans="2:9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tabSelected="1" zoomScale="70" zoomScaleNormal="70" workbookViewId="0">
      <selection activeCell="R13" sqref="R13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13</v>
      </c>
    </row>
    <row r="3" spans="2:22" ht="17.399999999999999" customHeight="1" x14ac:dyDescent="0.6">
      <c r="B3" s="13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S3" s="21" t="s">
        <v>0</v>
      </c>
      <c r="T3" s="20" t="s">
        <v>55</v>
      </c>
      <c r="U3" s="17"/>
      <c r="V3" s="17"/>
    </row>
    <row r="4" spans="2:22" ht="20.399999999999999" x14ac:dyDescent="0.35">
      <c r="B4" s="16" t="s">
        <v>25</v>
      </c>
      <c r="C4" s="15"/>
      <c r="D4" s="14"/>
      <c r="E4" s="14"/>
      <c r="F4" s="14"/>
      <c r="G4" s="14"/>
      <c r="H4" s="14"/>
      <c r="J4" s="14"/>
      <c r="K4" s="14"/>
      <c r="L4" s="14"/>
      <c r="M4" s="14"/>
      <c r="N4" s="14"/>
      <c r="S4" s="21" t="s">
        <v>26</v>
      </c>
      <c r="T4" s="20" t="s">
        <v>56</v>
      </c>
      <c r="U4" s="17"/>
      <c r="V4" s="17"/>
    </row>
    <row r="5" spans="2:22" ht="18" x14ac:dyDescent="0.35">
      <c r="B5" s="16" t="s">
        <v>57</v>
      </c>
      <c r="C5" s="14"/>
      <c r="D5" s="14"/>
      <c r="E5" s="14"/>
      <c r="F5" s="14"/>
      <c r="G5" s="14"/>
      <c r="H5" s="14"/>
      <c r="J5" s="14"/>
      <c r="K5" s="14"/>
      <c r="L5" s="14"/>
      <c r="M5" s="14"/>
      <c r="N5" s="14"/>
      <c r="S5" s="21" t="s">
        <v>1</v>
      </c>
      <c r="T5" s="20" t="s">
        <v>58</v>
      </c>
      <c r="U5" s="17"/>
      <c r="V5" s="17"/>
    </row>
    <row r="6" spans="2:22" x14ac:dyDescent="0.3">
      <c r="B6" s="4" t="s">
        <v>10</v>
      </c>
      <c r="C6" s="4" t="s">
        <v>11</v>
      </c>
      <c r="D6" s="4" t="s">
        <v>28</v>
      </c>
      <c r="E6" s="4" t="s">
        <v>29</v>
      </c>
      <c r="F6" s="9" t="s">
        <v>59</v>
      </c>
      <c r="G6" s="9" t="s">
        <v>60</v>
      </c>
      <c r="H6" s="9" t="s">
        <v>8</v>
      </c>
      <c r="I6" s="9" t="s">
        <v>9</v>
      </c>
      <c r="J6" s="4" t="s">
        <v>61</v>
      </c>
      <c r="K6" s="4" t="s">
        <v>62</v>
      </c>
      <c r="L6" s="9" t="s">
        <v>63</v>
      </c>
      <c r="M6" s="9" t="s">
        <v>64</v>
      </c>
      <c r="N6" s="9" t="s">
        <v>65</v>
      </c>
      <c r="O6" s="9" t="s">
        <v>66</v>
      </c>
      <c r="P6" s="9"/>
      <c r="Q6" s="29" t="s">
        <v>50</v>
      </c>
      <c r="R6" s="3"/>
      <c r="S6" s="3"/>
    </row>
    <row r="7" spans="2:22" x14ac:dyDescent="0.3">
      <c r="B7" s="26">
        <v>43881</v>
      </c>
      <c r="C7" s="27">
        <v>1</v>
      </c>
      <c r="D7" s="28">
        <v>3</v>
      </c>
      <c r="E7" s="11">
        <f>D7-D7</f>
        <v>0</v>
      </c>
      <c r="F7" s="11">
        <f t="shared" ref="F7:F38" si="0">Kn/(1+EXP(-($C7-t0n)/wn))</f>
        <v>635.42784877474344</v>
      </c>
      <c r="G7" s="11">
        <f>F7-F7</f>
        <v>0</v>
      </c>
      <c r="H7" s="11">
        <f>G7+CIn</f>
        <v>952.59713653703682</v>
      </c>
      <c r="I7" s="11">
        <f>MAX(G7-CIn,0)</f>
        <v>0</v>
      </c>
      <c r="J7" s="27">
        <v>0</v>
      </c>
      <c r="K7" s="11">
        <f>J7-J7</f>
        <v>0</v>
      </c>
      <c r="L7" s="11">
        <f t="shared" ref="L7:L38" si="1">Kd/(1+EXP(-($C7-t0d)/wd))</f>
        <v>49.284803957188672</v>
      </c>
      <c r="M7" s="11">
        <f>L7-L7</f>
        <v>0</v>
      </c>
      <c r="N7" s="11">
        <f t="shared" ref="N7:N46" si="2">M7+CId</f>
        <v>124.93544145026314</v>
      </c>
      <c r="O7" s="11">
        <f t="shared" ref="O7:O46" si="3">MAX(M7-CId,0)</f>
        <v>0</v>
      </c>
      <c r="P7" s="9"/>
      <c r="Q7" s="22" t="s">
        <v>0</v>
      </c>
      <c r="R7" s="5">
        <v>143961</v>
      </c>
      <c r="S7" s="3"/>
    </row>
    <row r="8" spans="2:22" ht="15.6" x14ac:dyDescent="0.35">
      <c r="B8" s="26">
        <v>43882</v>
      </c>
      <c r="C8" s="27">
        <v>2</v>
      </c>
      <c r="D8" s="28">
        <v>20</v>
      </c>
      <c r="E8" s="11">
        <f>D8-D7</f>
        <v>17</v>
      </c>
      <c r="F8" s="11">
        <f t="shared" si="0"/>
        <v>748.23003394236571</v>
      </c>
      <c r="G8" s="11">
        <f>F8-F7</f>
        <v>112.80218516762227</v>
      </c>
      <c r="H8" s="11">
        <f>G8+CIn</f>
        <v>1065.3993217046591</v>
      </c>
      <c r="I8" s="11">
        <f>MAX(G8-CIn,0)</f>
        <v>0</v>
      </c>
      <c r="J8" s="27">
        <v>1</v>
      </c>
      <c r="K8" s="11">
        <f t="shared" ref="K8:K49" si="4">J8-J7</f>
        <v>1</v>
      </c>
      <c r="L8" s="11">
        <f t="shared" si="1"/>
        <v>57.984853940719574</v>
      </c>
      <c r="M8" s="11">
        <f>L8-L7</f>
        <v>8.7000499835309029</v>
      </c>
      <c r="N8" s="11">
        <f t="shared" si="2"/>
        <v>133.63549143379404</v>
      </c>
      <c r="O8" s="11">
        <f t="shared" si="3"/>
        <v>0</v>
      </c>
      <c r="P8" s="9"/>
      <c r="Q8" s="22" t="s">
        <v>27</v>
      </c>
      <c r="R8" s="5">
        <v>34</v>
      </c>
      <c r="S8" s="3"/>
    </row>
    <row r="9" spans="2:22" x14ac:dyDescent="0.3">
      <c r="B9" s="26">
        <v>43883</v>
      </c>
      <c r="C9" s="27">
        <v>3</v>
      </c>
      <c r="D9" s="28">
        <v>62</v>
      </c>
      <c r="E9" s="11">
        <f>D9-D8</f>
        <v>42</v>
      </c>
      <c r="F9" s="11">
        <f t="shared" si="0"/>
        <v>880.93396620787234</v>
      </c>
      <c r="G9" s="11">
        <f>F9-F8</f>
        <v>132.70393226550664</v>
      </c>
      <c r="H9" s="11">
        <f>G9+CIn</f>
        <v>1085.3010688025433</v>
      </c>
      <c r="I9" s="11">
        <f>MAX(G9-CIn,0)</f>
        <v>0</v>
      </c>
      <c r="J9" s="27">
        <v>2</v>
      </c>
      <c r="K9" s="11">
        <f t="shared" si="4"/>
        <v>1</v>
      </c>
      <c r="L9" s="11">
        <f t="shared" si="1"/>
        <v>68.215579033170926</v>
      </c>
      <c r="M9" s="11">
        <f>L9-L8</f>
        <v>10.230725092451351</v>
      </c>
      <c r="N9" s="11">
        <f t="shared" si="2"/>
        <v>135.16616654271451</v>
      </c>
      <c r="O9" s="11">
        <f t="shared" si="3"/>
        <v>0</v>
      </c>
      <c r="P9" s="9"/>
      <c r="Q9" s="22" t="s">
        <v>1</v>
      </c>
      <c r="R9" s="25">
        <v>6.0901615192208522</v>
      </c>
      <c r="S9" s="3"/>
    </row>
    <row r="10" spans="2:22" x14ac:dyDescent="0.3">
      <c r="B10" s="26">
        <v>43884</v>
      </c>
      <c r="C10" s="27">
        <v>4</v>
      </c>
      <c r="D10" s="28">
        <v>155</v>
      </c>
      <c r="E10" s="11">
        <f>D10-D9</f>
        <v>93</v>
      </c>
      <c r="F10" s="11">
        <f t="shared" si="0"/>
        <v>1037.003463132477</v>
      </c>
      <c r="G10" s="11">
        <f>F10-F9</f>
        <v>156.06949692460466</v>
      </c>
      <c r="H10" s="11">
        <f>G10+CIn</f>
        <v>1108.6666334616416</v>
      </c>
      <c r="I10" s="11">
        <f>MAX(G10-CIn,0)</f>
        <v>0</v>
      </c>
      <c r="J10" s="27">
        <v>3</v>
      </c>
      <c r="K10" s="11">
        <f t="shared" si="4"/>
        <v>1</v>
      </c>
      <c r="L10" s="11">
        <f t="shared" si="1"/>
        <v>80.244323475105162</v>
      </c>
      <c r="M10" s="11">
        <f>L10-L9</f>
        <v>12.028744441934236</v>
      </c>
      <c r="N10" s="11">
        <f t="shared" si="2"/>
        <v>136.96418589219738</v>
      </c>
      <c r="O10" s="11">
        <f t="shared" si="3"/>
        <v>0</v>
      </c>
      <c r="P10" s="9"/>
      <c r="Q10" s="6" t="s">
        <v>2</v>
      </c>
      <c r="R10" s="1">
        <f>AVERAGE(E7:E49)</f>
        <v>2679.9767441860463</v>
      </c>
      <c r="S10" s="3"/>
    </row>
    <row r="11" spans="2:22" x14ac:dyDescent="0.3">
      <c r="B11" s="23">
        <v>43885</v>
      </c>
      <c r="C11" s="4">
        <v>5</v>
      </c>
      <c r="D11" s="11">
        <f>'dpc-covid19-ita-andamento-naz'!L2</f>
        <v>229</v>
      </c>
      <c r="E11" s="11">
        <f>D11-D10</f>
        <v>74</v>
      </c>
      <c r="F11" s="11">
        <f t="shared" si="0"/>
        <v>1220.4869494571485</v>
      </c>
      <c r="G11" s="11">
        <f>F11-F10</f>
        <v>183.4834863246715</v>
      </c>
      <c r="H11" s="11">
        <f t="shared" ref="H11:H44" si="5">G11+CIn</f>
        <v>1136.0806228617084</v>
      </c>
      <c r="I11" s="11">
        <f t="shared" ref="I11:I43" si="6">MAX(G11-CIn,0)</f>
        <v>0</v>
      </c>
      <c r="J11" s="11">
        <f>'dpc-covid19-ita-andamento-naz'!K2</f>
        <v>7</v>
      </c>
      <c r="K11" s="11">
        <f t="shared" si="4"/>
        <v>4</v>
      </c>
      <c r="L11" s="11">
        <f t="shared" si="1"/>
        <v>94.384373901302212</v>
      </c>
      <c r="M11" s="11">
        <f>L11-L10</f>
        <v>14.14005042619705</v>
      </c>
      <c r="N11" s="11">
        <f t="shared" si="2"/>
        <v>139.07549187646021</v>
      </c>
      <c r="O11" s="11">
        <f t="shared" si="3"/>
        <v>0</v>
      </c>
      <c r="P11" s="1"/>
      <c r="Q11" s="6" t="s">
        <v>3</v>
      </c>
      <c r="R11" s="1">
        <f>COUNT(E7:E49)-COUNT(R7:R9)</f>
        <v>40</v>
      </c>
    </row>
    <row r="12" spans="2:22" x14ac:dyDescent="0.3">
      <c r="B12" s="10">
        <v>43886</v>
      </c>
      <c r="C12" s="4">
        <v>6</v>
      </c>
      <c r="D12" s="11">
        <f>'dpc-covid19-ita-andamento-naz'!L3</f>
        <v>322</v>
      </c>
      <c r="E12" s="11">
        <f>D12-D11</f>
        <v>93</v>
      </c>
      <c r="F12" s="11">
        <f t="shared" si="0"/>
        <v>1436.1091035822885</v>
      </c>
      <c r="G12" s="11">
        <f>F12-F11</f>
        <v>215.62215412514001</v>
      </c>
      <c r="H12" s="11">
        <f t="shared" si="5"/>
        <v>1168.2192906621767</v>
      </c>
      <c r="I12" s="11">
        <f t="shared" si="6"/>
        <v>0</v>
      </c>
      <c r="J12" s="11">
        <f>'dpc-covid19-ita-andamento-naz'!K3</f>
        <v>10</v>
      </c>
      <c r="K12" s="11">
        <f t="shared" si="4"/>
        <v>3</v>
      </c>
      <c r="L12" s="11">
        <f t="shared" si="1"/>
        <v>111.00256655944864</v>
      </c>
      <c r="M12" s="11">
        <f>L12-L11</f>
        <v>16.618192658146427</v>
      </c>
      <c r="N12" s="11">
        <f t="shared" si="2"/>
        <v>141.55363410840957</v>
      </c>
      <c r="O12" s="11">
        <f t="shared" si="3"/>
        <v>0</v>
      </c>
      <c r="P12" s="1"/>
      <c r="Q12" s="6" t="s">
        <v>4</v>
      </c>
      <c r="R12" s="7" cm="1">
        <f t="array" ref="R12">SQRT(SUM((E7:E49-G7:G49)^2)/dfn)</f>
        <v>471.33181726223495</v>
      </c>
    </row>
    <row r="13" spans="2:22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ref="E13:E49" si="7">D13-D12</f>
        <v>78</v>
      </c>
      <c r="F13" s="11">
        <f t="shared" si="0"/>
        <v>1689.3741482393089</v>
      </c>
      <c r="G13" s="11">
        <f t="shared" ref="G13:G70" si="8">F13-F12</f>
        <v>253.26504465702033</v>
      </c>
      <c r="H13" s="11">
        <f t="shared" si="5"/>
        <v>1205.862181194057</v>
      </c>
      <c r="I13" s="11">
        <f t="shared" si="6"/>
        <v>0</v>
      </c>
      <c r="J13" s="11">
        <f>'dpc-covid19-ita-andamento-naz'!K4</f>
        <v>12</v>
      </c>
      <c r="K13" s="11">
        <f t="shared" si="4"/>
        <v>2</v>
      </c>
      <c r="L13" s="11">
        <f t="shared" si="1"/>
        <v>130.52804341296758</v>
      </c>
      <c r="M13" s="11">
        <f t="shared" ref="M13:M70" si="9">L13-L12</f>
        <v>19.525476853518938</v>
      </c>
      <c r="N13" s="11">
        <f t="shared" si="2"/>
        <v>144.46091830378208</v>
      </c>
      <c r="O13" s="11">
        <f t="shared" si="3"/>
        <v>0</v>
      </c>
      <c r="P13" s="1"/>
      <c r="Q13" s="6" t="s">
        <v>5</v>
      </c>
      <c r="R13" s="8" cm="1">
        <f t="array" ref="R13">1-SUM((E7:E49-G7:G49)^2)/SUM((E7:E49-Mean_of_yn)^2)</f>
        <v>0.95877501739584448</v>
      </c>
    </row>
    <row r="14" spans="2:22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7"/>
        <v>250</v>
      </c>
      <c r="F14" s="11">
        <f t="shared" si="0"/>
        <v>1986.6811663368587</v>
      </c>
      <c r="G14" s="11">
        <f t="shared" si="8"/>
        <v>297.30701809754987</v>
      </c>
      <c r="H14" s="11">
        <f t="shared" si="5"/>
        <v>1249.9041546345866</v>
      </c>
      <c r="I14" s="11">
        <f t="shared" si="6"/>
        <v>0</v>
      </c>
      <c r="J14" s="11">
        <f>'dpc-covid19-ita-andamento-naz'!K5</f>
        <v>17</v>
      </c>
      <c r="K14" s="11">
        <f t="shared" si="4"/>
        <v>5</v>
      </c>
      <c r="L14" s="11">
        <f t="shared" si="1"/>
        <v>153.46228727896937</v>
      </c>
      <c r="M14" s="11">
        <f t="shared" si="9"/>
        <v>22.934243866001793</v>
      </c>
      <c r="N14" s="11">
        <f t="shared" si="2"/>
        <v>147.86968531626493</v>
      </c>
      <c r="O14" s="11">
        <f t="shared" si="3"/>
        <v>0</v>
      </c>
      <c r="P14" s="1"/>
      <c r="Q14" s="6" t="s">
        <v>6</v>
      </c>
      <c r="R14" s="8">
        <f>TINV(0.05,dfn)</f>
        <v>2.0210753903062737</v>
      </c>
    </row>
    <row r="15" spans="2:22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7"/>
        <v>238</v>
      </c>
      <c r="F15" s="11">
        <f t="shared" si="0"/>
        <v>2335.4513125749868</v>
      </c>
      <c r="G15" s="11">
        <f t="shared" si="8"/>
        <v>348.77014623812806</v>
      </c>
      <c r="H15" s="11">
        <f t="shared" si="5"/>
        <v>1301.3672827751648</v>
      </c>
      <c r="I15" s="11">
        <f t="shared" si="6"/>
        <v>0</v>
      </c>
      <c r="J15" s="11">
        <f>'dpc-covid19-ita-andamento-naz'!K6</f>
        <v>21</v>
      </c>
      <c r="K15" s="11">
        <f t="shared" si="4"/>
        <v>4</v>
      </c>
      <c r="L15" s="11">
        <f t="shared" si="1"/>
        <v>180.39056280979597</v>
      </c>
      <c r="M15" s="11">
        <f t="shared" si="9"/>
        <v>26.928275530826596</v>
      </c>
      <c r="N15" s="11">
        <f t="shared" si="2"/>
        <v>151.86371698108974</v>
      </c>
      <c r="O15" s="11">
        <f t="shared" si="3"/>
        <v>0</v>
      </c>
      <c r="P15" s="1"/>
      <c r="Q15" s="6" t="s">
        <v>7</v>
      </c>
      <c r="R15" s="1">
        <f>Critical_tn*SE_of_yn</f>
        <v>952.59713653703682</v>
      </c>
    </row>
    <row r="16" spans="2:22" x14ac:dyDescent="0.3">
      <c r="B16" s="10">
        <v>43890</v>
      </c>
      <c r="C16" s="4">
        <v>10</v>
      </c>
      <c r="D16" s="11">
        <f>'dpc-covid19-ita-andamento-naz'!L7</f>
        <v>1128</v>
      </c>
      <c r="E16" s="11">
        <f t="shared" si="7"/>
        <v>240</v>
      </c>
      <c r="F16" s="11">
        <f t="shared" si="0"/>
        <v>2744.2660132377873</v>
      </c>
      <c r="G16" s="11">
        <f t="shared" si="8"/>
        <v>408.81470066280053</v>
      </c>
      <c r="H16" s="11">
        <f t="shared" si="5"/>
        <v>1361.4118371998375</v>
      </c>
      <c r="I16" s="11">
        <f t="shared" si="6"/>
        <v>0</v>
      </c>
      <c r="J16" s="11">
        <f>'dpc-covid19-ita-andamento-naz'!K7</f>
        <v>29</v>
      </c>
      <c r="K16" s="11">
        <f t="shared" si="4"/>
        <v>8</v>
      </c>
      <c r="L16" s="11">
        <f t="shared" si="1"/>
        <v>211.99487714146198</v>
      </c>
      <c r="M16" s="11">
        <f t="shared" si="9"/>
        <v>31.604314331666018</v>
      </c>
      <c r="N16" s="11">
        <f t="shared" si="2"/>
        <v>156.53975578192916</v>
      </c>
      <c r="O16" s="11">
        <f t="shared" si="3"/>
        <v>0</v>
      </c>
      <c r="P16" s="1"/>
      <c r="Q16" s="29" t="s">
        <v>72</v>
      </c>
      <c r="R16" s="31">
        <f>Kn/(4*wn)</f>
        <v>5909.5723301283524</v>
      </c>
    </row>
    <row r="17" spans="2:18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7"/>
        <v>566</v>
      </c>
      <c r="F17" s="11">
        <f t="shared" si="0"/>
        <v>3223.0141115765882</v>
      </c>
      <c r="G17" s="11">
        <f t="shared" si="8"/>
        <v>478.7480983388009</v>
      </c>
      <c r="H17" s="11">
        <f t="shared" si="5"/>
        <v>1431.3452348758378</v>
      </c>
      <c r="I17" s="11">
        <f t="shared" si="6"/>
        <v>0</v>
      </c>
      <c r="J17" s="11">
        <f>'dpc-covid19-ita-andamento-naz'!K8</f>
        <v>34</v>
      </c>
      <c r="K17" s="11">
        <f t="shared" si="4"/>
        <v>5</v>
      </c>
      <c r="L17" s="11">
        <f t="shared" si="1"/>
        <v>249.0685468746062</v>
      </c>
      <c r="M17" s="11">
        <f t="shared" si="9"/>
        <v>37.073669733144214</v>
      </c>
      <c r="N17" s="11">
        <f t="shared" si="2"/>
        <v>162.00911118340736</v>
      </c>
      <c r="O17" s="11">
        <f t="shared" si="3"/>
        <v>0</v>
      </c>
      <c r="P17" s="1"/>
      <c r="Q17" s="24" t="s">
        <v>53</v>
      </c>
      <c r="R17" s="3"/>
    </row>
    <row r="18" spans="2:18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7"/>
        <v>342</v>
      </c>
      <c r="F18" s="11">
        <f t="shared" si="0"/>
        <v>3783.0443182042286</v>
      </c>
      <c r="G18" s="11">
        <f t="shared" si="8"/>
        <v>560.03020662764038</v>
      </c>
      <c r="H18" s="11">
        <f t="shared" si="5"/>
        <v>1512.6273431646773</v>
      </c>
      <c r="I18" s="11">
        <f t="shared" si="6"/>
        <v>0</v>
      </c>
      <c r="J18" s="11">
        <f>'dpc-covid19-ita-andamento-naz'!K9</f>
        <v>52</v>
      </c>
      <c r="K18" s="11">
        <f t="shared" si="4"/>
        <v>18</v>
      </c>
      <c r="L18" s="11">
        <f t="shared" si="1"/>
        <v>292.53241068893948</v>
      </c>
      <c r="M18" s="11">
        <f t="shared" si="9"/>
        <v>43.46386381433328</v>
      </c>
      <c r="N18" s="11">
        <f t="shared" si="2"/>
        <v>168.39930526459642</v>
      </c>
      <c r="O18" s="11">
        <f t="shared" si="3"/>
        <v>0</v>
      </c>
      <c r="P18" s="1"/>
      <c r="Q18" s="22" t="s">
        <v>0</v>
      </c>
      <c r="R18" s="5">
        <v>20551</v>
      </c>
    </row>
    <row r="19" spans="2:18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7"/>
        <v>466</v>
      </c>
      <c r="F19" s="11">
        <f t="shared" si="0"/>
        <v>4437.3171451911485</v>
      </c>
      <c r="G19" s="11">
        <f t="shared" si="8"/>
        <v>654.27282698691988</v>
      </c>
      <c r="H19" s="11">
        <f t="shared" si="5"/>
        <v>1606.8699635239568</v>
      </c>
      <c r="I19" s="11">
        <f t="shared" si="6"/>
        <v>0</v>
      </c>
      <c r="J19" s="11">
        <f>'dpc-covid19-ita-andamento-naz'!K10</f>
        <v>79</v>
      </c>
      <c r="K19" s="11">
        <f t="shared" si="4"/>
        <v>27</v>
      </c>
      <c r="L19" s="11">
        <f t="shared" si="1"/>
        <v>343.45265145772788</v>
      </c>
      <c r="M19" s="11">
        <f t="shared" si="9"/>
        <v>50.920240768788403</v>
      </c>
      <c r="N19" s="11">
        <f t="shared" si="2"/>
        <v>175.85568221905154</v>
      </c>
      <c r="O19" s="11">
        <f t="shared" si="3"/>
        <v>0</v>
      </c>
      <c r="P19" s="1"/>
      <c r="Q19" s="22" t="s">
        <v>27</v>
      </c>
      <c r="R19" s="5">
        <v>38</v>
      </c>
    </row>
    <row r="20" spans="2:18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7"/>
        <v>587</v>
      </c>
      <c r="F20" s="11">
        <f t="shared" si="0"/>
        <v>5200.5476153445725</v>
      </c>
      <c r="G20" s="11">
        <f t="shared" si="8"/>
        <v>763.23047015342399</v>
      </c>
      <c r="H20" s="11">
        <f t="shared" si="5"/>
        <v>1715.8276066904609</v>
      </c>
      <c r="I20" s="11">
        <f t="shared" si="6"/>
        <v>0</v>
      </c>
      <c r="J20" s="11">
        <f>'dpc-covid19-ita-andamento-naz'!K11</f>
        <v>107</v>
      </c>
      <c r="K20" s="11">
        <f t="shared" si="4"/>
        <v>28</v>
      </c>
      <c r="L20" s="11">
        <f t="shared" si="1"/>
        <v>403.06007823920953</v>
      </c>
      <c r="M20" s="11">
        <f t="shared" si="9"/>
        <v>59.607426781481649</v>
      </c>
      <c r="N20" s="11">
        <f t="shared" si="2"/>
        <v>184.54286823174479</v>
      </c>
      <c r="O20" s="11">
        <f t="shared" si="3"/>
        <v>0</v>
      </c>
      <c r="P20" s="1"/>
      <c r="Q20" s="22" t="s">
        <v>1</v>
      </c>
      <c r="R20" s="25">
        <v>6.1353273813185929</v>
      </c>
    </row>
    <row r="21" spans="2:18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7"/>
        <v>769</v>
      </c>
      <c r="F21" s="11">
        <f t="shared" si="0"/>
        <v>6089.3263358811801</v>
      </c>
      <c r="G21" s="11">
        <f t="shared" si="8"/>
        <v>888.77872053660758</v>
      </c>
      <c r="H21" s="11">
        <f t="shared" si="5"/>
        <v>1841.3758570736445</v>
      </c>
      <c r="I21" s="11">
        <f t="shared" si="6"/>
        <v>0</v>
      </c>
      <c r="J21" s="11">
        <f>'dpc-covid19-ita-andamento-naz'!K12</f>
        <v>148</v>
      </c>
      <c r="K21" s="11">
        <f t="shared" si="4"/>
        <v>41</v>
      </c>
      <c r="L21" s="11">
        <f t="shared" si="1"/>
        <v>472.77055469190685</v>
      </c>
      <c r="M21" s="11">
        <f t="shared" si="9"/>
        <v>69.710476452697321</v>
      </c>
      <c r="N21" s="11">
        <f t="shared" si="2"/>
        <v>194.64591790296046</v>
      </c>
      <c r="O21" s="11">
        <f t="shared" si="3"/>
        <v>0</v>
      </c>
      <c r="P21" s="1"/>
      <c r="Q21" s="6" t="s">
        <v>2</v>
      </c>
      <c r="R21" s="1">
        <f>AVERAGE(K7:K49)</f>
        <v>323.60465116279067</v>
      </c>
    </row>
    <row r="22" spans="2:18" x14ac:dyDescent="0.3">
      <c r="B22" s="10">
        <v>43896</v>
      </c>
      <c r="C22" s="4">
        <v>16</v>
      </c>
      <c r="D22" s="11">
        <f>'dpc-covid19-ita-andamento-naz'!L13</f>
        <v>4636</v>
      </c>
      <c r="E22" s="11">
        <f t="shared" si="7"/>
        <v>778</v>
      </c>
      <c r="F22" s="11">
        <f t="shared" si="0"/>
        <v>7122.2019483586164</v>
      </c>
      <c r="G22" s="11">
        <f t="shared" si="8"/>
        <v>1032.8756124774363</v>
      </c>
      <c r="H22" s="11">
        <f t="shared" si="5"/>
        <v>1985.4727490144733</v>
      </c>
      <c r="I22" s="11">
        <f t="shared" si="6"/>
        <v>80.278475940399517</v>
      </c>
      <c r="J22" s="11">
        <f>'dpc-covid19-ita-andamento-naz'!K13</f>
        <v>197</v>
      </c>
      <c r="K22" s="11">
        <f t="shared" si="4"/>
        <v>49</v>
      </c>
      <c r="L22" s="11">
        <f t="shared" si="1"/>
        <v>554.20603179449677</v>
      </c>
      <c r="M22" s="11">
        <f t="shared" si="9"/>
        <v>81.435477102589914</v>
      </c>
      <c r="N22" s="11">
        <f t="shared" si="2"/>
        <v>206.37091855285306</v>
      </c>
      <c r="O22" s="11">
        <f t="shared" si="3"/>
        <v>0</v>
      </c>
      <c r="P22" s="1"/>
      <c r="Q22" s="6" t="s">
        <v>3</v>
      </c>
      <c r="R22" s="1">
        <f>COUNT(K7:K49)-COUNT(R18:R20)</f>
        <v>40</v>
      </c>
    </row>
    <row r="23" spans="2:18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7"/>
        <v>1247</v>
      </c>
      <c r="F23" s="11">
        <f t="shared" si="0"/>
        <v>8319.7025558687092</v>
      </c>
      <c r="G23" s="11">
        <f t="shared" si="8"/>
        <v>1197.5006075100928</v>
      </c>
      <c r="H23" s="11">
        <f t="shared" si="5"/>
        <v>2150.0977440471297</v>
      </c>
      <c r="I23" s="11">
        <f t="shared" si="6"/>
        <v>244.90347097305596</v>
      </c>
      <c r="J23" s="11">
        <f>'dpc-covid19-ita-andamento-naz'!K14</f>
        <v>233</v>
      </c>
      <c r="K23" s="11">
        <f t="shared" si="4"/>
        <v>36</v>
      </c>
      <c r="L23" s="11">
        <f t="shared" si="1"/>
        <v>649.21533313179111</v>
      </c>
      <c r="M23" s="11">
        <f t="shared" si="9"/>
        <v>95.009301337294346</v>
      </c>
      <c r="N23" s="11">
        <f t="shared" si="2"/>
        <v>219.94474278755749</v>
      </c>
      <c r="O23" s="11">
        <f t="shared" si="3"/>
        <v>0</v>
      </c>
      <c r="P23" s="1"/>
      <c r="Q23" s="6" t="s">
        <v>4</v>
      </c>
      <c r="R23" s="7" cm="1">
        <f t="array" ref="R23">SQRT(SUM((K7:K49-M7:M49)^2)/dfd)</f>
        <v>61.816319197934732</v>
      </c>
    </row>
    <row r="24" spans="2:18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7"/>
        <v>1492</v>
      </c>
      <c r="F24" s="11">
        <f t="shared" si="0"/>
        <v>9704.2677046140852</v>
      </c>
      <c r="G24" s="11">
        <f t="shared" si="8"/>
        <v>1384.5651487453761</v>
      </c>
      <c r="H24" s="11">
        <f t="shared" si="5"/>
        <v>2337.162285282413</v>
      </c>
      <c r="I24" s="11">
        <f t="shared" si="6"/>
        <v>431.96801220833925</v>
      </c>
      <c r="J24" s="11">
        <f>'dpc-covid19-ita-andamento-naz'!K15</f>
        <v>366</v>
      </c>
      <c r="K24" s="11">
        <f t="shared" si="4"/>
        <v>133</v>
      </c>
      <c r="L24" s="11">
        <f t="shared" si="1"/>
        <v>759.89343414544169</v>
      </c>
      <c r="M24" s="11">
        <f t="shared" si="9"/>
        <v>110.67810101365058</v>
      </c>
      <c r="N24" s="11">
        <f t="shared" si="2"/>
        <v>235.61354246391372</v>
      </c>
      <c r="O24" s="11">
        <f t="shared" si="3"/>
        <v>0</v>
      </c>
      <c r="P24" s="1"/>
      <c r="Q24" s="6" t="s">
        <v>5</v>
      </c>
      <c r="R24" s="8" cm="1">
        <f t="array" ref="R24">1-SUM((K7:K49-M7:M49)^2)/SUM((K7:K49-Mean_of_yd)^2)</f>
        <v>0.96634608721962867</v>
      </c>
    </row>
    <row r="25" spans="2:18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7"/>
        <v>1797</v>
      </c>
      <c r="F25" s="11">
        <f t="shared" si="0"/>
        <v>11300.05636284629</v>
      </c>
      <c r="G25" s="11">
        <f t="shared" si="8"/>
        <v>1595.7886582322044</v>
      </c>
      <c r="H25" s="11">
        <f t="shared" si="5"/>
        <v>2548.3857947692413</v>
      </c>
      <c r="I25" s="11">
        <f t="shared" si="6"/>
        <v>643.19152169516758</v>
      </c>
      <c r="J25" s="11">
        <f>'dpc-covid19-ita-andamento-naz'!K16</f>
        <v>463</v>
      </c>
      <c r="K25" s="11">
        <f t="shared" si="4"/>
        <v>97</v>
      </c>
      <c r="L25" s="11">
        <f t="shared" si="1"/>
        <v>888.59745896653862</v>
      </c>
      <c r="M25" s="11">
        <f t="shared" si="9"/>
        <v>128.70402482109694</v>
      </c>
      <c r="N25" s="11">
        <f t="shared" si="2"/>
        <v>253.63946627136008</v>
      </c>
      <c r="O25" s="11">
        <f t="shared" si="3"/>
        <v>3.7685833708337952</v>
      </c>
      <c r="P25" s="1"/>
      <c r="Q25" s="6" t="s">
        <v>6</v>
      </c>
      <c r="R25" s="8">
        <f>TINV(0.05,dfd)</f>
        <v>2.0210753903062737</v>
      </c>
    </row>
    <row r="26" spans="2:18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7"/>
        <v>977</v>
      </c>
      <c r="F26" s="11">
        <f t="shared" si="0"/>
        <v>13132.591003699712</v>
      </c>
      <c r="G26" s="11">
        <f t="shared" si="8"/>
        <v>1832.5346408534224</v>
      </c>
      <c r="H26" s="11">
        <f t="shared" si="5"/>
        <v>2785.1317773904593</v>
      </c>
      <c r="I26" s="11">
        <f t="shared" si="6"/>
        <v>879.93750431638557</v>
      </c>
      <c r="J26" s="11">
        <f>'dpc-covid19-ita-andamento-naz'!K17</f>
        <v>631</v>
      </c>
      <c r="K26" s="11">
        <f t="shared" si="4"/>
        <v>168</v>
      </c>
      <c r="L26" s="11">
        <f t="shared" si="1"/>
        <v>1037.9569834489307</v>
      </c>
      <c r="M26" s="11">
        <f t="shared" si="9"/>
        <v>149.35952448239209</v>
      </c>
      <c r="N26" s="11">
        <f t="shared" si="2"/>
        <v>274.29496593265526</v>
      </c>
      <c r="O26" s="11">
        <f t="shared" si="3"/>
        <v>24.424083032128948</v>
      </c>
      <c r="P26" s="1"/>
      <c r="Q26" s="6" t="s">
        <v>7</v>
      </c>
      <c r="R26" s="1">
        <f>Critical_td*SE_of_yd</f>
        <v>124.93544145026314</v>
      </c>
    </row>
    <row r="27" spans="2:18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7"/>
        <v>2313</v>
      </c>
      <c r="F27" s="11">
        <f t="shared" si="0"/>
        <v>15228.194794192728</v>
      </c>
      <c r="G27" s="11">
        <f t="shared" si="8"/>
        <v>2095.6037904930163</v>
      </c>
      <c r="H27" s="11">
        <f t="shared" si="5"/>
        <v>3048.2009270300532</v>
      </c>
      <c r="I27" s="11">
        <f t="shared" si="6"/>
        <v>1143.0066539559793</v>
      </c>
      <c r="J27" s="11">
        <f>'dpc-covid19-ita-andamento-naz'!K18</f>
        <v>827</v>
      </c>
      <c r="K27" s="11">
        <f t="shared" si="4"/>
        <v>196</v>
      </c>
      <c r="L27" s="11">
        <f t="shared" si="1"/>
        <v>1210.8754893055709</v>
      </c>
      <c r="M27" s="11">
        <f t="shared" si="9"/>
        <v>172.91850585664019</v>
      </c>
      <c r="N27" s="11">
        <f t="shared" si="2"/>
        <v>297.85394730690336</v>
      </c>
      <c r="O27" s="11">
        <f t="shared" si="3"/>
        <v>47.983064406377054</v>
      </c>
      <c r="P27" s="1"/>
      <c r="Q27" s="30" t="s">
        <v>72</v>
      </c>
      <c r="R27" s="32">
        <f>Kd/(4*wd)</f>
        <v>837.40437643863834</v>
      </c>
    </row>
    <row r="28" spans="2:18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7"/>
        <v>2651</v>
      </c>
      <c r="F28" s="11">
        <f t="shared" si="0"/>
        <v>17613.180056262387</v>
      </c>
      <c r="G28" s="11">
        <f t="shared" si="8"/>
        <v>2384.9852620696583</v>
      </c>
      <c r="H28" s="11">
        <f t="shared" si="5"/>
        <v>3337.5823986066953</v>
      </c>
      <c r="I28" s="11">
        <f t="shared" si="6"/>
        <v>1432.3881255326214</v>
      </c>
      <c r="J28" s="11">
        <f>'dpc-covid19-ita-andamento-naz'!K19</f>
        <v>1016</v>
      </c>
      <c r="K28" s="11">
        <f t="shared" si="4"/>
        <v>189</v>
      </c>
      <c r="L28" s="11">
        <f t="shared" si="1"/>
        <v>1410.5189957709777</v>
      </c>
      <c r="M28" s="11">
        <f t="shared" si="9"/>
        <v>199.64350646540674</v>
      </c>
      <c r="N28" s="11">
        <f t="shared" si="2"/>
        <v>324.57894791566991</v>
      </c>
      <c r="O28" s="11">
        <f t="shared" si="3"/>
        <v>74.708065015143603</v>
      </c>
      <c r="P28" s="1"/>
      <c r="Q28" s="6"/>
    </row>
    <row r="29" spans="2:18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7"/>
        <v>2547</v>
      </c>
      <c r="F29" s="11">
        <f t="shared" si="0"/>
        <v>20312.75418592037</v>
      </c>
      <c r="G29" s="11">
        <f t="shared" si="8"/>
        <v>2699.5741296579836</v>
      </c>
      <c r="H29" s="11">
        <f t="shared" si="5"/>
        <v>3652.1712661950205</v>
      </c>
      <c r="I29" s="11">
        <f t="shared" si="6"/>
        <v>1746.9769931209466</v>
      </c>
      <c r="J29" s="11">
        <f>'dpc-covid19-ita-andamento-naz'!K20</f>
        <v>1266</v>
      </c>
      <c r="K29" s="11">
        <f t="shared" si="4"/>
        <v>250</v>
      </c>
      <c r="L29" s="11">
        <f t="shared" si="1"/>
        <v>1640.2870753750376</v>
      </c>
      <c r="M29" s="11">
        <f t="shared" si="9"/>
        <v>229.76807960405995</v>
      </c>
      <c r="N29" s="11">
        <f t="shared" si="2"/>
        <v>354.70352105432312</v>
      </c>
      <c r="O29" s="11">
        <f t="shared" si="3"/>
        <v>104.83263815379681</v>
      </c>
      <c r="P29" s="1"/>
    </row>
    <row r="30" spans="2:18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7"/>
        <v>3497</v>
      </c>
      <c r="F30" s="11">
        <f t="shared" si="0"/>
        <v>23349.626957811997</v>
      </c>
      <c r="G30" s="11">
        <f t="shared" si="8"/>
        <v>3036.8727718916271</v>
      </c>
      <c r="H30" s="11">
        <f t="shared" si="5"/>
        <v>3989.469908428664</v>
      </c>
      <c r="I30" s="11">
        <f t="shared" si="6"/>
        <v>2084.2756353545901</v>
      </c>
      <c r="J30" s="11">
        <f>'dpc-covid19-ita-andamento-naz'!K21</f>
        <v>1441</v>
      </c>
      <c r="K30" s="11">
        <f t="shared" si="4"/>
        <v>175</v>
      </c>
      <c r="L30" s="11">
        <f t="shared" si="1"/>
        <v>1903.7607683580893</v>
      </c>
      <c r="M30" s="11">
        <f t="shared" si="9"/>
        <v>263.47369298305171</v>
      </c>
      <c r="N30" s="11">
        <f t="shared" si="2"/>
        <v>388.40913443331488</v>
      </c>
      <c r="O30" s="11">
        <f t="shared" si="3"/>
        <v>138.53825153278856</v>
      </c>
      <c r="P30" s="1"/>
    </row>
    <row r="31" spans="2:18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7"/>
        <v>3590</v>
      </c>
      <c r="F31" s="11">
        <f t="shared" si="0"/>
        <v>26742.333120729341</v>
      </c>
      <c r="G31" s="11">
        <f t="shared" si="8"/>
        <v>3392.706162917344</v>
      </c>
      <c r="H31" s="11">
        <f t="shared" si="5"/>
        <v>4345.303299454381</v>
      </c>
      <c r="I31" s="11">
        <f t="shared" si="6"/>
        <v>2440.1090263803071</v>
      </c>
      <c r="J31" s="11">
        <f>'dpc-covid19-ita-andamento-naz'!K22</f>
        <v>1809</v>
      </c>
      <c r="K31" s="11">
        <f t="shared" si="4"/>
        <v>368</v>
      </c>
      <c r="L31" s="11">
        <f t="shared" si="1"/>
        <v>2204.6215463437302</v>
      </c>
      <c r="M31" s="11">
        <f t="shared" si="9"/>
        <v>300.86077798564088</v>
      </c>
      <c r="N31" s="11">
        <f t="shared" si="2"/>
        <v>425.79621943590405</v>
      </c>
      <c r="O31" s="11">
        <f t="shared" si="3"/>
        <v>175.92533653537774</v>
      </c>
      <c r="P31" s="1"/>
    </row>
    <row r="32" spans="2:18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7"/>
        <v>3233</v>
      </c>
      <c r="F32" s="11">
        <f t="shared" si="0"/>
        <v>30503.327528490794</v>
      </c>
      <c r="G32" s="11">
        <f t="shared" si="8"/>
        <v>3760.9944077614527</v>
      </c>
      <c r="H32" s="11">
        <f t="shared" si="5"/>
        <v>4713.5915442984897</v>
      </c>
      <c r="I32" s="11">
        <f t="shared" si="6"/>
        <v>2808.3972712244158</v>
      </c>
      <c r="J32" s="11">
        <f>'dpc-covid19-ita-andamento-naz'!K23</f>
        <v>2158</v>
      </c>
      <c r="K32" s="11">
        <f t="shared" si="4"/>
        <v>349</v>
      </c>
      <c r="L32" s="11">
        <f t="shared" si="1"/>
        <v>2546.5357200659969</v>
      </c>
      <c r="M32" s="11">
        <f t="shared" si="9"/>
        <v>341.9141737222667</v>
      </c>
      <c r="N32" s="11">
        <f t="shared" si="2"/>
        <v>466.84961517252987</v>
      </c>
      <c r="O32" s="11">
        <f t="shared" si="3"/>
        <v>216.97873227200355</v>
      </c>
      <c r="P32" s="1"/>
    </row>
    <row r="33" spans="2:21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7"/>
        <v>3526</v>
      </c>
      <c r="F33" s="11">
        <f t="shared" si="0"/>
        <v>34636.965076897824</v>
      </c>
      <c r="G33" s="11">
        <f t="shared" si="8"/>
        <v>4133.6375484070304</v>
      </c>
      <c r="H33" s="11">
        <f t="shared" si="5"/>
        <v>5086.2346849440673</v>
      </c>
      <c r="I33" s="11">
        <f t="shared" si="6"/>
        <v>3181.0404118699935</v>
      </c>
      <c r="J33" s="11">
        <f>'dpc-covid19-ita-andamento-naz'!K24</f>
        <v>2503</v>
      </c>
      <c r="K33" s="11">
        <f t="shared" si="4"/>
        <v>345</v>
      </c>
      <c r="L33" s="11">
        <f t="shared" si="1"/>
        <v>2932.9998886670965</v>
      </c>
      <c r="M33" s="11">
        <f t="shared" si="9"/>
        <v>386.46416860109957</v>
      </c>
      <c r="N33" s="11">
        <f t="shared" si="2"/>
        <v>511.39961005136274</v>
      </c>
      <c r="O33" s="11">
        <f t="shared" si="3"/>
        <v>261.5287271508364</v>
      </c>
      <c r="P33" s="1"/>
    </row>
    <row r="34" spans="2:21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7"/>
        <v>4207</v>
      </c>
      <c r="F34" s="11">
        <f t="shared" si="0"/>
        <v>39137.5385074613</v>
      </c>
      <c r="G34" s="11">
        <f t="shared" si="8"/>
        <v>4500.573430563476</v>
      </c>
      <c r="H34" s="11">
        <f t="shared" si="5"/>
        <v>5453.1705671005129</v>
      </c>
      <c r="I34" s="11">
        <f t="shared" si="6"/>
        <v>3547.9762940264391</v>
      </c>
      <c r="J34" s="11">
        <f>'dpc-covid19-ita-andamento-naz'!K25</f>
        <v>2978</v>
      </c>
      <c r="K34" s="11">
        <f t="shared" si="4"/>
        <v>475</v>
      </c>
      <c r="L34" s="11">
        <f t="shared" si="1"/>
        <v>3367.145569581372</v>
      </c>
      <c r="M34" s="11">
        <f t="shared" si="9"/>
        <v>434.14568091427554</v>
      </c>
      <c r="N34" s="11">
        <f t="shared" si="2"/>
        <v>559.08112236453871</v>
      </c>
      <c r="O34" s="11">
        <f t="shared" si="3"/>
        <v>309.21023946401237</v>
      </c>
      <c r="U34" s="1"/>
    </row>
    <row r="35" spans="2:21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7"/>
        <v>5322</v>
      </c>
      <c r="F35" s="11">
        <f t="shared" si="0"/>
        <v>43987.602647951018</v>
      </c>
      <c r="G35" s="11">
        <f t="shared" si="8"/>
        <v>4850.0641404897178</v>
      </c>
      <c r="H35" s="11">
        <f t="shared" si="5"/>
        <v>5802.6612770267548</v>
      </c>
      <c r="I35" s="11">
        <f t="shared" si="6"/>
        <v>3897.4670039526809</v>
      </c>
      <c r="J35" s="11">
        <f>'dpc-covid19-ita-andamento-naz'!K26</f>
        <v>3405</v>
      </c>
      <c r="K35" s="11">
        <f t="shared" si="4"/>
        <v>427</v>
      </c>
      <c r="L35" s="11">
        <f t="shared" si="1"/>
        <v>3851.5053511213423</v>
      </c>
      <c r="M35" s="11">
        <f t="shared" si="9"/>
        <v>484.3597815399703</v>
      </c>
      <c r="N35" s="11">
        <f t="shared" si="2"/>
        <v>609.29522299023347</v>
      </c>
      <c r="O35" s="11">
        <f t="shared" si="3"/>
        <v>359.42434008970713</v>
      </c>
    </row>
    <row r="36" spans="2:21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7"/>
        <v>5986</v>
      </c>
      <c r="F36" s="11">
        <f t="shared" si="0"/>
        <v>49156.848322919926</v>
      </c>
      <c r="G36" s="11">
        <f t="shared" si="8"/>
        <v>5169.2456749689081</v>
      </c>
      <c r="H36" s="11">
        <f t="shared" si="5"/>
        <v>6121.8428115059451</v>
      </c>
      <c r="I36" s="11">
        <f t="shared" si="6"/>
        <v>4216.6485384318712</v>
      </c>
      <c r="J36" s="11">
        <f>'dpc-covid19-ita-andamento-naz'!K27</f>
        <v>4032</v>
      </c>
      <c r="K36" s="11">
        <f t="shared" si="4"/>
        <v>627</v>
      </c>
      <c r="L36" s="11">
        <f t="shared" si="1"/>
        <v>4387.7488978401761</v>
      </c>
      <c r="M36" s="11">
        <f t="shared" si="9"/>
        <v>536.24354671883384</v>
      </c>
      <c r="N36" s="11">
        <f t="shared" si="2"/>
        <v>661.17898816909701</v>
      </c>
      <c r="O36" s="11">
        <f t="shared" si="3"/>
        <v>411.30810526857067</v>
      </c>
    </row>
    <row r="37" spans="2:21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7"/>
        <v>6557</v>
      </c>
      <c r="F37" s="11">
        <f t="shared" si="0"/>
        <v>54601.785771600735</v>
      </c>
      <c r="G37" s="11">
        <f t="shared" si="8"/>
        <v>5444.9374486808083</v>
      </c>
      <c r="H37" s="11">
        <f t="shared" si="5"/>
        <v>6397.5345852178452</v>
      </c>
      <c r="I37" s="11">
        <f t="shared" si="6"/>
        <v>4492.3403121437714</v>
      </c>
      <c r="J37" s="11">
        <f>'dpc-covid19-ita-andamento-naz'!K28</f>
        <v>4825</v>
      </c>
      <c r="K37" s="11">
        <f t="shared" si="4"/>
        <v>793</v>
      </c>
      <c r="L37" s="11">
        <f t="shared" si="1"/>
        <v>4976.4046485025074</v>
      </c>
      <c r="M37" s="11">
        <f t="shared" si="9"/>
        <v>588.65575066233123</v>
      </c>
      <c r="N37" s="11">
        <f t="shared" si="2"/>
        <v>713.5911921125944</v>
      </c>
      <c r="O37" s="11">
        <f t="shared" si="3"/>
        <v>463.72030921206806</v>
      </c>
    </row>
    <row r="38" spans="2:21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7"/>
        <v>5560</v>
      </c>
      <c r="F38" s="11">
        <f t="shared" si="0"/>
        <v>60266.442381661444</v>
      </c>
      <c r="G38" s="11">
        <f t="shared" si="8"/>
        <v>5664.6566100607088</v>
      </c>
      <c r="H38" s="11">
        <f t="shared" si="5"/>
        <v>6617.2537465977457</v>
      </c>
      <c r="I38" s="11">
        <f t="shared" si="6"/>
        <v>4712.0594735236718</v>
      </c>
      <c r="J38" s="11">
        <f>'dpc-covid19-ita-andamento-naz'!K29</f>
        <v>5476</v>
      </c>
      <c r="K38" s="11">
        <f t="shared" si="4"/>
        <v>651</v>
      </c>
      <c r="L38" s="11">
        <f t="shared" si="1"/>
        <v>5616.5912408687946</v>
      </c>
      <c r="M38" s="11">
        <f t="shared" si="9"/>
        <v>640.18659236628719</v>
      </c>
      <c r="N38" s="11">
        <f t="shared" si="2"/>
        <v>765.12203381655036</v>
      </c>
      <c r="O38" s="11">
        <f t="shared" si="3"/>
        <v>515.25115091602402</v>
      </c>
    </row>
    <row r="39" spans="2:21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si="7"/>
        <v>4789</v>
      </c>
      <c r="F39" s="11">
        <f t="shared" ref="F39:F70" si="10">Kn/(1+EXP(-($C39-t0n)/wn))</f>
        <v>66084.169495947441</v>
      </c>
      <c r="G39" s="11">
        <f t="shared" si="8"/>
        <v>5817.7271142859972</v>
      </c>
      <c r="H39" s="11">
        <f t="shared" si="5"/>
        <v>6770.3242508230342</v>
      </c>
      <c r="I39" s="11">
        <f t="shared" si="6"/>
        <v>4865.1299777489603</v>
      </c>
      <c r="J39" s="11">
        <f>'dpc-covid19-ita-andamento-naz'!K30</f>
        <v>6077</v>
      </c>
      <c r="K39" s="11">
        <f t="shared" si="4"/>
        <v>601</v>
      </c>
      <c r="L39" s="11">
        <f t="shared" ref="L39:L70" si="11">Kd/(1+EXP(-($C39-t0d)/wd))</f>
        <v>6305.7900616322158</v>
      </c>
      <c r="M39" s="11">
        <f t="shared" si="9"/>
        <v>689.19882076342128</v>
      </c>
      <c r="N39" s="11">
        <f t="shared" si="2"/>
        <v>814.13426221368445</v>
      </c>
      <c r="O39" s="11">
        <f t="shared" si="3"/>
        <v>564.26337931315811</v>
      </c>
    </row>
    <row r="40" spans="2:21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7"/>
        <v>5249</v>
      </c>
      <c r="F40" s="11">
        <f t="shared" si="10"/>
        <v>71980.5</v>
      </c>
      <c r="G40" s="11">
        <f t="shared" si="8"/>
        <v>5896.3305040525593</v>
      </c>
      <c r="H40" s="11">
        <f t="shared" si="5"/>
        <v>6848.9276405895962</v>
      </c>
      <c r="I40" s="11">
        <f t="shared" si="6"/>
        <v>4943.7333675155223</v>
      </c>
      <c r="J40" s="11">
        <f>'dpc-covid19-ita-andamento-naz'!K31</f>
        <v>6820</v>
      </c>
      <c r="K40" s="11">
        <f t="shared" si="4"/>
        <v>743</v>
      </c>
      <c r="L40" s="11">
        <f t="shared" si="11"/>
        <v>7039.6947575265376</v>
      </c>
      <c r="M40" s="11">
        <f t="shared" si="9"/>
        <v>733.90469589432178</v>
      </c>
      <c r="N40" s="11">
        <f t="shared" si="2"/>
        <v>858.84013734458495</v>
      </c>
      <c r="O40" s="11">
        <f t="shared" si="3"/>
        <v>608.96925444405861</v>
      </c>
    </row>
    <row r="41" spans="2:21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7"/>
        <v>5210</v>
      </c>
      <c r="F41" s="11">
        <f t="shared" si="10"/>
        <v>77876.830504052559</v>
      </c>
      <c r="G41" s="11">
        <f t="shared" si="8"/>
        <v>5896.3305040525593</v>
      </c>
      <c r="H41" s="11">
        <f t="shared" si="5"/>
        <v>6848.9276405895962</v>
      </c>
      <c r="I41" s="11">
        <f t="shared" si="6"/>
        <v>4943.7333675155223</v>
      </c>
      <c r="J41" s="11">
        <f>'dpc-covid19-ita-andamento-naz'!K32</f>
        <v>7503</v>
      </c>
      <c r="K41" s="11">
        <f t="shared" si="4"/>
        <v>683</v>
      </c>
      <c r="L41" s="11">
        <f t="shared" si="11"/>
        <v>7812.1727744480431</v>
      </c>
      <c r="M41" s="11">
        <f t="shared" si="9"/>
        <v>772.47801692150551</v>
      </c>
      <c r="N41" s="11">
        <f t="shared" si="2"/>
        <v>897.41345837176868</v>
      </c>
      <c r="O41" s="11">
        <f t="shared" si="3"/>
        <v>647.54257547124234</v>
      </c>
    </row>
    <row r="42" spans="2:21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7"/>
        <v>6153</v>
      </c>
      <c r="F42" s="11">
        <f t="shared" si="10"/>
        <v>83694.557618338556</v>
      </c>
      <c r="G42" s="11">
        <f t="shared" si="8"/>
        <v>5817.7271142859972</v>
      </c>
      <c r="H42" s="11">
        <f t="shared" si="5"/>
        <v>6770.3242508230342</v>
      </c>
      <c r="I42" s="11">
        <f t="shared" si="6"/>
        <v>4865.1299777489603</v>
      </c>
      <c r="J42" s="11">
        <f>'dpc-covid19-ita-andamento-naz'!K33</f>
        <v>8165</v>
      </c>
      <c r="K42" s="11">
        <f t="shared" si="4"/>
        <v>662</v>
      </c>
      <c r="L42" s="11">
        <f t="shared" si="11"/>
        <v>8615.3662582559464</v>
      </c>
      <c r="M42" s="11">
        <f t="shared" si="9"/>
        <v>803.19348380790325</v>
      </c>
      <c r="N42" s="11">
        <f t="shared" si="2"/>
        <v>928.12892525816642</v>
      </c>
      <c r="O42" s="11">
        <f t="shared" si="3"/>
        <v>678.25804235764008</v>
      </c>
    </row>
    <row r="43" spans="2:21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7"/>
        <v>5959</v>
      </c>
      <c r="F43" s="11">
        <f t="shared" si="10"/>
        <v>89359.214228399258</v>
      </c>
      <c r="G43" s="11">
        <f t="shared" si="8"/>
        <v>5664.6566100607015</v>
      </c>
      <c r="H43" s="11">
        <f t="shared" si="5"/>
        <v>6617.2537465977384</v>
      </c>
      <c r="I43" s="11">
        <f t="shared" si="6"/>
        <v>4712.0594735236646</v>
      </c>
      <c r="J43" s="11">
        <f>'dpc-covid19-ita-andamento-naz'!K34</f>
        <v>9134</v>
      </c>
      <c r="K43" s="11">
        <f t="shared" si="4"/>
        <v>969</v>
      </c>
      <c r="L43" s="11">
        <f t="shared" si="11"/>
        <v>9439.9445784735217</v>
      </c>
      <c r="M43" s="11">
        <f t="shared" si="9"/>
        <v>824.57832021757531</v>
      </c>
      <c r="N43" s="11">
        <f t="shared" si="2"/>
        <v>949.51376166783848</v>
      </c>
      <c r="O43" s="11">
        <f t="shared" si="3"/>
        <v>699.64287876731214</v>
      </c>
    </row>
    <row r="44" spans="2:21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7"/>
        <v>5974</v>
      </c>
      <c r="F44" s="11">
        <f t="shared" si="10"/>
        <v>94804.151677080066</v>
      </c>
      <c r="G44" s="11">
        <f t="shared" si="8"/>
        <v>5444.9374486808083</v>
      </c>
      <c r="H44" s="11">
        <f t="shared" si="5"/>
        <v>6397.5345852178452</v>
      </c>
      <c r="I44" s="11">
        <f>MAX(G44-CIn,0)</f>
        <v>4492.3403121437714</v>
      </c>
      <c r="J44" s="11">
        <f>'dpc-covid19-ita-andamento-naz'!K35</f>
        <v>10023</v>
      </c>
      <c r="K44" s="11">
        <f t="shared" si="4"/>
        <v>889</v>
      </c>
      <c r="L44" s="11">
        <f t="shared" si="11"/>
        <v>10275.5</v>
      </c>
      <c r="M44" s="11">
        <f t="shared" si="9"/>
        <v>835.55542152647831</v>
      </c>
      <c r="N44" s="11">
        <f t="shared" si="2"/>
        <v>960.49086297674148</v>
      </c>
      <c r="O44" s="11">
        <f t="shared" si="3"/>
        <v>710.61998007621514</v>
      </c>
    </row>
    <row r="45" spans="2:21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7"/>
        <v>5217</v>
      </c>
      <c r="F45" s="11">
        <f t="shared" si="10"/>
        <v>99973.397352048982</v>
      </c>
      <c r="G45" s="11">
        <f t="shared" si="8"/>
        <v>5169.2456749689154</v>
      </c>
      <c r="H45" s="11">
        <f>G45+CIn</f>
        <v>6121.8428115059523</v>
      </c>
      <c r="I45" s="11">
        <f>MAX(G45-CIn,0)</f>
        <v>4216.6485384318785</v>
      </c>
      <c r="J45" s="11">
        <f>'dpc-covid19-ita-andamento-naz'!K36</f>
        <v>10779</v>
      </c>
      <c r="K45" s="11">
        <f t="shared" si="4"/>
        <v>756</v>
      </c>
      <c r="L45" s="11">
        <f t="shared" si="11"/>
        <v>11111.055421526476</v>
      </c>
      <c r="M45" s="11">
        <f t="shared" si="9"/>
        <v>835.55542152647649</v>
      </c>
      <c r="N45" s="11">
        <f t="shared" si="2"/>
        <v>960.49086297673966</v>
      </c>
      <c r="O45" s="11">
        <f t="shared" si="3"/>
        <v>710.61998007621332</v>
      </c>
    </row>
    <row r="46" spans="2:21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7"/>
        <v>4050</v>
      </c>
      <c r="F46" s="11">
        <f t="shared" si="10"/>
        <v>104823.4614925387</v>
      </c>
      <c r="G46" s="11">
        <f t="shared" si="8"/>
        <v>4850.0641404897178</v>
      </c>
      <c r="H46" s="11">
        <f>G46+CIn</f>
        <v>5802.6612770267548</v>
      </c>
      <c r="I46" s="11">
        <f>MAX(G46-CIn,0)</f>
        <v>3897.4670039526809</v>
      </c>
      <c r="J46" s="11">
        <f>'dpc-covid19-ita-andamento-naz'!K37</f>
        <v>11591</v>
      </c>
      <c r="K46" s="11">
        <f t="shared" si="4"/>
        <v>812</v>
      </c>
      <c r="L46" s="11">
        <f t="shared" si="11"/>
        <v>11935.633741744054</v>
      </c>
      <c r="M46" s="11">
        <f t="shared" si="9"/>
        <v>824.57832021757713</v>
      </c>
      <c r="N46" s="11">
        <f t="shared" si="2"/>
        <v>949.5137616678403</v>
      </c>
      <c r="O46" s="11">
        <f t="shared" si="3"/>
        <v>699.64287876731396</v>
      </c>
    </row>
    <row r="47" spans="2:21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7"/>
        <v>4053</v>
      </c>
      <c r="F47" s="11">
        <f t="shared" si="10"/>
        <v>109324.03492310217</v>
      </c>
      <c r="G47" s="11">
        <f t="shared" si="8"/>
        <v>4500.5734305634687</v>
      </c>
      <c r="H47" s="11">
        <f>G47+CIn</f>
        <v>5453.1705671005057</v>
      </c>
      <c r="I47" s="11">
        <f>MAX(G47-CIn,0)</f>
        <v>3547.9762940264318</v>
      </c>
      <c r="J47" s="11">
        <f>'dpc-covid19-ita-andamento-naz'!K38</f>
        <v>12428</v>
      </c>
      <c r="K47" s="11">
        <f t="shared" si="4"/>
        <v>837</v>
      </c>
      <c r="L47" s="11">
        <f t="shared" si="11"/>
        <v>12738.827225551959</v>
      </c>
      <c r="M47" s="11">
        <f t="shared" si="9"/>
        <v>803.19348380790507</v>
      </c>
      <c r="N47" s="11">
        <f>M47+CId</f>
        <v>928.12892525816824</v>
      </c>
      <c r="O47" s="11">
        <f>MAX(M47-CId,0)</f>
        <v>678.2580423576419</v>
      </c>
    </row>
    <row r="48" spans="2:21" x14ac:dyDescent="0.3">
      <c r="B48" s="10">
        <v>43922</v>
      </c>
      <c r="C48" s="4">
        <v>42</v>
      </c>
      <c r="D48" s="11">
        <f>'dpc-covid19-ita-andamento-naz'!L39</f>
        <v>110574</v>
      </c>
      <c r="E48" s="11">
        <f t="shared" si="7"/>
        <v>4782</v>
      </c>
      <c r="F48" s="11">
        <f t="shared" si="10"/>
        <v>113457.6724715092</v>
      </c>
      <c r="G48" s="11">
        <f t="shared" si="8"/>
        <v>4133.6375484070304</v>
      </c>
      <c r="H48" s="11">
        <f>G48+CIn</f>
        <v>5086.2346849440673</v>
      </c>
      <c r="I48" s="11">
        <f>MAX(G48-CIn,0)</f>
        <v>3181.0404118699935</v>
      </c>
      <c r="J48" s="11">
        <f>'dpc-covid19-ita-andamento-naz'!K39</f>
        <v>13155</v>
      </c>
      <c r="K48" s="11">
        <f t="shared" si="4"/>
        <v>727</v>
      </c>
      <c r="L48" s="11">
        <f t="shared" si="11"/>
        <v>13511.305242473463</v>
      </c>
      <c r="M48" s="11">
        <f t="shared" si="9"/>
        <v>772.4780169215046</v>
      </c>
      <c r="N48" s="11">
        <f>M48+CId</f>
        <v>897.41345837176777</v>
      </c>
      <c r="O48" s="11">
        <f>MAX(M48-CId,0)</f>
        <v>647.54257547124143</v>
      </c>
    </row>
    <row r="49" spans="2:15" x14ac:dyDescent="0.3">
      <c r="B49" s="10">
        <v>43923</v>
      </c>
      <c r="C49" s="4">
        <v>43</v>
      </c>
      <c r="D49" s="11">
        <f>'dpc-covid19-ita-andamento-naz'!L40</f>
        <v>115242</v>
      </c>
      <c r="E49" s="11">
        <f t="shared" si="7"/>
        <v>4668</v>
      </c>
      <c r="F49" s="11">
        <f t="shared" si="10"/>
        <v>117218.66687927066</v>
      </c>
      <c r="G49" s="11">
        <f t="shared" si="8"/>
        <v>3760.9944077614637</v>
      </c>
      <c r="H49" s="11">
        <f>G49+CIn</f>
        <v>4713.5915442985006</v>
      </c>
      <c r="I49" s="11">
        <f>MAX(G49-CIn,0)</f>
        <v>2808.3972712244267</v>
      </c>
      <c r="J49" s="11">
        <f>'dpc-covid19-ita-andamento-naz'!K40</f>
        <v>13915</v>
      </c>
      <c r="K49" s="11">
        <f t="shared" si="4"/>
        <v>760</v>
      </c>
      <c r="L49" s="11">
        <f t="shared" si="11"/>
        <v>14245.209938367783</v>
      </c>
      <c r="M49" s="11">
        <f t="shared" si="9"/>
        <v>733.90469589431996</v>
      </c>
      <c r="N49" s="11">
        <f>M49+CId</f>
        <v>858.84013734458313</v>
      </c>
      <c r="O49" s="11">
        <f>MAX(M49-CId,0)</f>
        <v>608.96925444405679</v>
      </c>
    </row>
    <row r="50" spans="2:15" x14ac:dyDescent="0.3">
      <c r="B50" s="10">
        <v>43924</v>
      </c>
      <c r="C50" s="4">
        <v>44</v>
      </c>
      <c r="E50" s="11"/>
      <c r="F50" s="11">
        <f t="shared" si="10"/>
        <v>120611.373042188</v>
      </c>
      <c r="G50" s="11">
        <f t="shared" si="8"/>
        <v>3392.7061629173404</v>
      </c>
      <c r="K50" s="11"/>
      <c r="L50" s="11">
        <f t="shared" si="11"/>
        <v>14934.408759131205</v>
      </c>
      <c r="M50" s="11">
        <f t="shared" si="9"/>
        <v>689.19882076342219</v>
      </c>
    </row>
    <row r="51" spans="2:15" x14ac:dyDescent="0.3">
      <c r="B51" s="10">
        <v>43925</v>
      </c>
      <c r="C51" s="4">
        <v>45</v>
      </c>
      <c r="E51" s="11"/>
      <c r="F51" s="11">
        <f t="shared" si="10"/>
        <v>123648.24581407962</v>
      </c>
      <c r="G51" s="11">
        <f t="shared" si="8"/>
        <v>3036.8727718916198</v>
      </c>
      <c r="K51" s="11"/>
      <c r="L51" s="11">
        <f t="shared" si="11"/>
        <v>15574.595351497492</v>
      </c>
      <c r="M51" s="11">
        <f t="shared" si="9"/>
        <v>640.18659236628628</v>
      </c>
    </row>
    <row r="52" spans="2:15" x14ac:dyDescent="0.3">
      <c r="B52" s="10">
        <v>43926</v>
      </c>
      <c r="C52" s="4">
        <v>46</v>
      </c>
      <c r="E52" s="11"/>
      <c r="F52" s="11">
        <f t="shared" si="10"/>
        <v>126347.81994373762</v>
      </c>
      <c r="G52" s="11">
        <f t="shared" si="8"/>
        <v>2699.5741296579945</v>
      </c>
      <c r="K52" s="11"/>
      <c r="L52" s="11">
        <f t="shared" si="11"/>
        <v>16163.251102159822</v>
      </c>
      <c r="M52" s="11">
        <f t="shared" si="9"/>
        <v>588.65575066233032</v>
      </c>
    </row>
    <row r="53" spans="2:15" x14ac:dyDescent="0.3">
      <c r="B53" s="10">
        <v>43927</v>
      </c>
      <c r="C53" s="4">
        <v>47</v>
      </c>
      <c r="E53" s="11"/>
      <c r="F53" s="11">
        <f t="shared" si="10"/>
        <v>128732.80520580728</v>
      </c>
      <c r="G53" s="11">
        <f t="shared" si="8"/>
        <v>2384.985262069662</v>
      </c>
      <c r="K53" s="11"/>
      <c r="L53" s="11">
        <f t="shared" si="11"/>
        <v>16699.494648878659</v>
      </c>
      <c r="M53" s="11">
        <f t="shared" si="9"/>
        <v>536.24354671883702</v>
      </c>
    </row>
    <row r="54" spans="2:15" x14ac:dyDescent="0.3">
      <c r="B54" s="10">
        <v>43928</v>
      </c>
      <c r="C54" s="4">
        <v>48</v>
      </c>
      <c r="E54" s="11"/>
      <c r="F54" s="11">
        <f t="shared" si="10"/>
        <v>130828.40899630029</v>
      </c>
      <c r="G54" s="11">
        <f t="shared" si="8"/>
        <v>2095.6037904930126</v>
      </c>
      <c r="K54" s="11"/>
      <c r="L54" s="11">
        <f t="shared" si="11"/>
        <v>17183.854430418629</v>
      </c>
      <c r="M54" s="11">
        <f t="shared" si="9"/>
        <v>484.35978153996984</v>
      </c>
    </row>
    <row r="55" spans="2:15" x14ac:dyDescent="0.3">
      <c r="B55" s="10">
        <v>43929</v>
      </c>
      <c r="C55" s="4">
        <v>49</v>
      </c>
      <c r="E55" s="11"/>
      <c r="F55" s="11">
        <f t="shared" si="10"/>
        <v>132660.94363715369</v>
      </c>
      <c r="G55" s="11">
        <f t="shared" si="8"/>
        <v>1832.5346408533951</v>
      </c>
      <c r="K55" s="11"/>
      <c r="L55" s="11">
        <f t="shared" si="11"/>
        <v>17618.000111332905</v>
      </c>
      <c r="M55" s="11">
        <f t="shared" si="9"/>
        <v>434.14568091427645</v>
      </c>
    </row>
    <row r="56" spans="2:15" x14ac:dyDescent="0.3">
      <c r="B56" s="10">
        <v>43930</v>
      </c>
      <c r="C56" s="4">
        <v>50</v>
      </c>
      <c r="E56" s="11"/>
      <c r="F56" s="11">
        <f t="shared" si="10"/>
        <v>134256.73229538591</v>
      </c>
      <c r="G56" s="11">
        <f t="shared" si="8"/>
        <v>1595.7886582322244</v>
      </c>
      <c r="K56" s="11"/>
      <c r="L56" s="11">
        <f t="shared" si="11"/>
        <v>18004.464279934004</v>
      </c>
      <c r="M56" s="11">
        <f t="shared" si="9"/>
        <v>386.46416860109821</v>
      </c>
    </row>
    <row r="57" spans="2:15" x14ac:dyDescent="0.3">
      <c r="B57" s="10">
        <v>43931</v>
      </c>
      <c r="C57" s="4">
        <v>51</v>
      </c>
      <c r="E57" s="11"/>
      <c r="F57" s="11">
        <f t="shared" si="10"/>
        <v>135641.29744413128</v>
      </c>
      <c r="G57" s="11">
        <f t="shared" si="8"/>
        <v>1384.5651487453724</v>
      </c>
      <c r="K57" s="11"/>
      <c r="L57" s="11">
        <f t="shared" si="11"/>
        <v>18346.378453656271</v>
      </c>
      <c r="M57" s="11">
        <f t="shared" si="9"/>
        <v>341.91417372226715</v>
      </c>
    </row>
    <row r="58" spans="2:15" x14ac:dyDescent="0.3">
      <c r="B58" s="10">
        <v>43932</v>
      </c>
      <c r="C58" s="4">
        <v>52</v>
      </c>
      <c r="E58" s="11"/>
      <c r="F58" s="11">
        <f t="shared" si="10"/>
        <v>136838.79805164138</v>
      </c>
      <c r="G58" s="11">
        <f t="shared" si="8"/>
        <v>1197.5006075100973</v>
      </c>
      <c r="K58" s="11"/>
      <c r="L58" s="11">
        <f t="shared" si="11"/>
        <v>18647.23923164191</v>
      </c>
      <c r="M58" s="11">
        <f t="shared" si="9"/>
        <v>300.86077798563929</v>
      </c>
    </row>
    <row r="59" spans="2:15" x14ac:dyDescent="0.3">
      <c r="B59" s="10">
        <v>43933</v>
      </c>
      <c r="C59" s="4">
        <v>53</v>
      </c>
      <c r="E59" s="11"/>
      <c r="F59" s="11">
        <f t="shared" si="10"/>
        <v>137871.6736641188</v>
      </c>
      <c r="G59" s="11">
        <f t="shared" si="8"/>
        <v>1032.8756124774227</v>
      </c>
      <c r="K59" s="11"/>
      <c r="L59" s="11">
        <f t="shared" si="11"/>
        <v>18910.712924624964</v>
      </c>
      <c r="M59" s="11">
        <f t="shared" si="9"/>
        <v>263.47369298305421</v>
      </c>
    </row>
    <row r="60" spans="2:15" x14ac:dyDescent="0.3">
      <c r="B60" s="10">
        <v>43934</v>
      </c>
      <c r="C60" s="4">
        <v>54</v>
      </c>
      <c r="E60" s="11"/>
      <c r="F60" s="11">
        <f t="shared" si="10"/>
        <v>138760.45238465542</v>
      </c>
      <c r="G60" s="11">
        <f t="shared" si="8"/>
        <v>888.77872053661849</v>
      </c>
      <c r="K60" s="11"/>
      <c r="L60" s="11">
        <f t="shared" si="11"/>
        <v>19140.481004229023</v>
      </c>
      <c r="M60" s="11">
        <f t="shared" si="9"/>
        <v>229.76807960405858</v>
      </c>
    </row>
    <row r="61" spans="2:15" x14ac:dyDescent="0.3">
      <c r="B61" s="10">
        <v>43935</v>
      </c>
      <c r="C61" s="4">
        <v>55</v>
      </c>
      <c r="E61" s="11"/>
      <c r="F61" s="11">
        <f t="shared" si="10"/>
        <v>139523.68285480884</v>
      </c>
      <c r="G61" s="11">
        <f t="shared" si="8"/>
        <v>763.23047015341581</v>
      </c>
      <c r="K61" s="11"/>
      <c r="L61" s="11">
        <f t="shared" si="11"/>
        <v>19340.12451069443</v>
      </c>
      <c r="M61" s="11">
        <f t="shared" si="9"/>
        <v>199.64350646540697</v>
      </c>
    </row>
    <row r="62" spans="2:15" x14ac:dyDescent="0.3">
      <c r="B62" s="10">
        <v>43936</v>
      </c>
      <c r="C62" s="4">
        <v>56</v>
      </c>
      <c r="E62" s="11"/>
      <c r="F62" s="11">
        <f t="shared" si="10"/>
        <v>140177.95568179578</v>
      </c>
      <c r="G62" s="11">
        <f t="shared" si="8"/>
        <v>654.27282698694034</v>
      </c>
      <c r="K62" s="11"/>
      <c r="L62" s="11">
        <f t="shared" si="11"/>
        <v>19513.04301655107</v>
      </c>
      <c r="M62" s="11">
        <f t="shared" si="9"/>
        <v>172.91850585663997</v>
      </c>
    </row>
    <row r="63" spans="2:15" x14ac:dyDescent="0.3">
      <c r="B63" s="10">
        <v>43937</v>
      </c>
      <c r="C63" s="4">
        <v>57</v>
      </c>
      <c r="E63" s="11"/>
      <c r="F63" s="11">
        <f t="shared" si="10"/>
        <v>140737.9858884234</v>
      </c>
      <c r="G63" s="11">
        <f t="shared" si="8"/>
        <v>560.03020662761992</v>
      </c>
      <c r="K63" s="11"/>
      <c r="L63" s="11">
        <f t="shared" si="11"/>
        <v>19662.402541033462</v>
      </c>
      <c r="M63" s="11">
        <f t="shared" si="9"/>
        <v>149.35952448239186</v>
      </c>
    </row>
    <row r="64" spans="2:15" x14ac:dyDescent="0.3">
      <c r="B64" s="10">
        <v>43938</v>
      </c>
      <c r="C64" s="4">
        <v>58</v>
      </c>
      <c r="E64" s="11"/>
      <c r="F64" s="11">
        <f t="shared" si="10"/>
        <v>141216.73398676221</v>
      </c>
      <c r="G64" s="11">
        <f t="shared" si="8"/>
        <v>478.74809833880863</v>
      </c>
      <c r="K64" s="11"/>
      <c r="L64" s="11">
        <f t="shared" si="11"/>
        <v>19791.106565854556</v>
      </c>
      <c r="M64" s="11">
        <f t="shared" si="9"/>
        <v>128.70402482109421</v>
      </c>
    </row>
    <row r="65" spans="2:13" x14ac:dyDescent="0.3">
      <c r="B65" s="10">
        <v>43939</v>
      </c>
      <c r="C65" s="4">
        <v>59</v>
      </c>
      <c r="E65" s="11"/>
      <c r="F65" s="11">
        <f t="shared" si="10"/>
        <v>141625.54868742501</v>
      </c>
      <c r="G65" s="11">
        <f t="shared" si="8"/>
        <v>408.81470066279871</v>
      </c>
      <c r="K65" s="11"/>
      <c r="L65" s="11">
        <f t="shared" si="11"/>
        <v>19901.78466686821</v>
      </c>
      <c r="M65" s="11">
        <f t="shared" si="9"/>
        <v>110.67810101365467</v>
      </c>
    </row>
    <row r="66" spans="2:13" x14ac:dyDescent="0.3">
      <c r="B66" s="10">
        <v>43940</v>
      </c>
      <c r="C66" s="4">
        <v>60</v>
      </c>
      <c r="E66" s="11"/>
      <c r="F66" s="11">
        <f t="shared" si="10"/>
        <v>141974.31883366316</v>
      </c>
      <c r="G66" s="11">
        <f t="shared" si="8"/>
        <v>348.77014623815194</v>
      </c>
      <c r="K66" s="11"/>
      <c r="L66" s="11">
        <f t="shared" si="11"/>
        <v>19996.793968205504</v>
      </c>
      <c r="M66" s="11">
        <f t="shared" si="9"/>
        <v>95.009301337293437</v>
      </c>
    </row>
    <row r="67" spans="2:13" x14ac:dyDescent="0.3">
      <c r="B67" s="10">
        <v>43941</v>
      </c>
      <c r="C67" s="4">
        <v>61</v>
      </c>
      <c r="E67" s="11"/>
      <c r="F67" s="11">
        <f t="shared" si="10"/>
        <v>142271.62585176068</v>
      </c>
      <c r="G67" s="11">
        <f t="shared" si="8"/>
        <v>297.30701809751918</v>
      </c>
      <c r="K67" s="11"/>
      <c r="L67" s="11">
        <f t="shared" si="11"/>
        <v>20078.229445308094</v>
      </c>
      <c r="M67" s="11">
        <f t="shared" si="9"/>
        <v>81.435477102590085</v>
      </c>
    </row>
    <row r="68" spans="2:13" x14ac:dyDescent="0.3">
      <c r="B68" s="10">
        <v>43942</v>
      </c>
      <c r="C68" s="4">
        <v>62</v>
      </c>
      <c r="E68" s="11"/>
      <c r="F68" s="11">
        <f t="shared" si="10"/>
        <v>142524.8908964177</v>
      </c>
      <c r="G68" s="11">
        <f t="shared" si="8"/>
        <v>253.26504465701873</v>
      </c>
      <c r="K68" s="11"/>
      <c r="L68" s="11">
        <f t="shared" si="11"/>
        <v>20147.93992176079</v>
      </c>
      <c r="M68" s="11">
        <f t="shared" si="9"/>
        <v>69.71047645269573</v>
      </c>
    </row>
    <row r="69" spans="2:13" x14ac:dyDescent="0.3">
      <c r="B69" s="10">
        <v>43943</v>
      </c>
      <c r="C69" s="4">
        <v>63</v>
      </c>
      <c r="E69" s="11"/>
      <c r="F69" s="11">
        <f t="shared" si="10"/>
        <v>142740.51305054285</v>
      </c>
      <c r="G69" s="11">
        <f t="shared" si="8"/>
        <v>215.62215412515798</v>
      </c>
      <c r="K69" s="11"/>
      <c r="L69" s="11">
        <f t="shared" si="11"/>
        <v>20207.547348542274</v>
      </c>
      <c r="M69" s="11">
        <f t="shared" si="9"/>
        <v>59.607426781483809</v>
      </c>
    </row>
    <row r="70" spans="2:13" x14ac:dyDescent="0.3">
      <c r="B70" s="10">
        <v>43944</v>
      </c>
      <c r="C70" s="4">
        <v>64</v>
      </c>
      <c r="E70" s="11"/>
      <c r="F70" s="11">
        <f t="shared" si="10"/>
        <v>142923.99653686752</v>
      </c>
      <c r="G70" s="11">
        <f t="shared" si="8"/>
        <v>183.48348632466514</v>
      </c>
      <c r="K70" s="11"/>
      <c r="L70" s="11">
        <f t="shared" si="11"/>
        <v>20258.467589311058</v>
      </c>
      <c r="M70" s="11">
        <f t="shared" si="9"/>
        <v>50.920240768784424</v>
      </c>
    </row>
    <row r="71" spans="2:13" x14ac:dyDescent="0.3">
      <c r="B71" s="10"/>
      <c r="C71" s="4"/>
    </row>
    <row r="72" spans="2:13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44</vt:i4>
      </vt:variant>
    </vt:vector>
  </HeadingPairs>
  <TitlesOfParts>
    <vt:vector size="47" baseType="lpstr">
      <vt:lpstr>dpc-covid19-ita-andamento-naz</vt:lpstr>
      <vt:lpstr>Cumul_confirmed - Boltzmann fit</vt:lpstr>
      <vt:lpstr>New_confirmed - Boltzmann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E_end</vt:lpstr>
      <vt:lpstr>E_start</vt:lpstr>
      <vt:lpstr>G_end</vt:lpstr>
      <vt:lpstr>G_start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2020-04-02T21:39:56Z</dcterms:modified>
</cp:coreProperties>
</file>