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8DB8D2EC-5D52-4322-82A9-C8CEC176E3A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-19-ita-andamento-naz" sheetId="16" r:id="rId1"/>
    <sheet name="Cumul_ confirmed - Gompertz fit" sheetId="12" r:id="rId2"/>
    <sheet name="New_ confirmed - Gompertz fit" sheetId="17" r:id="rId3"/>
  </sheets>
  <definedNames>
    <definedName name="CI">'Cumul_ confirmed - Gompertz fit'!$N$15</definedName>
    <definedName name="CId">'New_ confirmed - Gompertz fit'!$R$26</definedName>
    <definedName name="CIh">'Cumul_ confirmed - Gompertz fit'!$N$26</definedName>
    <definedName name="CIn">'New_ confirmed - Gompertz fit'!$R$15</definedName>
    <definedName name="Critical_t">'Cumul_ confirmed - Gompertz fit'!$N$14</definedName>
    <definedName name="Critical_td">'New_ confirmed - Gompertz fit'!$R$25</definedName>
    <definedName name="Critical_th">'Cumul_ confirmed - Gompertz fit'!$N$25</definedName>
    <definedName name="Critical_tn">'New_ confirmed - Gompertz fit'!$R$14</definedName>
    <definedName name="D_End">'Cumul_ confirmed - Gompertz fit'!$D$47</definedName>
    <definedName name="D_Start">'Cumul_ confirmed - Gompertz fit'!$D$7</definedName>
    <definedName name="DatiEsterni_1" localSheetId="0" hidden="1">'dpc-covid-19-ita-andamento-naz'!$A$1:$O$40</definedName>
    <definedName name="DatiEsterni_2" localSheetId="0" hidden="1">'dpc-covid-19-ita-andamento-naz'!#REF!</definedName>
    <definedName name="df">'Cumul_ confirmed - Gompertz fit'!$N$11</definedName>
    <definedName name="dfd">'New_ confirmed - Gompertz fit'!$R$22</definedName>
    <definedName name="dfh">'Cumul_ confirmed - Gompertz fit'!$N$22</definedName>
    <definedName name="dfn">'New_ confirmed - Gompertz fit'!$R$11</definedName>
    <definedName name="E_End">'Cumul_ confirmed - Gompertz fit'!$E$47</definedName>
    <definedName name="E_Start">'Cumul_ confirmed - Gompertz fit'!$E$7</definedName>
    <definedName name="H_End">'Cumul_ confirmed - Gompertz fit'!$H$47</definedName>
    <definedName name="H_Start">'Cumul_ confirmed - Gompertz fit'!$H$7</definedName>
    <definedName name="I_End">'Cumul_ confirmed - Gompertz fit'!$I$47</definedName>
    <definedName name="I_Start">'Cumul_ confirmed - Gompertz fit'!$I$7</definedName>
    <definedName name="K">'Cumul_ confirmed - Gompertz fit'!$N$7</definedName>
    <definedName name="K_end">'New_ confirmed - Gompertz fit'!$K$47</definedName>
    <definedName name="K_start">'New_ confirmed - Gompertz fit'!$K$7</definedName>
    <definedName name="Kd">'New_ confirmed - Gompertz fit'!$R$18</definedName>
    <definedName name="Kh">'Cumul_ confirmed - Gompertz fit'!$N$18</definedName>
    <definedName name="Kn">'New_ confirmed - Gompertz fit'!$R$7</definedName>
    <definedName name="M_end">'New_ confirmed - Gompertz fit'!$M$47</definedName>
    <definedName name="M_start">'New_ confirmed - Gompertz fit'!$M$7</definedName>
    <definedName name="Mean_of_y">'Cumul_ confirmed - Gompertz fit'!$N$10</definedName>
    <definedName name="Mean_of_yd">'New_ confirmed - Gompertz fit'!$R$21</definedName>
    <definedName name="Mean_of_yh">'Cumul_ confirmed - Gompertz fit'!$N$21</definedName>
    <definedName name="Mean_of_yn">'New_ confirmed - Gompertz fit'!$R$10</definedName>
    <definedName name="RSQ">'Cumul_ confirmed - Gompertz fit'!$N$13</definedName>
    <definedName name="RSQd">'New_ confirmed - Gompertz fit'!$R$24</definedName>
    <definedName name="RSQh">'Cumul_ confirmed - Gompertz fit'!$N$24</definedName>
    <definedName name="RSQn">'New_ confirmed - Gompertz fit'!$R$13</definedName>
    <definedName name="SE_of_y">'Cumul_ confirmed - Gompertz fit'!$N$12</definedName>
    <definedName name="SE_of_yd">'New_ confirmed - Gompertz fit'!$R$23</definedName>
    <definedName name="SE_of_yh">'Cumul_ confirmed - Gompertz fit'!$N$23</definedName>
    <definedName name="SE_of_yn">'New_ confirmed - Gompertz fit'!$R$12</definedName>
    <definedName name="solver_adj" localSheetId="1" hidden="1">'Cumul_ confirmed - Gompertz fit'!$N$7,'Cumul_ confirmed - Gompertz fit'!$N$8,'Cumul_ confirmed - Gompertz fit'!$N$9</definedName>
    <definedName name="solver_adj" localSheetId="2" hidden="1">'New_ confirmed - Gompertz fit'!$R$7,'New_ confirmed - Gompertz fit'!$R$8,'New_ confirmed - Gompertz fit'!$R$9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 confirmed - Gompertz fit'!$N$7</definedName>
    <definedName name="solver_lhs1" localSheetId="2" hidden="1">'New_ confirmed - Gompertz fit'!$R$7</definedName>
    <definedName name="solver_lhs2" localSheetId="1" hidden="1">'Cumul_ confirmed - Gompertz fit'!$N$8</definedName>
    <definedName name="solver_lhs2" localSheetId="2" hidden="1">'New_ confirmed - Gompertz fit'!$R$8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1" hidden="1">'Cumul_ confirmed - Gompertz fit'!$N$13</definedName>
    <definedName name="solver_opt" localSheetId="2" hidden="1">'New_ confirmed - Gompertz fit'!$R$13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 confirmed - Gompertz fit'!$N$8</definedName>
    <definedName name="t0d">'New_ confirmed - Gompertz fit'!$R$19</definedName>
    <definedName name="t0h">'Cumul_ confirmed - Gompertz fit'!$N$19</definedName>
    <definedName name="t0n">'New_ confirmed - Gompertz fit'!$R$8</definedName>
    <definedName name="w">'Cumul_ confirmed - Gompertz fit'!$N$9</definedName>
    <definedName name="wd">'New_ confirmed - Gompertz fit'!$R$20</definedName>
    <definedName name="wh">'Cumul_ confirmed - Gompertz fit'!$N$20</definedName>
    <definedName name="wn">'New_ confirmed - Gompertz fit'!$R$9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2" i="17" l="1"/>
  <c r="R21" i="17"/>
  <c r="R11" i="17"/>
  <c r="R10" i="17"/>
  <c r="K47" i="17"/>
  <c r="K48" i="17"/>
  <c r="K49" i="17"/>
  <c r="J47" i="17"/>
  <c r="J48" i="17"/>
  <c r="J49" i="17"/>
  <c r="E47" i="17"/>
  <c r="E48" i="17"/>
  <c r="E49" i="17"/>
  <c r="D47" i="17"/>
  <c r="D48" i="17"/>
  <c r="D49" i="17"/>
  <c r="N22" i="12"/>
  <c r="N21" i="12"/>
  <c r="N11" i="12"/>
  <c r="N10" i="12"/>
  <c r="H47" i="12"/>
  <c r="H48" i="12"/>
  <c r="H49" i="12"/>
  <c r="D47" i="12"/>
  <c r="D48" i="12"/>
  <c r="D49" i="12"/>
  <c r="J46" i="17" l="1"/>
  <c r="D46" i="17"/>
  <c r="H46" i="12"/>
  <c r="D46" i="12"/>
  <c r="F130" i="17" l="1"/>
  <c r="F129" i="17"/>
  <c r="F128" i="17"/>
  <c r="F127" i="17"/>
  <c r="F126" i="17"/>
  <c r="F125" i="17"/>
  <c r="F124" i="17"/>
  <c r="F123" i="17"/>
  <c r="F122" i="17"/>
  <c r="F121" i="17"/>
  <c r="F120" i="17"/>
  <c r="F119" i="17"/>
  <c r="F118" i="17"/>
  <c r="F117" i="17"/>
  <c r="F116" i="17"/>
  <c r="F115" i="17"/>
  <c r="F114" i="17"/>
  <c r="F113" i="17"/>
  <c r="F112" i="17"/>
  <c r="F111" i="17"/>
  <c r="F110" i="17"/>
  <c r="F109" i="17"/>
  <c r="F108" i="17"/>
  <c r="F107" i="17"/>
  <c r="F106" i="17"/>
  <c r="F105" i="17"/>
  <c r="F104" i="17"/>
  <c r="F103" i="17"/>
  <c r="F102" i="17"/>
  <c r="F101" i="17"/>
  <c r="F100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F75" i="17"/>
  <c r="F74" i="17"/>
  <c r="F73" i="17"/>
  <c r="F72" i="17"/>
  <c r="F71" i="17"/>
  <c r="L70" i="17"/>
  <c r="F70" i="17"/>
  <c r="L69" i="17"/>
  <c r="F69" i="17"/>
  <c r="L68" i="17"/>
  <c r="F68" i="17"/>
  <c r="L67" i="17"/>
  <c r="F67" i="17"/>
  <c r="L66" i="17"/>
  <c r="F66" i="17"/>
  <c r="L65" i="17"/>
  <c r="F65" i="17"/>
  <c r="L64" i="17"/>
  <c r="F64" i="17"/>
  <c r="L63" i="17"/>
  <c r="F63" i="17"/>
  <c r="L62" i="17"/>
  <c r="F62" i="17"/>
  <c r="L61" i="17"/>
  <c r="F61" i="17"/>
  <c r="L60" i="17"/>
  <c r="F60" i="17"/>
  <c r="L59" i="17"/>
  <c r="F59" i="17"/>
  <c r="L58" i="17"/>
  <c r="F58" i="17"/>
  <c r="L57" i="17"/>
  <c r="F57" i="17"/>
  <c r="L56" i="17"/>
  <c r="F56" i="17"/>
  <c r="L55" i="17"/>
  <c r="F55" i="17"/>
  <c r="L54" i="17"/>
  <c r="F54" i="17"/>
  <c r="L53" i="17"/>
  <c r="F53" i="17"/>
  <c r="L52" i="17"/>
  <c r="F52" i="17"/>
  <c r="L51" i="17"/>
  <c r="F51" i="17"/>
  <c r="L50" i="17"/>
  <c r="F50" i="17"/>
  <c r="L49" i="17"/>
  <c r="F49" i="17"/>
  <c r="L48" i="17"/>
  <c r="F48" i="17"/>
  <c r="L47" i="17"/>
  <c r="F47" i="17"/>
  <c r="L46" i="17"/>
  <c r="F46" i="17"/>
  <c r="L45" i="17"/>
  <c r="J45" i="17"/>
  <c r="F45" i="17"/>
  <c r="D45" i="17"/>
  <c r="L44" i="17"/>
  <c r="J44" i="17"/>
  <c r="F44" i="17"/>
  <c r="D44" i="17"/>
  <c r="L43" i="17"/>
  <c r="J43" i="17"/>
  <c r="F43" i="17"/>
  <c r="D43" i="17"/>
  <c r="L42" i="17"/>
  <c r="J42" i="17"/>
  <c r="F42" i="17"/>
  <c r="D42" i="17"/>
  <c r="L41" i="17"/>
  <c r="J41" i="17"/>
  <c r="F41" i="17"/>
  <c r="D41" i="17"/>
  <c r="E41" i="17" s="1"/>
  <c r="L40" i="17"/>
  <c r="J40" i="17"/>
  <c r="F40" i="17"/>
  <c r="D40" i="17"/>
  <c r="L39" i="17"/>
  <c r="J39" i="17"/>
  <c r="F39" i="17"/>
  <c r="D39" i="17"/>
  <c r="L38" i="17"/>
  <c r="J38" i="17"/>
  <c r="F38" i="17"/>
  <c r="D38" i="17"/>
  <c r="E38" i="17" s="1"/>
  <c r="L37" i="17"/>
  <c r="J37" i="17"/>
  <c r="F37" i="17"/>
  <c r="D37" i="17"/>
  <c r="L36" i="17"/>
  <c r="J36" i="17"/>
  <c r="F36" i="17"/>
  <c r="D36" i="17"/>
  <c r="L35" i="17"/>
  <c r="J35" i="17"/>
  <c r="F35" i="17"/>
  <c r="D35" i="17"/>
  <c r="E35" i="17" s="1"/>
  <c r="L34" i="17"/>
  <c r="J34" i="17"/>
  <c r="F34" i="17"/>
  <c r="D34" i="17"/>
  <c r="L33" i="17"/>
  <c r="J33" i="17"/>
  <c r="F33" i="17"/>
  <c r="D33" i="17"/>
  <c r="L32" i="17"/>
  <c r="J32" i="17"/>
  <c r="F32" i="17"/>
  <c r="D32" i="17"/>
  <c r="E32" i="17" s="1"/>
  <c r="L31" i="17"/>
  <c r="J31" i="17"/>
  <c r="F31" i="17"/>
  <c r="D31" i="17"/>
  <c r="L30" i="17"/>
  <c r="J30" i="17"/>
  <c r="F30" i="17"/>
  <c r="D30" i="17"/>
  <c r="L29" i="17"/>
  <c r="J29" i="17"/>
  <c r="F29" i="17"/>
  <c r="D29" i="17"/>
  <c r="E29" i="17" s="1"/>
  <c r="L28" i="17"/>
  <c r="J28" i="17"/>
  <c r="F28" i="17"/>
  <c r="D28" i="17"/>
  <c r="R27" i="17"/>
  <c r="L27" i="17"/>
  <c r="J27" i="17"/>
  <c r="F27" i="17"/>
  <c r="D27" i="17"/>
  <c r="L26" i="17"/>
  <c r="J26" i="17"/>
  <c r="F26" i="17"/>
  <c r="D26" i="17"/>
  <c r="L25" i="17"/>
  <c r="J25" i="17"/>
  <c r="F25" i="17"/>
  <c r="D25" i="17"/>
  <c r="L24" i="17"/>
  <c r="J24" i="17"/>
  <c r="F24" i="17"/>
  <c r="D24" i="17"/>
  <c r="L23" i="17"/>
  <c r="J23" i="17"/>
  <c r="F23" i="17"/>
  <c r="D23" i="17"/>
  <c r="L22" i="17"/>
  <c r="J22" i="17"/>
  <c r="F22" i="17"/>
  <c r="D22" i="17"/>
  <c r="L21" i="17"/>
  <c r="J21" i="17"/>
  <c r="F21" i="17"/>
  <c r="D21" i="17"/>
  <c r="L20" i="17"/>
  <c r="J20" i="17"/>
  <c r="F20" i="17"/>
  <c r="D20" i="17"/>
  <c r="L19" i="17"/>
  <c r="J19" i="17"/>
  <c r="F19" i="17"/>
  <c r="D19" i="17"/>
  <c r="L18" i="17"/>
  <c r="J18" i="17"/>
  <c r="F18" i="17"/>
  <c r="D18" i="17"/>
  <c r="L17" i="17"/>
  <c r="J17" i="17"/>
  <c r="F17" i="17"/>
  <c r="D17" i="17"/>
  <c r="E17" i="17" s="1"/>
  <c r="R16" i="17"/>
  <c r="L16" i="17"/>
  <c r="J16" i="17"/>
  <c r="F16" i="17"/>
  <c r="D16" i="17"/>
  <c r="L15" i="17"/>
  <c r="J15" i="17"/>
  <c r="F15" i="17"/>
  <c r="D15" i="17"/>
  <c r="L14" i="17"/>
  <c r="J14" i="17"/>
  <c r="F14" i="17"/>
  <c r="D14" i="17"/>
  <c r="L13" i="17"/>
  <c r="J13" i="17"/>
  <c r="F13" i="17"/>
  <c r="D13" i="17"/>
  <c r="L12" i="17"/>
  <c r="J12" i="17"/>
  <c r="F12" i="17"/>
  <c r="D12" i="17"/>
  <c r="L11" i="17"/>
  <c r="J11" i="17"/>
  <c r="K11" i="17" s="1"/>
  <c r="F11" i="17"/>
  <c r="D11" i="17"/>
  <c r="E11" i="17" s="1"/>
  <c r="L10" i="17"/>
  <c r="K10" i="17"/>
  <c r="F10" i="17"/>
  <c r="E10" i="17"/>
  <c r="L9" i="17"/>
  <c r="K9" i="17"/>
  <c r="F9" i="17"/>
  <c r="E9" i="17"/>
  <c r="L8" i="17"/>
  <c r="K8" i="17"/>
  <c r="F8" i="17"/>
  <c r="E8" i="17"/>
  <c r="L7" i="17"/>
  <c r="M7" i="17" s="1"/>
  <c r="K7" i="17"/>
  <c r="F7" i="17"/>
  <c r="G7" i="17" s="1"/>
  <c r="E7" i="17"/>
  <c r="I70" i="12"/>
  <c r="E70" i="12"/>
  <c r="I69" i="12"/>
  <c r="E69" i="12"/>
  <c r="I68" i="12"/>
  <c r="E68" i="12"/>
  <c r="I67" i="12"/>
  <c r="E67" i="12"/>
  <c r="I66" i="12"/>
  <c r="E66" i="12"/>
  <c r="I65" i="12"/>
  <c r="E65" i="12"/>
  <c r="I64" i="12"/>
  <c r="E64" i="12"/>
  <c r="I63" i="12"/>
  <c r="E63" i="12"/>
  <c r="I62" i="12"/>
  <c r="E62" i="12"/>
  <c r="I61" i="12"/>
  <c r="E61" i="12"/>
  <c r="I60" i="12"/>
  <c r="E60" i="12"/>
  <c r="I59" i="12"/>
  <c r="E59" i="12"/>
  <c r="I58" i="12"/>
  <c r="E58" i="12"/>
  <c r="I57" i="12"/>
  <c r="E57" i="12"/>
  <c r="I56" i="12"/>
  <c r="E56" i="12"/>
  <c r="I55" i="12"/>
  <c r="E55" i="12"/>
  <c r="I54" i="12"/>
  <c r="E54" i="12"/>
  <c r="I53" i="12"/>
  <c r="E53" i="12"/>
  <c r="I52" i="12"/>
  <c r="E52" i="12"/>
  <c r="I51" i="12"/>
  <c r="E51" i="12"/>
  <c r="I50" i="12"/>
  <c r="E50" i="12"/>
  <c r="I49" i="12"/>
  <c r="E49" i="12"/>
  <c r="I48" i="12"/>
  <c r="E48" i="12"/>
  <c r="I47" i="12"/>
  <c r="E47" i="12"/>
  <c r="I46" i="12"/>
  <c r="E46" i="12"/>
  <c r="I45" i="12"/>
  <c r="H45" i="12"/>
  <c r="E45" i="12"/>
  <c r="D45" i="12"/>
  <c r="I44" i="12"/>
  <c r="H44" i="12"/>
  <c r="E44" i="12"/>
  <c r="D44" i="12"/>
  <c r="I43" i="12"/>
  <c r="H43" i="12"/>
  <c r="E43" i="12"/>
  <c r="D43" i="12"/>
  <c r="I42" i="12"/>
  <c r="H42" i="12"/>
  <c r="E42" i="12"/>
  <c r="D42" i="12"/>
  <c r="I41" i="12"/>
  <c r="H41" i="12"/>
  <c r="E41" i="12"/>
  <c r="D41" i="12"/>
  <c r="I40" i="12"/>
  <c r="H40" i="12"/>
  <c r="E40" i="12"/>
  <c r="D40" i="12"/>
  <c r="I39" i="12"/>
  <c r="H39" i="12"/>
  <c r="E39" i="12"/>
  <c r="D39" i="12"/>
  <c r="I38" i="12"/>
  <c r="H38" i="12"/>
  <c r="E38" i="12"/>
  <c r="D38" i="12"/>
  <c r="I37" i="12"/>
  <c r="H37" i="12"/>
  <c r="E37" i="12"/>
  <c r="D37" i="12"/>
  <c r="I36" i="12"/>
  <c r="H36" i="12"/>
  <c r="E36" i="12"/>
  <c r="D36" i="12"/>
  <c r="I35" i="12"/>
  <c r="H35" i="12"/>
  <c r="E35" i="12"/>
  <c r="D35" i="12"/>
  <c r="I34" i="12"/>
  <c r="H34" i="12"/>
  <c r="E34" i="12"/>
  <c r="D34" i="12"/>
  <c r="I33" i="12"/>
  <c r="H33" i="12"/>
  <c r="E33" i="12"/>
  <c r="D33" i="12"/>
  <c r="I32" i="12"/>
  <c r="H32" i="12"/>
  <c r="E32" i="12"/>
  <c r="D32" i="12"/>
  <c r="I31" i="12"/>
  <c r="H31" i="12"/>
  <c r="E31" i="12"/>
  <c r="D31" i="12"/>
  <c r="I30" i="12"/>
  <c r="H30" i="12"/>
  <c r="E30" i="12"/>
  <c r="D30" i="12"/>
  <c r="I29" i="12"/>
  <c r="H29" i="12"/>
  <c r="E29" i="12"/>
  <c r="D29" i="12"/>
  <c r="I28" i="12"/>
  <c r="H28" i="12"/>
  <c r="E28" i="12"/>
  <c r="D28" i="12"/>
  <c r="I27" i="12"/>
  <c r="H27" i="12"/>
  <c r="E27" i="12"/>
  <c r="D27" i="12"/>
  <c r="I26" i="12"/>
  <c r="H26" i="12"/>
  <c r="E26" i="12"/>
  <c r="D26" i="12"/>
  <c r="I25" i="12"/>
  <c r="H25" i="12"/>
  <c r="E25" i="12"/>
  <c r="D25" i="12"/>
  <c r="I24" i="12"/>
  <c r="H24" i="12"/>
  <c r="E24" i="12"/>
  <c r="D24" i="12"/>
  <c r="I23" i="12"/>
  <c r="H23" i="12"/>
  <c r="E23" i="12"/>
  <c r="D23" i="12"/>
  <c r="I22" i="12"/>
  <c r="H22" i="12"/>
  <c r="E22" i="12"/>
  <c r="D22" i="12"/>
  <c r="I21" i="12"/>
  <c r="H21" i="12"/>
  <c r="E21" i="12"/>
  <c r="D21" i="12"/>
  <c r="I20" i="12"/>
  <c r="H20" i="12"/>
  <c r="E20" i="12"/>
  <c r="D20" i="12"/>
  <c r="I19" i="12"/>
  <c r="H19" i="12"/>
  <c r="E19" i="12"/>
  <c r="D19" i="12"/>
  <c r="I18" i="12"/>
  <c r="H18" i="12"/>
  <c r="E18" i="12"/>
  <c r="D18" i="12"/>
  <c r="I17" i="12"/>
  <c r="H17" i="12"/>
  <c r="E17" i="12"/>
  <c r="D17" i="12"/>
  <c r="I16" i="12"/>
  <c r="H16" i="12"/>
  <c r="E16" i="12"/>
  <c r="D16" i="12"/>
  <c r="I15" i="12"/>
  <c r="H15" i="12"/>
  <c r="E15" i="12"/>
  <c r="D15" i="12"/>
  <c r="I14" i="12"/>
  <c r="H14" i="12"/>
  <c r="E14" i="12"/>
  <c r="D14" i="12"/>
  <c r="I13" i="12"/>
  <c r="H13" i="12"/>
  <c r="E13" i="12"/>
  <c r="D13" i="12"/>
  <c r="I12" i="12"/>
  <c r="H12" i="12"/>
  <c r="E12" i="12"/>
  <c r="D12" i="12"/>
  <c r="I11" i="12"/>
  <c r="H11" i="12"/>
  <c r="E11" i="12"/>
  <c r="D11" i="12"/>
  <c r="I10" i="12"/>
  <c r="E10" i="12"/>
  <c r="I9" i="12"/>
  <c r="E9" i="12"/>
  <c r="I8" i="12"/>
  <c r="E8" i="12"/>
  <c r="I7" i="12"/>
  <c r="E7" i="12"/>
  <c r="N12" i="12" l="1" a="1"/>
  <c r="N12" i="12" s="1"/>
  <c r="N13" i="12" a="1"/>
  <c r="N13" i="12" s="1"/>
  <c r="N23" i="12" a="1"/>
  <c r="N23" i="12" s="1"/>
  <c r="N24" i="12" a="1"/>
  <c r="N24" i="12" s="1"/>
  <c r="K23" i="17"/>
  <c r="E12" i="17"/>
  <c r="K35" i="17"/>
  <c r="K38" i="17"/>
  <c r="K44" i="17"/>
  <c r="K32" i="17"/>
  <c r="K41" i="17"/>
  <c r="K21" i="17"/>
  <c r="K27" i="17"/>
  <c r="K13" i="17"/>
  <c r="K16" i="17"/>
  <c r="E31" i="17"/>
  <c r="E34" i="17"/>
  <c r="E40" i="17"/>
  <c r="E43" i="17"/>
  <c r="E21" i="17"/>
  <c r="E27" i="17"/>
  <c r="K15" i="17"/>
  <c r="E36" i="17"/>
  <c r="K30" i="17"/>
  <c r="K39" i="17"/>
  <c r="E45" i="17"/>
  <c r="E46" i="17"/>
  <c r="E19" i="17"/>
  <c r="K45" i="17"/>
  <c r="K46" i="17"/>
  <c r="N14" i="12"/>
  <c r="N15" i="12" s="1"/>
  <c r="K19" i="17"/>
  <c r="K25" i="17"/>
  <c r="N25" i="12"/>
  <c r="N26" i="12" s="1"/>
  <c r="E14" i="17"/>
  <c r="K28" i="17"/>
  <c r="K31" i="17"/>
  <c r="K34" i="17"/>
  <c r="K37" i="17"/>
  <c r="K43" i="17"/>
  <c r="M47" i="17"/>
  <c r="M46" i="17"/>
  <c r="M41" i="17"/>
  <c r="M50" i="17"/>
  <c r="M27" i="17"/>
  <c r="M30" i="17"/>
  <c r="M33" i="17"/>
  <c r="M42" i="17"/>
  <c r="M56" i="17"/>
  <c r="M18" i="17"/>
  <c r="M13" i="17"/>
  <c r="M16" i="17"/>
  <c r="M21" i="17"/>
  <c r="M26" i="17"/>
  <c r="M24" i="17"/>
  <c r="M23" i="17"/>
  <c r="M70" i="17"/>
  <c r="M54" i="17"/>
  <c r="M60" i="17"/>
  <c r="M66" i="17"/>
  <c r="M55" i="17"/>
  <c r="M61" i="17"/>
  <c r="M67" i="17"/>
  <c r="M62" i="17"/>
  <c r="M8" i="17"/>
  <c r="M34" i="17"/>
  <c r="M37" i="17"/>
  <c r="M40" i="17"/>
  <c r="M43" i="17"/>
  <c r="M51" i="17"/>
  <c r="M63" i="17"/>
  <c r="M69" i="17"/>
  <c r="M22" i="17"/>
  <c r="M17" i="17"/>
  <c r="M59" i="17"/>
  <c r="M15" i="17"/>
  <c r="M29" i="17"/>
  <c r="M32" i="17"/>
  <c r="M36" i="17"/>
  <c r="M11" i="17"/>
  <c r="M14" i="17"/>
  <c r="M19" i="17"/>
  <c r="M38" i="17"/>
  <c r="M57" i="17"/>
  <c r="M25" i="17"/>
  <c r="M44" i="17"/>
  <c r="M48" i="17"/>
  <c r="M53" i="17"/>
  <c r="M12" i="17"/>
  <c r="M28" i="17"/>
  <c r="M39" i="17"/>
  <c r="M58" i="17"/>
  <c r="M10" i="17"/>
  <c r="M20" i="17"/>
  <c r="M49" i="17"/>
  <c r="M68" i="17"/>
  <c r="M52" i="17"/>
  <c r="M31" i="17"/>
  <c r="M45" i="17"/>
  <c r="M64" i="17"/>
  <c r="M65" i="17"/>
  <c r="M9" i="17"/>
  <c r="M35" i="17"/>
  <c r="G21" i="17"/>
  <c r="G45" i="17"/>
  <c r="G26" i="17"/>
  <c r="G82" i="17"/>
  <c r="G94" i="17"/>
  <c r="G120" i="17"/>
  <c r="G98" i="17"/>
  <c r="G110" i="17"/>
  <c r="G19" i="17"/>
  <c r="G88" i="17"/>
  <c r="G100" i="17"/>
  <c r="G112" i="17"/>
  <c r="G10" i="17"/>
  <c r="G17" i="17"/>
  <c r="G36" i="17"/>
  <c r="G27" i="17"/>
  <c r="G128" i="17"/>
  <c r="G24" i="17"/>
  <c r="G106" i="17"/>
  <c r="G118" i="17"/>
  <c r="G130" i="17"/>
  <c r="G87" i="17"/>
  <c r="G102" i="17"/>
  <c r="G113" i="17"/>
  <c r="G124" i="17"/>
  <c r="G89" i="17"/>
  <c r="G22" i="17"/>
  <c r="G29" i="17"/>
  <c r="G41" i="17"/>
  <c r="G79" i="17"/>
  <c r="G50" i="17"/>
  <c r="G54" i="17"/>
  <c r="G58" i="17"/>
  <c r="G66" i="17"/>
  <c r="G70" i="17"/>
  <c r="G92" i="17"/>
  <c r="G46" i="17"/>
  <c r="G62" i="17"/>
  <c r="G13" i="17"/>
  <c r="G20" i="17"/>
  <c r="G39" i="17"/>
  <c r="G32" i="17"/>
  <c r="G44" i="17"/>
  <c r="G129" i="17"/>
  <c r="G77" i="17"/>
  <c r="G8" i="17"/>
  <c r="G18" i="17"/>
  <c r="G16" i="17"/>
  <c r="G23" i="17"/>
  <c r="G30" i="17"/>
  <c r="G42" i="17"/>
  <c r="G108" i="17"/>
  <c r="G123" i="17"/>
  <c r="G25" i="17"/>
  <c r="G35" i="17"/>
  <c r="G97" i="17"/>
  <c r="G80" i="17"/>
  <c r="G90" i="17"/>
  <c r="G111" i="17"/>
  <c r="G121" i="17"/>
  <c r="G37" i="17"/>
  <c r="G81" i="17"/>
  <c r="G91" i="17"/>
  <c r="G101" i="17"/>
  <c r="G122" i="17"/>
  <c r="G59" i="17"/>
  <c r="G72" i="17"/>
  <c r="G93" i="17"/>
  <c r="G103" i="17"/>
  <c r="G63" i="17"/>
  <c r="G9" i="17"/>
  <c r="G28" i="17"/>
  <c r="G40" i="17"/>
  <c r="G73" i="17"/>
  <c r="G83" i="17"/>
  <c r="G104" i="17"/>
  <c r="G114" i="17"/>
  <c r="G55" i="17"/>
  <c r="G33" i="17"/>
  <c r="G56" i="17"/>
  <c r="G60" i="17"/>
  <c r="G64" i="17"/>
  <c r="G68" i="17"/>
  <c r="G74" i="17"/>
  <c r="G84" i="17"/>
  <c r="G105" i="17"/>
  <c r="G115" i="17"/>
  <c r="G125" i="17"/>
  <c r="G51" i="17"/>
  <c r="G67" i="17"/>
  <c r="G14" i="17"/>
  <c r="G48" i="17"/>
  <c r="G38" i="17"/>
  <c r="G75" i="17"/>
  <c r="G85" i="17"/>
  <c r="G95" i="17"/>
  <c r="G116" i="17"/>
  <c r="G126" i="17"/>
  <c r="G11" i="17"/>
  <c r="G71" i="17"/>
  <c r="G52" i="17"/>
  <c r="G12" i="17"/>
  <c r="G31" i="17"/>
  <c r="G43" i="17"/>
  <c r="G86" i="17"/>
  <c r="G96" i="17"/>
  <c r="G117" i="17"/>
  <c r="G127" i="17"/>
  <c r="G47" i="17"/>
  <c r="G49" i="17"/>
  <c r="G53" i="17"/>
  <c r="G57" i="17"/>
  <c r="G61" i="17"/>
  <c r="G65" i="17"/>
  <c r="G69" i="17"/>
  <c r="G76" i="17"/>
  <c r="G107" i="17"/>
  <c r="G15" i="17"/>
  <c r="G34" i="17"/>
  <c r="G78" i="17"/>
  <c r="G99" i="17"/>
  <c r="G109" i="17"/>
  <c r="G119" i="17"/>
  <c r="K36" i="17"/>
  <c r="E22" i="17"/>
  <c r="E18" i="17"/>
  <c r="E33" i="17"/>
  <c r="K12" i="17"/>
  <c r="E37" i="17"/>
  <c r="K40" i="17"/>
  <c r="K18" i="17"/>
  <c r="K33" i="17"/>
  <c r="K42" i="17"/>
  <c r="E42" i="17"/>
  <c r="K14" i="17"/>
  <c r="E20" i="17"/>
  <c r="E24" i="17"/>
  <c r="E26" i="17"/>
  <c r="K29" i="17"/>
  <c r="E44" i="17"/>
  <c r="E13" i="17"/>
  <c r="E16" i="17"/>
  <c r="K20" i="17"/>
  <c r="K22" i="17"/>
  <c r="K26" i="17"/>
  <c r="E30" i="17"/>
  <c r="E39" i="17"/>
  <c r="K17" i="17"/>
  <c r="E25" i="17"/>
  <c r="E23" i="17"/>
  <c r="E15" i="17"/>
  <c r="K24" i="17"/>
  <c r="E28" i="17"/>
  <c r="R12" i="17" l="1" a="1"/>
  <c r="R12" i="17" s="1"/>
  <c r="R13" i="17" a="1"/>
  <c r="R13" i="17" s="1"/>
  <c r="R24" i="17" a="1"/>
  <c r="R24" i="17" s="1"/>
  <c r="R23" i="17" a="1"/>
  <c r="R23" i="17" s="1"/>
  <c r="G49" i="12"/>
  <c r="F47" i="12"/>
  <c r="F48" i="12"/>
  <c r="F49" i="12"/>
  <c r="J49" i="12"/>
  <c r="K49" i="12"/>
  <c r="J48" i="12"/>
  <c r="K48" i="12"/>
  <c r="F27" i="12"/>
  <c r="G46" i="12"/>
  <c r="F46" i="12"/>
  <c r="G47" i="12"/>
  <c r="G48" i="12"/>
  <c r="J20" i="12"/>
  <c r="K10" i="12"/>
  <c r="K22" i="12"/>
  <c r="J47" i="12"/>
  <c r="K39" i="12"/>
  <c r="J38" i="12"/>
  <c r="J12" i="12"/>
  <c r="K9" i="12"/>
  <c r="J32" i="12"/>
  <c r="K43" i="12"/>
  <c r="K24" i="12"/>
  <c r="J46" i="12"/>
  <c r="K15" i="12"/>
  <c r="J24" i="12"/>
  <c r="J10" i="12"/>
  <c r="J42" i="12"/>
  <c r="J17" i="12"/>
  <c r="J8" i="12"/>
  <c r="J36" i="12"/>
  <c r="K14" i="12"/>
  <c r="K42" i="12"/>
  <c r="K12" i="12"/>
  <c r="J14" i="12"/>
  <c r="K19" i="12"/>
  <c r="K46" i="12"/>
  <c r="K28" i="12"/>
  <c r="K7" i="12"/>
  <c r="K44" i="12"/>
  <c r="J15" i="12"/>
  <c r="K18" i="12"/>
  <c r="K27" i="12"/>
  <c r="K23" i="12"/>
  <c r="J19" i="12"/>
  <c r="K34" i="12"/>
  <c r="J18" i="12"/>
  <c r="K21" i="12"/>
  <c r="J25" i="12"/>
  <c r="J28" i="12"/>
  <c r="F35" i="12"/>
  <c r="G44" i="12"/>
  <c r="G19" i="12"/>
  <c r="F34" i="12"/>
  <c r="G17" i="12"/>
  <c r="F33" i="12"/>
  <c r="G29" i="12"/>
  <c r="F31" i="12"/>
  <c r="G43" i="12"/>
  <c r="F30" i="12"/>
  <c r="J27" i="12"/>
  <c r="J22" i="12"/>
  <c r="K40" i="12"/>
  <c r="J21" i="12"/>
  <c r="K29" i="12"/>
  <c r="K20" i="12"/>
  <c r="J31" i="12"/>
  <c r="F38" i="12"/>
  <c r="G45" i="12"/>
  <c r="F37" i="12"/>
  <c r="F22" i="12"/>
  <c r="G20" i="12"/>
  <c r="F36" i="12"/>
  <c r="J30" i="12"/>
  <c r="K33" i="12"/>
  <c r="J9" i="12"/>
  <c r="K26" i="12"/>
  <c r="K32" i="12"/>
  <c r="K31" i="12"/>
  <c r="J34" i="12"/>
  <c r="F41" i="12"/>
  <c r="G8" i="12"/>
  <c r="F10" i="12"/>
  <c r="F40" i="12"/>
  <c r="G27" i="12"/>
  <c r="F7" i="12"/>
  <c r="F39" i="12"/>
  <c r="F32" i="12"/>
  <c r="G14" i="12"/>
  <c r="G22" i="12"/>
  <c r="J33" i="12"/>
  <c r="K36" i="12"/>
  <c r="J16" i="12"/>
  <c r="J29" i="12"/>
  <c r="K35" i="12"/>
  <c r="K37" i="12"/>
  <c r="J37" i="12"/>
  <c r="F44" i="12"/>
  <c r="G10" i="12"/>
  <c r="G35" i="12"/>
  <c r="F43" i="12"/>
  <c r="G33" i="12"/>
  <c r="F9" i="12"/>
  <c r="F42" i="12"/>
  <c r="K38" i="12"/>
  <c r="J7" i="12"/>
  <c r="J40" i="12"/>
  <c r="F14" i="12"/>
  <c r="G38" i="12"/>
  <c r="G39" i="12"/>
  <c r="G12" i="12"/>
  <c r="F45" i="12"/>
  <c r="J39" i="12"/>
  <c r="K11" i="12"/>
  <c r="K30" i="12"/>
  <c r="J35" i="12"/>
  <c r="K41" i="12"/>
  <c r="K8" i="12"/>
  <c r="J43" i="12"/>
  <c r="F11" i="12"/>
  <c r="F25" i="12"/>
  <c r="G25" i="12"/>
  <c r="G24" i="12"/>
  <c r="G11" i="12"/>
  <c r="G23" i="12"/>
  <c r="G30" i="12"/>
  <c r="F13" i="12"/>
  <c r="G13" i="12"/>
  <c r="J45" i="12"/>
  <c r="J41" i="12"/>
  <c r="K25" i="12"/>
  <c r="F15" i="12"/>
  <c r="G36" i="12"/>
  <c r="F21" i="12"/>
  <c r="F17" i="12"/>
  <c r="G31" i="12"/>
  <c r="F12" i="12"/>
  <c r="G9" i="12"/>
  <c r="F18" i="12"/>
  <c r="G28" i="12"/>
  <c r="G7" i="12"/>
  <c r="J11" i="12"/>
  <c r="K45" i="12"/>
  <c r="K47" i="12"/>
  <c r="K17" i="12"/>
  <c r="K16" i="12"/>
  <c r="J26" i="12"/>
  <c r="J44" i="12"/>
  <c r="K13" i="12"/>
  <c r="J13" i="12"/>
  <c r="F26" i="12"/>
  <c r="G15" i="12"/>
  <c r="G21" i="12"/>
  <c r="F20" i="12"/>
  <c r="G34" i="12"/>
  <c r="F23" i="12"/>
  <c r="F16" i="12"/>
  <c r="G26" i="12"/>
  <c r="F8" i="12"/>
  <c r="G32" i="12"/>
  <c r="F24" i="12"/>
  <c r="G37" i="12"/>
  <c r="G16" i="12"/>
  <c r="F19" i="12"/>
  <c r="R25" i="17"/>
  <c r="J23" i="12"/>
  <c r="F29" i="12"/>
  <c r="G18" i="12"/>
  <c r="G41" i="12"/>
  <c r="F28" i="12"/>
  <c r="G40" i="12"/>
  <c r="G42" i="12"/>
  <c r="R26" i="17" l="1"/>
  <c r="O47" i="17" s="1"/>
  <c r="R14" i="17"/>
  <c r="R15" i="17" s="1"/>
  <c r="N49" i="17" l="1"/>
  <c r="N48" i="17"/>
  <c r="O24" i="17"/>
  <c r="O49" i="17"/>
  <c r="O27" i="17"/>
  <c r="N39" i="17"/>
  <c r="O41" i="17"/>
  <c r="O33" i="17"/>
  <c r="O15" i="17"/>
  <c r="N30" i="17"/>
  <c r="O34" i="17"/>
  <c r="N36" i="17"/>
  <c r="N16" i="17"/>
  <c r="O10" i="17"/>
  <c r="O28" i="17"/>
  <c r="N10" i="17"/>
  <c r="O13" i="17"/>
  <c r="N17" i="17"/>
  <c r="O46" i="17"/>
  <c r="O29" i="17"/>
  <c r="O43" i="17"/>
  <c r="O8" i="17"/>
  <c r="O20" i="17"/>
  <c r="O7" i="17"/>
  <c r="O11" i="17"/>
  <c r="N24" i="17"/>
  <c r="O18" i="17"/>
  <c r="N7" i="17"/>
  <c r="O25" i="17"/>
  <c r="N37" i="17"/>
  <c r="N31" i="17"/>
  <c r="O39" i="17"/>
  <c r="N43" i="17"/>
  <c r="O48" i="17"/>
  <c r="N27" i="17"/>
  <c r="N22" i="17"/>
  <c r="N18" i="17"/>
  <c r="O9" i="17"/>
  <c r="N11" i="17"/>
  <c r="O40" i="17"/>
  <c r="N8" i="17"/>
  <c r="N20" i="17"/>
  <c r="N34" i="17"/>
  <c r="O38" i="17"/>
  <c r="O16" i="17"/>
  <c r="N29" i="17"/>
  <c r="N26" i="17"/>
  <c r="N46" i="17"/>
  <c r="O21" i="17"/>
  <c r="O22" i="17"/>
  <c r="O30" i="17"/>
  <c r="N32" i="17"/>
  <c r="N15" i="17"/>
  <c r="N12" i="17"/>
  <c r="N25" i="17"/>
  <c r="O44" i="17"/>
  <c r="N44" i="17"/>
  <c r="O19" i="17"/>
  <c r="O31" i="17"/>
  <c r="O42" i="17"/>
  <c r="O14" i="17"/>
  <c r="N41" i="17"/>
  <c r="N21" i="17"/>
  <c r="O17" i="17"/>
  <c r="O36" i="17"/>
  <c r="O26" i="17"/>
  <c r="N14" i="17"/>
  <c r="N23" i="17"/>
  <c r="N19" i="17"/>
  <c r="N42" i="17"/>
  <c r="N33" i="17"/>
  <c r="N9" i="17"/>
  <c r="N35" i="17"/>
  <c r="N38" i="17"/>
  <c r="N28" i="17"/>
  <c r="O23" i="17"/>
  <c r="O32" i="17"/>
  <c r="N45" i="17"/>
  <c r="N47" i="17"/>
  <c r="O37" i="17"/>
  <c r="O12" i="17"/>
  <c r="N40" i="17"/>
  <c r="N13" i="17"/>
  <c r="O45" i="17"/>
  <c r="O35" i="17"/>
  <c r="I49" i="17"/>
  <c r="H49" i="17"/>
  <c r="I48" i="17"/>
  <c r="H48" i="17"/>
  <c r="I47" i="17"/>
  <c r="I21" i="17"/>
  <c r="H47" i="17"/>
  <c r="H41" i="17"/>
  <c r="H35" i="17"/>
  <c r="I11" i="17"/>
  <c r="I42" i="17"/>
  <c r="I36" i="17"/>
  <c r="I30" i="17"/>
  <c r="I14" i="17"/>
  <c r="I13" i="17"/>
  <c r="H42" i="17"/>
  <c r="H36" i="17"/>
  <c r="H30" i="17"/>
  <c r="I23" i="17"/>
  <c r="H22" i="17"/>
  <c r="I15" i="17"/>
  <c r="H14" i="17"/>
  <c r="H13" i="17"/>
  <c r="H12" i="17"/>
  <c r="I8" i="17"/>
  <c r="I43" i="17"/>
  <c r="I37" i="17"/>
  <c r="I31" i="17"/>
  <c r="I24" i="17"/>
  <c r="H23" i="17"/>
  <c r="I16" i="17"/>
  <c r="H15" i="17"/>
  <c r="H8" i="17"/>
  <c r="H43" i="17"/>
  <c r="H37" i="17"/>
  <c r="H31" i="17"/>
  <c r="I25" i="17"/>
  <c r="H24" i="17"/>
  <c r="I17" i="17"/>
  <c r="H16" i="17"/>
  <c r="H25" i="17"/>
  <c r="H44" i="17"/>
  <c r="I18" i="17"/>
  <c r="I20" i="17"/>
  <c r="I7" i="17"/>
  <c r="H7" i="17"/>
  <c r="I44" i="17"/>
  <c r="I38" i="17"/>
  <c r="I32" i="17"/>
  <c r="H17" i="17"/>
  <c r="H38" i="17"/>
  <c r="H32" i="17"/>
  <c r="I26" i="17"/>
  <c r="I9" i="17"/>
  <c r="H40" i="17"/>
  <c r="H28" i="17"/>
  <c r="I41" i="17"/>
  <c r="H20" i="17"/>
  <c r="H10" i="17"/>
  <c r="I45" i="17"/>
  <c r="I39" i="17"/>
  <c r="I33" i="17"/>
  <c r="H26" i="17"/>
  <c r="H18" i="17"/>
  <c r="H9" i="17"/>
  <c r="I10" i="17"/>
  <c r="I35" i="17"/>
  <c r="I29" i="17"/>
  <c r="H21" i="17"/>
  <c r="H11" i="17"/>
  <c r="H45" i="17"/>
  <c r="H39" i="17"/>
  <c r="H33" i="17"/>
  <c r="I27" i="17"/>
  <c r="I19" i="17"/>
  <c r="H29" i="17"/>
  <c r="I22" i="17"/>
  <c r="I46" i="17"/>
  <c r="I40" i="17"/>
  <c r="I34" i="17"/>
  <c r="I28" i="17"/>
  <c r="H27" i="17"/>
  <c r="H19" i="17"/>
  <c r="H46" i="17"/>
  <c r="H34" i="17"/>
  <c r="I1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tc={64E3EB96-87C7-4B9C-BD54-C3277E98F305}</author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  <author>tc={7D93C683-3CC9-4CA5-88A7-CE381226F7E8}</author>
  </authors>
  <commentList>
    <comment ref="B7" authorId="0" shapeId="0" xr:uid="{64E3EB96-87C7-4B9C-BD54-C3277E98F30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2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5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7D93C683-3CC9-4CA5-88A7-CE381226F7E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tc={0526C815-FBB1-40DE-857A-780B07E348C3}</author>
    <author>tc={E55EDF91-B929-427F-974C-7C4BA6A2256F}</author>
    <author>tc={E68D444F-F44E-4F7B-A08B-3E97C8F77EB8}</author>
    <author>tc={5FA73663-8ACB-4C87-9ACE-833B3E2F4F52}</author>
    <author>tc={C84EE756-EBBF-4242-B72B-A7663F6ADECE}</author>
    <author>tc={B367DBCB-7C6A-4BA4-9A30-B8A2E8E7290F}</author>
    <author>tc={926C33C6-F39A-4524-91C9-0CF38C04972A}</author>
    <author>tc={5CCFFE3B-C34B-4578-99E2-92A322494188}</author>
  </authors>
  <commentList>
    <comment ref="B7" authorId="0" shapeId="0" xr:uid="{0526C815-FBB1-40DE-857A-780B07E348C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E55EDF91-B929-427F-974C-7C4BA6A2256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2" shapeId="0" xr:uid="{E68D444F-F44E-4F7B-A08B-3E97C8F77E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5FA73663-8ACB-4C87-9ACE-833B3E2F4F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C84EE756-EBBF-4242-B72B-A7663F6ADE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5" shapeId="0" xr:uid="{B367DBCB-7C6A-4BA4-9A30-B8A2E8E729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926C33C6-F39A-4524-91C9-0CF38C04972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5CCFFE3B-C34B-4578-99E2-92A3224941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449F3959-B20D-4E9F-B8EC-387D477F485D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7979ADB5-CB13-44F2-A710-8AC47B10E3C8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588C5E05-4E1F-4C26-85F8-DEEC715D5DD8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6CA167A2-DE5F-4C03-9AC1-FA1D2E34CC01}" keepAlive="1" name="Query - dpc-covid19-ita-andamento-nazionale (5)" description="Connessione alla query 'dpc-covid19-ita-andamento-nazionale (5)' nella cartella di lavoro." type="5" refreshedVersion="6" background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9FD9AE8A-4705-40F6-8CDB-F3993C06EE42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A1BB73BA-E74A-452F-A572-E3D01FB7E172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3E9ECFB3-4EA4-44E9-8FD0-946392602217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5802F092-0F12-4CDA-A1E3-E610489F1891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<sst xmlns="http://schemas.openxmlformats.org/spreadsheetml/2006/main" count="216" uniqueCount="73">
  <si>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</si>
  <si>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</si>
  <si>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</si>
  <si>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</si>
  <si>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</si>
  <si>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</si>
  <si>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</si>
  <si>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</si>
  <si>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</si>
  <si>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</si>
  <si>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</si>
  <si>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</si>
  <si>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</si>
  <si>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</si>
  <si>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Modeling function: Gompertz sigmoidal growth function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</si>
  <si>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</si>
  <si>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</si>
  <si>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</si>
  <si>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</si>
  <si>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</si>
  <si>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</si>
  <si>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</si>
  <si>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</si>
  <si>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</si>
  <si>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</si>
  <si>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</si>
  <si>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</si>
  <si>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</si>
  <si>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New cases</t>
  </si>
  <si>
    <t>Cum_confirmed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</si>
  <si>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</si>
  <si>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</si>
  <si>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</si>
  <si>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</si>
  <si>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</si>
  <si>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</si>
  <si>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</si>
  <si>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</si>
  <si>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</si>
  <si>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</si>
  <si>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</si>
  <si>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</si>
  <si>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</si>
  <si>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</si>
  <si>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</si>
  <si>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</si>
  <si>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</si>
  <si>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Confirmed fit</t>
  </si>
  <si>
    <t>C. Upper CI</t>
  </si>
  <si>
    <t>C. Lower CI</t>
  </si>
  <si>
    <t>Confirmed</t>
  </si>
  <si>
    <t>pd-IT-0009</t>
  </si>
  <si>
    <t>pd-EN-0009</t>
  </si>
  <si>
    <t>Solver method: GRG non linear engine - option: integer optimization 0%</t>
  </si>
  <si>
    <t>saturation value - constraint (integer)</t>
  </si>
  <si>
    <t>crossover point - constraint (integer)</t>
  </si>
  <si>
    <t>width of crossover region - constraint (none)</t>
  </si>
  <si>
    <t>Deaths</t>
  </si>
  <si>
    <t>Deaths fit</t>
  </si>
  <si>
    <t>D. Upper CI</t>
  </si>
  <si>
    <t>D. Lower CI</t>
  </si>
  <si>
    <t>Cum_fit</t>
  </si>
  <si>
    <t>New_fit</t>
  </si>
  <si>
    <t>Cum_deaths</t>
  </si>
  <si>
    <t>New deaths</t>
  </si>
  <si>
    <t>Cum_D_fit</t>
  </si>
  <si>
    <t>New_D_fit</t>
  </si>
  <si>
    <t>ND_Upper CI</t>
  </si>
  <si>
    <t>ND_Lower CI</t>
  </si>
  <si>
    <t>totale_positivi</t>
  </si>
  <si>
    <t>variazione_totale_positivi</t>
  </si>
  <si>
    <t>nuovi_positivi</t>
  </si>
  <si>
    <t>Peak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</si>
</sst>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32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5" fontId="0" fillId="2" borderId="0" xfId="0" applyNumberFormat="1" applyFill="1"/>
    <xf numFmtId="0" fontId="0" fillId="0" borderId="0" xfId="0" applyAlignment="1">
      <alignment horizontal="left" vertic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0" fillId="0" borderId="0" xfId="0" applyFont="1"/>
    <xf numFmtId="1" fontId="10" fillId="0" borderId="0" xfId="0" applyNumberFormat="1" applyFont="1"/>
    <xf numFmtId="0" fontId="11" fillId="0" borderId="0" xfId="0" applyFont="1"/>
    <xf numFmtId="1" fontId="11" fillId="0" borderId="0" xfId="0" applyNumberFormat="1" applyFont="1"/>
    <xf numFmtId="0" fontId="11" fillId="0" borderId="0" xfId="0" applyFont="1" applyAlignment="1">
      <alignment horizontal="center" wrapText="1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600" b="1" i="0" u="none" strike="noStrike" baseline="0">
                <a:effectLst/>
              </a:rPr>
              <a:t>Cumulative Cases and Deaths</a:t>
            </a:r>
            <a:r>
              <a:rPr lang="it-IT"/>
              <a:t> - Gompertz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 confirmed - Gompertz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fit'!$D$7:$D$70</c:f>
              <c:numCache>
                <c:formatCode>0</c:formatCode>
                <c:ptCount val="64"/>
                <c:pt idx="0">
                  <c:v>3</c:v>
                </c:pt>
                <c:pt idx="1">
                  <c:v>20</c:v>
                </c:pt>
                <c:pt idx="2">
                  <c:v>62</c:v>
                </c:pt>
                <c:pt idx="3">
                  <c:v>155</c:v>
                </c:pt>
                <c:pt idx="4" formatCode="General">
                  <c:v>229</c:v>
                </c:pt>
                <c:pt idx="5" formatCode="General">
                  <c:v>322</c:v>
                </c:pt>
                <c:pt idx="6" formatCode="General">
                  <c:v>400</c:v>
                </c:pt>
                <c:pt idx="7" formatCode="General">
                  <c:v>650</c:v>
                </c:pt>
                <c:pt idx="8" formatCode="General">
                  <c:v>888</c:v>
                </c:pt>
                <c:pt idx="9" formatCode="General">
                  <c:v>1128</c:v>
                </c:pt>
                <c:pt idx="10" formatCode="General">
                  <c:v>1694</c:v>
                </c:pt>
                <c:pt idx="11" formatCode="General">
                  <c:v>2036</c:v>
                </c:pt>
                <c:pt idx="12" formatCode="General">
                  <c:v>2502</c:v>
                </c:pt>
                <c:pt idx="13" formatCode="General">
                  <c:v>3089</c:v>
                </c:pt>
                <c:pt idx="14" formatCode="General">
                  <c:v>3858</c:v>
                </c:pt>
                <c:pt idx="15" formatCode="General">
                  <c:v>4636</c:v>
                </c:pt>
                <c:pt idx="16" formatCode="General">
                  <c:v>5883</c:v>
                </c:pt>
                <c:pt idx="17" formatCode="General">
                  <c:v>7375</c:v>
                </c:pt>
                <c:pt idx="18" formatCode="General">
                  <c:v>9172</c:v>
                </c:pt>
                <c:pt idx="19" formatCode="General">
                  <c:v>10149</c:v>
                </c:pt>
                <c:pt idx="20" formatCode="General">
                  <c:v>12462</c:v>
                </c:pt>
                <c:pt idx="21" formatCode="General">
                  <c:v>15113</c:v>
                </c:pt>
                <c:pt idx="22" formatCode="General">
                  <c:v>17660</c:v>
                </c:pt>
                <c:pt idx="23" formatCode="General">
                  <c:v>21157</c:v>
                </c:pt>
                <c:pt idx="24" formatCode="General">
                  <c:v>24747</c:v>
                </c:pt>
                <c:pt idx="25" formatCode="General">
                  <c:v>27980</c:v>
                </c:pt>
                <c:pt idx="26" formatCode="General">
                  <c:v>31506</c:v>
                </c:pt>
                <c:pt idx="27" formatCode="General">
                  <c:v>35713</c:v>
                </c:pt>
                <c:pt idx="28" formatCode="General">
                  <c:v>41035</c:v>
                </c:pt>
                <c:pt idx="29" formatCode="General">
                  <c:v>47021</c:v>
                </c:pt>
                <c:pt idx="30" formatCode="General">
                  <c:v>53578</c:v>
                </c:pt>
                <c:pt idx="31" formatCode="General">
                  <c:v>59138</c:v>
                </c:pt>
                <c:pt idx="32" formatCode="General">
                  <c:v>63927</c:v>
                </c:pt>
                <c:pt idx="33" formatCode="General">
                  <c:v>69176</c:v>
                </c:pt>
                <c:pt idx="34" formatCode="General">
                  <c:v>74386</c:v>
                </c:pt>
                <c:pt idx="35" formatCode="General">
                  <c:v>80539</c:v>
                </c:pt>
                <c:pt idx="36" formatCode="General">
                  <c:v>86498</c:v>
                </c:pt>
                <c:pt idx="37" formatCode="General">
                  <c:v>92472</c:v>
                </c:pt>
                <c:pt idx="38" formatCode="General">
                  <c:v>97689</c:v>
                </c:pt>
                <c:pt idx="39" formatCode="General">
                  <c:v>101739</c:v>
                </c:pt>
                <c:pt idx="40" formatCode="General">
                  <c:v>105792</c:v>
                </c:pt>
                <c:pt idx="41" formatCode="General">
                  <c:v>110574</c:v>
                </c:pt>
                <c:pt idx="42" formatCode="General">
                  <c:v>115242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 confirmed - Gompertz fit'!$E$6</c:f>
              <c:strCache>
                <c:ptCount val="1"/>
                <c:pt idx="0">
                  <c:v>Confirmed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fit'!$E$7:$E$70</c:f>
              <c:numCache>
                <c:formatCode>0</c:formatCode>
                <c:ptCount val="64"/>
                <c:pt idx="0">
                  <c:v>87.629635389508991</c:v>
                </c:pt>
                <c:pt idx="1">
                  <c:v>129.57986455894149</c:v>
                </c:pt>
                <c:pt idx="2">
                  <c:v>188.12099147748629</c:v>
                </c:pt>
                <c:pt idx="3">
                  <c:v>268.36488870168131</c:v>
                </c:pt>
                <c:pt idx="4">
                  <c:v>376.4962496823868</c:v>
                </c:pt>
                <c:pt idx="5">
                  <c:v>519.85609735703918</c:v>
                </c:pt>
                <c:pt idx="6">
                  <c:v>706.99790969132346</c:v>
                </c:pt>
                <c:pt idx="7">
                  <c:v>947.70966958944825</c:v>
                </c:pt>
                <c:pt idx="8">
                  <c:v>1252.9964000097805</c:v>
                </c:pt>
                <c:pt idx="9">
                  <c:v>1635.0194523372793</c:v>
                </c:pt>
                <c:pt idx="10">
                  <c:v>2106.9908579960984</c:v>
                </c:pt>
                <c:pt idx="11">
                  <c:v>2683.023281693127</c:v>
                </c:pt>
                <c:pt idx="12">
                  <c:v>3377.9383677853502</c:v>
                </c:pt>
                <c:pt idx="13">
                  <c:v>4207.0383897913771</c:v>
                </c:pt>
                <c:pt idx="14">
                  <c:v>5185.847954800025</c:v>
                </c:pt>
                <c:pt idx="15">
                  <c:v>6329.8339658133673</c:v>
                </c:pt>
                <c:pt idx="16">
                  <c:v>7654.1130283801986</c:v>
                </c:pt>
                <c:pt idx="17">
                  <c:v>9173.1559651464668</c:v>
                </c:pt>
                <c:pt idx="18">
                  <c:v>10900.499073779258</c:v>
                </c:pt>
                <c:pt idx="19">
                  <c:v>12848.471265273343</c:v>
                </c:pt>
                <c:pt idx="20">
                  <c:v>15027.94531402734</c:v>
                </c:pt>
                <c:pt idx="21">
                  <c:v>17448.120221258647</c:v>
                </c:pt>
                <c:pt idx="22">
                  <c:v>20116.34023363344</c:v>
                </c:pt>
                <c:pt idx="23">
                  <c:v>23037.954466935334</c:v>
                </c:pt>
                <c:pt idx="24">
                  <c:v>26216.219453788381</c:v>
                </c:pt>
                <c:pt idx="25">
                  <c:v>29652.245348921297</c:v>
                </c:pt>
                <c:pt idx="26">
                  <c:v>33344.985055684956</c:v>
                </c:pt>
                <c:pt idx="27">
                  <c:v>37291.264238094147</c:v>
                </c:pt>
                <c:pt idx="28">
                  <c:v>41485.849091443743</c:v>
                </c:pt>
                <c:pt idx="29">
                  <c:v>45921.547883208863</c:v>
                </c:pt>
                <c:pt idx="30">
                  <c:v>50589.341651386669</c:v>
                </c:pt>
                <c:pt idx="31">
                  <c:v>55478.539053963141</c:v>
                </c:pt>
                <c:pt idx="32">
                  <c:v>60576.9501849804</c:v>
                </c:pt>
                <c:pt idx="33">
                  <c:v>65871.074186485435</c:v>
                </c:pt>
                <c:pt idx="34">
                  <c:v>71346.295663309502</c:v>
                </c:pt>
                <c:pt idx="35">
                  <c:v>76987.085218469918</c:v>
                </c:pt>
                <c:pt idx="36">
                  <c:v>82777.199839752182</c:v>
                </c:pt>
                <c:pt idx="37">
                  <c:v>88699.879352548742</c:v>
                </c:pt>
                <c:pt idx="38">
                  <c:v>94738.035682416696</c:v>
                </c:pt>
                <c:pt idx="39">
                  <c:v>100874.43221832754</c:v>
                </c:pt>
                <c:pt idx="40">
                  <c:v>107091.85111311323</c:v>
                </c:pt>
                <c:pt idx="41">
                  <c:v>113373.24688391434</c:v>
                </c:pt>
                <c:pt idx="42">
                  <c:v>119701.88516908698</c:v>
                </c:pt>
                <c:pt idx="43">
                  <c:v>126061.4659492323</c:v>
                </c:pt>
                <c:pt idx="44">
                  <c:v>132436.23094227808</c:v>
                </c:pt>
                <c:pt idx="45">
                  <c:v>138811.05523226515</c:v>
                </c:pt>
                <c:pt idx="46">
                  <c:v>145171.52348750559</c:v>
                </c:pt>
                <c:pt idx="47">
                  <c:v>151503.99136691465</c:v>
                </c:pt>
                <c:pt idx="48">
                  <c:v>157795.63290594405</c:v>
                </c:pt>
                <c:pt idx="49">
                  <c:v>164034.47481917683</c:v>
                </c:pt>
                <c:pt idx="50">
                  <c:v>170209.41875957756</c:v>
                </c:pt>
                <c:pt idx="51">
                  <c:v>176310.2526393864</c:v>
                </c:pt>
                <c:pt idx="52">
                  <c:v>182327.65214966942</c:v>
                </c:pt>
                <c:pt idx="53">
                  <c:v>188253.17361955636</c:v>
                </c:pt>
                <c:pt idx="54">
                  <c:v>194079.23933700897</c:v>
                </c:pt>
                <c:pt idx="55">
                  <c:v>199799.11641508504</c:v>
                </c:pt>
                <c:pt idx="56">
                  <c:v>205406.89023524176</c:v>
                </c:pt>
                <c:pt idx="57">
                  <c:v>210897.43343599123</c:v>
                </c:pt>
                <c:pt idx="58">
                  <c:v>216266.37134446605</c:v>
                </c:pt>
                <c:pt idx="59">
                  <c:v>221510.04467302177</c:v>
                </c:pt>
                <c:pt idx="60">
                  <c:v>226625.47022529805</c:v>
                </c:pt>
                <c:pt idx="61">
                  <c:v>231610.30027818549</c:v>
                </c:pt>
                <c:pt idx="62">
                  <c:v>236462.78122950974</c:v>
                </c:pt>
                <c:pt idx="63">
                  <c:v>241181.7120272278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A-4A2B-A269-1602CEC56F63}"/>
            </c:ext>
          </c:extLst>
        </c:ser>
        <c:ser>
          <c:idx val="2"/>
          <c:order val="2"/>
          <c:tx>
            <c:strRef>
              <c:f>'Cumul_ confirmed - Gompertz fit'!$F$6</c:f>
              <c:strCache>
                <c:ptCount val="1"/>
                <c:pt idx="0">
                  <c:v>C. 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fit'!$F$7:$F$70</c:f>
              <c:numCache>
                <c:formatCode>0</c:formatCode>
                <c:ptCount val="64"/>
                <c:pt idx="0">
                  <c:v>4511.9385766960613</c:v>
                </c:pt>
                <c:pt idx="1">
                  <c:v>4553.8888058654939</c:v>
                </c:pt>
                <c:pt idx="2">
                  <c:v>4612.429932784039</c:v>
                </c:pt>
                <c:pt idx="3">
                  <c:v>4692.6738300082343</c:v>
                </c:pt>
                <c:pt idx="4">
                  <c:v>4800.8051909889391</c:v>
                </c:pt>
                <c:pt idx="5">
                  <c:v>4944.165038663592</c:v>
                </c:pt>
                <c:pt idx="6">
                  <c:v>5131.3068509978766</c:v>
                </c:pt>
                <c:pt idx="7">
                  <c:v>5372.0186108960006</c:v>
                </c:pt>
                <c:pt idx="8">
                  <c:v>5677.3053413163334</c:v>
                </c:pt>
                <c:pt idx="9">
                  <c:v>6059.328393643832</c:v>
                </c:pt>
                <c:pt idx="10">
                  <c:v>6531.2997993026511</c:v>
                </c:pt>
                <c:pt idx="11">
                  <c:v>7107.3322229996793</c:v>
                </c:pt>
                <c:pt idx="12">
                  <c:v>7802.2473090919029</c:v>
                </c:pt>
                <c:pt idx="13">
                  <c:v>8631.3473310979298</c:v>
                </c:pt>
                <c:pt idx="14">
                  <c:v>9610.1568961065786</c:v>
                </c:pt>
                <c:pt idx="15">
                  <c:v>10754.14290711992</c:v>
                </c:pt>
                <c:pt idx="16">
                  <c:v>12078.421969686751</c:v>
                </c:pt>
                <c:pt idx="17">
                  <c:v>13597.46490645302</c:v>
                </c:pt>
                <c:pt idx="18">
                  <c:v>15324.808015085811</c:v>
                </c:pt>
                <c:pt idx="19">
                  <c:v>17272.780206579897</c:v>
                </c:pt>
                <c:pt idx="20">
                  <c:v>19452.254255333894</c:v>
                </c:pt>
                <c:pt idx="21">
                  <c:v>21872.4291625652</c:v>
                </c:pt>
                <c:pt idx="22">
                  <c:v>24540.649174939994</c:v>
                </c:pt>
                <c:pt idx="23">
                  <c:v>27462.263408241888</c:v>
                </c:pt>
                <c:pt idx="24">
                  <c:v>30640.528395094934</c:v>
                </c:pt>
                <c:pt idx="25">
                  <c:v>34076.554290227847</c:v>
                </c:pt>
                <c:pt idx="26">
                  <c:v>37769.29399699151</c:v>
                </c:pt>
                <c:pt idx="27">
                  <c:v>41715.573179400701</c:v>
                </c:pt>
                <c:pt idx="28">
                  <c:v>45910.158032750296</c:v>
                </c:pt>
                <c:pt idx="29">
                  <c:v>50345.856824515417</c:v>
                </c:pt>
                <c:pt idx="30">
                  <c:v>55013.650592693222</c:v>
                </c:pt>
                <c:pt idx="31">
                  <c:v>59902.847995269694</c:v>
                </c:pt>
                <c:pt idx="32">
                  <c:v>65001.259126286954</c:v>
                </c:pt>
                <c:pt idx="33">
                  <c:v>70295.383127791982</c:v>
                </c:pt>
                <c:pt idx="34">
                  <c:v>75770.604604616048</c:v>
                </c:pt>
                <c:pt idx="35">
                  <c:v>81411.394159776464</c:v>
                </c:pt>
                <c:pt idx="36">
                  <c:v>87201.508781058728</c:v>
                </c:pt>
                <c:pt idx="37">
                  <c:v>93124.188293855288</c:v>
                </c:pt>
                <c:pt idx="38">
                  <c:v>99162.344623723242</c:v>
                </c:pt>
                <c:pt idx="39">
                  <c:v>105298.74115963408</c:v>
                </c:pt>
                <c:pt idx="40">
                  <c:v>111516.16005441977</c:v>
                </c:pt>
                <c:pt idx="41">
                  <c:v>117797.55582522089</c:v>
                </c:pt>
                <c:pt idx="42">
                  <c:v>124126.19411039352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A-4A2B-A269-1602CEC56F63}"/>
            </c:ext>
          </c:extLst>
        </c:ser>
        <c:ser>
          <c:idx val="3"/>
          <c:order val="3"/>
          <c:tx>
            <c:strRef>
              <c:f>'Cumul_ confirmed - Gompertz fit'!$G$6</c:f>
              <c:strCache>
                <c:ptCount val="1"/>
                <c:pt idx="0">
                  <c:v>C. 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fit'!$G$7:$G$70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761.53901349347234</c:v>
                </c:pt>
                <c:pt idx="15">
                  <c:v>1905.5250245068146</c:v>
                </c:pt>
                <c:pt idx="16">
                  <c:v>3229.8040870736459</c:v>
                </c:pt>
                <c:pt idx="17">
                  <c:v>4748.8470238399141</c:v>
                </c:pt>
                <c:pt idx="18">
                  <c:v>6476.190132472705</c:v>
                </c:pt>
                <c:pt idx="19">
                  <c:v>8424.1623239667897</c:v>
                </c:pt>
                <c:pt idx="20">
                  <c:v>10603.636372720786</c:v>
                </c:pt>
                <c:pt idx="21">
                  <c:v>13023.811279952093</c:v>
                </c:pt>
                <c:pt idx="22">
                  <c:v>15692.031292326887</c:v>
                </c:pt>
                <c:pt idx="23">
                  <c:v>18613.645525628781</c:v>
                </c:pt>
                <c:pt idx="24">
                  <c:v>21791.910512481827</c:v>
                </c:pt>
                <c:pt idx="25">
                  <c:v>25227.936407614743</c:v>
                </c:pt>
                <c:pt idx="26">
                  <c:v>28920.676114378402</c:v>
                </c:pt>
                <c:pt idx="27">
                  <c:v>32866.955296787593</c:v>
                </c:pt>
                <c:pt idx="28">
                  <c:v>37061.540150137189</c:v>
                </c:pt>
                <c:pt idx="29">
                  <c:v>41497.238941902309</c:v>
                </c:pt>
                <c:pt idx="30">
                  <c:v>46165.032710080115</c:v>
                </c:pt>
                <c:pt idx="31">
                  <c:v>51054.230112656587</c:v>
                </c:pt>
                <c:pt idx="32">
                  <c:v>56152.641243673846</c:v>
                </c:pt>
                <c:pt idx="33">
                  <c:v>61446.765245178882</c:v>
                </c:pt>
                <c:pt idx="34">
                  <c:v>66921.986722002956</c:v>
                </c:pt>
                <c:pt idx="35">
                  <c:v>72562.776277163372</c:v>
                </c:pt>
                <c:pt idx="36">
                  <c:v>78352.890898445636</c:v>
                </c:pt>
                <c:pt idx="37">
                  <c:v>84275.570411242195</c:v>
                </c:pt>
                <c:pt idx="38">
                  <c:v>90313.726741110149</c:v>
                </c:pt>
                <c:pt idx="39">
                  <c:v>96450.12327702099</c:v>
                </c:pt>
                <c:pt idx="40">
                  <c:v>102667.54217180668</c:v>
                </c:pt>
                <c:pt idx="41">
                  <c:v>108948.93794260779</c:v>
                </c:pt>
                <c:pt idx="42">
                  <c:v>115277.57622778043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A-4A2B-A269-1602CEC56F63}"/>
            </c:ext>
          </c:extLst>
        </c:ser>
        <c:ser>
          <c:idx val="4"/>
          <c:order val="4"/>
          <c:tx>
            <c:strRef>
              <c:f>'Cumul_ confirmed - Gompertz fit'!$H$6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 confirmed - Gompertz fit'!$H$7:$H$70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10</c:v>
                </c:pt>
                <c:pt idx="6">
                  <c:v>12</c:v>
                </c:pt>
                <c:pt idx="7">
                  <c:v>17</c:v>
                </c:pt>
                <c:pt idx="8">
                  <c:v>21</c:v>
                </c:pt>
                <c:pt idx="9">
                  <c:v>29</c:v>
                </c:pt>
                <c:pt idx="10">
                  <c:v>34</c:v>
                </c:pt>
                <c:pt idx="11">
                  <c:v>52</c:v>
                </c:pt>
                <c:pt idx="12">
                  <c:v>79</c:v>
                </c:pt>
                <c:pt idx="13">
                  <c:v>107</c:v>
                </c:pt>
                <c:pt idx="14">
                  <c:v>148</c:v>
                </c:pt>
                <c:pt idx="15">
                  <c:v>197</c:v>
                </c:pt>
                <c:pt idx="16">
                  <c:v>233</c:v>
                </c:pt>
                <c:pt idx="17">
                  <c:v>366</c:v>
                </c:pt>
                <c:pt idx="18">
                  <c:v>463</c:v>
                </c:pt>
                <c:pt idx="19">
                  <c:v>631</c:v>
                </c:pt>
                <c:pt idx="20">
                  <c:v>827</c:v>
                </c:pt>
                <c:pt idx="21">
                  <c:v>1016</c:v>
                </c:pt>
                <c:pt idx="22">
                  <c:v>1266</c:v>
                </c:pt>
                <c:pt idx="23">
                  <c:v>1441</c:v>
                </c:pt>
                <c:pt idx="24">
                  <c:v>1809</c:v>
                </c:pt>
                <c:pt idx="25">
                  <c:v>2158</c:v>
                </c:pt>
                <c:pt idx="26">
                  <c:v>2503</c:v>
                </c:pt>
                <c:pt idx="27">
                  <c:v>2978</c:v>
                </c:pt>
                <c:pt idx="28">
                  <c:v>3405</c:v>
                </c:pt>
                <c:pt idx="29">
                  <c:v>4032</c:v>
                </c:pt>
                <c:pt idx="30">
                  <c:v>4825</c:v>
                </c:pt>
                <c:pt idx="31">
                  <c:v>5476</c:v>
                </c:pt>
                <c:pt idx="32">
                  <c:v>6077</c:v>
                </c:pt>
                <c:pt idx="33">
                  <c:v>6820</c:v>
                </c:pt>
                <c:pt idx="34">
                  <c:v>7503</c:v>
                </c:pt>
                <c:pt idx="35">
                  <c:v>8165</c:v>
                </c:pt>
                <c:pt idx="36">
                  <c:v>9134</c:v>
                </c:pt>
                <c:pt idx="37">
                  <c:v>10023</c:v>
                </c:pt>
                <c:pt idx="38">
                  <c:v>10779</c:v>
                </c:pt>
                <c:pt idx="39">
                  <c:v>11591</c:v>
                </c:pt>
                <c:pt idx="40">
                  <c:v>12428</c:v>
                </c:pt>
                <c:pt idx="41">
                  <c:v>13155</c:v>
                </c:pt>
                <c:pt idx="42">
                  <c:v>13915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E-4EA2-A6D4-DC85486CE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 confirmed - Gompertz fit'!$I$6</c:f>
              <c:strCache>
                <c:ptCount val="1"/>
                <c:pt idx="0">
                  <c:v>Deaths 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 confirmed - Gompertz fit'!$I$7:$I$70</c:f>
              <c:numCache>
                <c:formatCode>0</c:formatCode>
                <c:ptCount val="64"/>
                <c:pt idx="0">
                  <c:v>0.11931955422569718</c:v>
                </c:pt>
                <c:pt idx="1">
                  <c:v>0.2506075087946173</c:v>
                </c:pt>
                <c:pt idx="2">
                  <c:v>0.50393891818046355</c:v>
                </c:pt>
                <c:pt idx="3">
                  <c:v>0.97268293792079452</c:v>
                </c:pt>
                <c:pt idx="4">
                  <c:v>1.8064148921649192</c:v>
                </c:pt>
                <c:pt idx="5">
                  <c:v>3.2351809417963424</c:v>
                </c:pt>
                <c:pt idx="6">
                  <c:v>5.5993675606435032</c:v>
                </c:pt>
                <c:pt idx="7">
                  <c:v>9.3844530460515294</c:v>
                </c:pt>
                <c:pt idx="8">
                  <c:v>15.25905950473952</c:v>
                </c:pt>
                <c:pt idx="9">
                  <c:v>24.113850553813467</c:v>
                </c:pt>
                <c:pt idx="10">
                  <c:v>37.098070660592477</c:v>
                </c:pt>
                <c:pt idx="11">
                  <c:v>55.650034307902722</c:v>
                </c:pt>
                <c:pt idx="12">
                  <c:v>81.51775684790654</c:v>
                </c:pt>
                <c:pt idx="13">
                  <c:v>116.76623330525811</c:v>
                </c:pt>
                <c:pt idx="14">
                  <c:v>163.76861245421335</c:v>
                </c:pt>
                <c:pt idx="15">
                  <c:v>225.17961340490072</c:v>
                </c:pt>
                <c:pt idx="16">
                  <c:v>303.89087064907073</c:v>
                </c:pt>
                <c:pt idx="17">
                  <c:v>402.96931910766119</c:v>
                </c:pt>
                <c:pt idx="18">
                  <c:v>525.58108379887778</c:v>
                </c:pt>
                <c:pt idx="19">
                  <c:v>674.90447598136075</c:v>
                </c:pt>
                <c:pt idx="20">
                  <c:v>854.03651032376081</c:v>
                </c:pt>
                <c:pt idx="21">
                  <c:v>1065.8977828312029</c:v>
                </c:pt>
                <c:pt idx="22">
                  <c:v>1313.140572606387</c:v>
                </c:pt>
                <c:pt idx="23">
                  <c:v>1598.0646820670008</c:v>
                </c:pt>
                <c:pt idx="24">
                  <c:v>1922.5448747188964</c:v>
                </c:pt>
                <c:pt idx="25">
                  <c:v>2287.9728939145944</c:v>
                </c:pt>
                <c:pt idx="26">
                  <c:v>2695.2160462395186</c:v>
                </c:pt>
                <c:pt idx="27">
                  <c:v>3144.5933026954131</c:v>
                </c:pt>
                <c:pt idx="28">
                  <c:v>3635.8688914214099</c:v>
                </c:pt>
                <c:pt idx="29">
                  <c:v>4168.2624914173548</c:v>
                </c:pt>
                <c:pt idx="30">
                  <c:v>4740.4744313539895</c:v>
                </c:pt>
                <c:pt idx="31">
                  <c:v>5350.7237744456761</c:v>
                </c:pt>
                <c:pt idx="32">
                  <c:v>5996.7968346029529</c:v>
                </c:pt>
                <c:pt idx="33">
                  <c:v>6676.1035108558635</c:v>
                </c:pt>
                <c:pt idx="34">
                  <c:v>7385.7388256444328</c:v>
                </c:pt>
                <c:pt idx="35">
                  <c:v>8122.5471804874333</c:v>
                </c:pt>
                <c:pt idx="36">
                  <c:v>8883.1870690952674</c:v>
                </c:pt>
                <c:pt idx="37">
                  <c:v>9664.1942824102771</c:v>
                </c:pt>
                <c:pt idx="38">
                  <c:v>10462.041973734717</c:v>
                </c:pt>
                <c:pt idx="39">
                  <c:v>11273.196300139061</c:v>
                </c:pt>
                <c:pt idx="40">
                  <c:v>12094.166698365261</c:v>
                </c:pt>
                <c:pt idx="41">
                  <c:v>12921.550173897727</c:v>
                </c:pt>
                <c:pt idx="42">
                  <c:v>13752.069269870857</c:v>
                </c:pt>
                <c:pt idx="43">
                  <c:v>14582.603631322087</c:v>
                </c:pt>
                <c:pt idx="44">
                  <c:v>15410.215286867855</c:v>
                </c:pt>
                <c:pt idx="45">
                  <c:v>16232.167933935583</c:v>
                </c:pt>
                <c:pt idx="46">
                  <c:v>17045.940637158528</c:v>
                </c:pt>
                <c:pt idx="47">
                  <c:v>17849.236435880641</c:v>
                </c:pt>
                <c:pt idx="48">
                  <c:v>18639.986410320253</c:v>
                </c:pt>
                <c:pt idx="49">
                  <c:v>19416.349781673369</c:v>
                </c:pt>
                <c:pt idx="50">
                  <c:v>20176.710624269028</c:v>
                </c:pt>
                <c:pt idx="51">
                  <c:v>20919.671752616305</c:v>
                </c:pt>
                <c:pt idx="52">
                  <c:v>21644.046317234795</c:v>
                </c:pt>
                <c:pt idx="53">
                  <c:v>22348.84760448469</c:v>
                </c:pt>
                <c:pt idx="54">
                  <c:v>23033.277490612683</c:v>
                </c:pt>
                <c:pt idx="55">
                  <c:v>23696.713951750804</c:v>
                </c:pt>
                <c:pt idx="56">
                  <c:v>24338.697981951598</c:v>
                </c:pt>
                <c:pt idx="57">
                  <c:v>24958.920222317181</c:v>
                </c:pt>
                <c:pt idx="58">
                  <c:v>25557.20755723563</c:v>
                </c:pt>
                <c:pt idx="59">
                  <c:v>26133.509889639932</c:v>
                </c:pt>
                <c:pt idx="60">
                  <c:v>26687.887266688311</c:v>
                </c:pt>
                <c:pt idx="61">
                  <c:v>27220.497490696009</c:v>
                </c:pt>
                <c:pt idx="62">
                  <c:v>27731.584317679328</c:v>
                </c:pt>
                <c:pt idx="63">
                  <c:v>28221.466317488081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4E-4EA2-A6D4-DC85486CE05D}"/>
            </c:ext>
          </c:extLst>
        </c:ser>
        <c:ser>
          <c:idx val="6"/>
          <c:order val="6"/>
          <c:tx>
            <c:strRef>
              <c:f>'Cumul_ confirmed - Gompertz fit'!$J$6</c:f>
              <c:strCache>
                <c:ptCount val="1"/>
                <c:pt idx="0">
                  <c:v>D.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 confirmed - Gompertz fit'!$J$7:$J$70</c:f>
              <c:numCache>
                <c:formatCode>0</c:formatCode>
                <c:ptCount val="64"/>
                <c:pt idx="0">
                  <c:v>296.67986521851611</c:v>
                </c:pt>
                <c:pt idx="1">
                  <c:v>296.81115317308507</c:v>
                </c:pt>
                <c:pt idx="2">
                  <c:v>297.06448458247087</c:v>
                </c:pt>
                <c:pt idx="3">
                  <c:v>297.53322860221124</c:v>
                </c:pt>
                <c:pt idx="4">
                  <c:v>298.36696055645535</c:v>
                </c:pt>
                <c:pt idx="5">
                  <c:v>299.79572660608676</c:v>
                </c:pt>
                <c:pt idx="6">
                  <c:v>302.15991322493392</c:v>
                </c:pt>
                <c:pt idx="7">
                  <c:v>305.94499871034196</c:v>
                </c:pt>
                <c:pt idx="8">
                  <c:v>311.81960516902996</c:v>
                </c:pt>
                <c:pt idx="9">
                  <c:v>320.67439621810388</c:v>
                </c:pt>
                <c:pt idx="10">
                  <c:v>333.65861632488293</c:v>
                </c:pt>
                <c:pt idx="11">
                  <c:v>352.21057997219316</c:v>
                </c:pt>
                <c:pt idx="12">
                  <c:v>378.07830251219696</c:v>
                </c:pt>
                <c:pt idx="13">
                  <c:v>413.32677896954851</c:v>
                </c:pt>
                <c:pt idx="14">
                  <c:v>460.32915811850376</c:v>
                </c:pt>
                <c:pt idx="15">
                  <c:v>521.74015906919112</c:v>
                </c:pt>
                <c:pt idx="16">
                  <c:v>600.45141631336116</c:v>
                </c:pt>
                <c:pt idx="17">
                  <c:v>699.52986477195168</c:v>
                </c:pt>
                <c:pt idx="18">
                  <c:v>822.14162946316821</c:v>
                </c:pt>
                <c:pt idx="19">
                  <c:v>971.46502164565118</c:v>
                </c:pt>
                <c:pt idx="20">
                  <c:v>1150.5970559880511</c:v>
                </c:pt>
                <c:pt idx="21">
                  <c:v>1362.4583284954933</c:v>
                </c:pt>
                <c:pt idx="22">
                  <c:v>1609.7011182706774</c:v>
                </c:pt>
                <c:pt idx="23">
                  <c:v>1894.6252277312913</c:v>
                </c:pt>
                <c:pt idx="24">
                  <c:v>2219.1054203831868</c:v>
                </c:pt>
                <c:pt idx="25">
                  <c:v>2584.533439578885</c:v>
                </c:pt>
                <c:pt idx="26">
                  <c:v>2991.7765919038093</c:v>
                </c:pt>
                <c:pt idx="27">
                  <c:v>3441.1538483597033</c:v>
                </c:pt>
                <c:pt idx="28">
                  <c:v>3932.4294370857006</c:v>
                </c:pt>
                <c:pt idx="29">
                  <c:v>4464.8230370816455</c:v>
                </c:pt>
                <c:pt idx="30">
                  <c:v>5037.0349770182802</c:v>
                </c:pt>
                <c:pt idx="31">
                  <c:v>5647.2843201099668</c:v>
                </c:pt>
                <c:pt idx="32">
                  <c:v>6293.3573802672436</c:v>
                </c:pt>
                <c:pt idx="33">
                  <c:v>6972.6640565201542</c:v>
                </c:pt>
                <c:pt idx="34">
                  <c:v>7682.2993713087235</c:v>
                </c:pt>
                <c:pt idx="35">
                  <c:v>8419.1077261517239</c:v>
                </c:pt>
                <c:pt idx="36">
                  <c:v>9179.7476147595571</c:v>
                </c:pt>
                <c:pt idx="37">
                  <c:v>9960.7548280745668</c:v>
                </c:pt>
                <c:pt idx="38">
                  <c:v>10758.602519399006</c:v>
                </c:pt>
                <c:pt idx="39">
                  <c:v>11569.756845803351</c:v>
                </c:pt>
                <c:pt idx="40">
                  <c:v>12390.727244029551</c:v>
                </c:pt>
                <c:pt idx="41">
                  <c:v>13218.110719562017</c:v>
                </c:pt>
                <c:pt idx="42">
                  <c:v>14048.629815535147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4E-4EA2-A6D4-DC85486CE05D}"/>
            </c:ext>
          </c:extLst>
        </c:ser>
        <c:ser>
          <c:idx val="7"/>
          <c:order val="7"/>
          <c:tx>
            <c:strRef>
              <c:f>'Cumul_ confirmed - Gompertz fit'!$K$6</c:f>
              <c:strCache>
                <c:ptCount val="1"/>
                <c:pt idx="0">
                  <c:v>D.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 confirmed - Gompertz fit'!$K$7:$K$70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7.3303249847803045</c:v>
                </c:pt>
                <c:pt idx="17">
                  <c:v>106.40877344337076</c:v>
                </c:pt>
                <c:pt idx="18">
                  <c:v>229.02053813458735</c:v>
                </c:pt>
                <c:pt idx="19">
                  <c:v>378.34393031707032</c:v>
                </c:pt>
                <c:pt idx="20">
                  <c:v>557.47596465947038</c:v>
                </c:pt>
                <c:pt idx="21">
                  <c:v>769.33723716691247</c:v>
                </c:pt>
                <c:pt idx="22">
                  <c:v>1016.5800269420965</c:v>
                </c:pt>
                <c:pt idx="23">
                  <c:v>1301.5041364027104</c:v>
                </c:pt>
                <c:pt idx="24">
                  <c:v>1625.984329054606</c:v>
                </c:pt>
                <c:pt idx="25">
                  <c:v>1991.4123482503039</c:v>
                </c:pt>
                <c:pt idx="26">
                  <c:v>2398.655500575228</c:v>
                </c:pt>
                <c:pt idx="27">
                  <c:v>2848.0327570311229</c:v>
                </c:pt>
                <c:pt idx="28">
                  <c:v>3339.3083457571192</c:v>
                </c:pt>
                <c:pt idx="29">
                  <c:v>3871.7019457530641</c:v>
                </c:pt>
                <c:pt idx="30">
                  <c:v>4443.9138856896989</c:v>
                </c:pt>
                <c:pt idx="31">
                  <c:v>5054.1632287813854</c:v>
                </c:pt>
                <c:pt idx="32">
                  <c:v>5700.2362889386623</c:v>
                </c:pt>
                <c:pt idx="33">
                  <c:v>6379.5429651915729</c:v>
                </c:pt>
                <c:pt idx="34">
                  <c:v>7089.1782799801422</c:v>
                </c:pt>
                <c:pt idx="35">
                  <c:v>7825.9866348231426</c:v>
                </c:pt>
                <c:pt idx="36">
                  <c:v>8586.6265234309776</c:v>
                </c:pt>
                <c:pt idx="37">
                  <c:v>9367.6337367459873</c:v>
                </c:pt>
                <c:pt idx="38">
                  <c:v>10165.481428070427</c:v>
                </c:pt>
                <c:pt idx="39">
                  <c:v>10976.635754474772</c:v>
                </c:pt>
                <c:pt idx="40">
                  <c:v>11797.606152700972</c:v>
                </c:pt>
                <c:pt idx="41">
                  <c:v>12624.989628233438</c:v>
                </c:pt>
                <c:pt idx="42">
                  <c:v>13455.508724206567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04E-4EA2-A6D4-DC85486CE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</a:t>
            </a:r>
            <a:r>
              <a:rPr lang="it-IT" baseline="0"/>
              <a:t> C</a:t>
            </a:r>
            <a:r>
              <a:rPr lang="it-IT"/>
              <a:t>onfirmed Cases</a:t>
            </a:r>
          </a:p>
          <a:p>
            <a:pPr>
              <a:defRPr/>
            </a:pPr>
            <a:r>
              <a:rPr lang="it-IT" sz="1400" b="0" i="0" u="none" strike="noStrike" cap="none" baseline="0">
                <a:effectLst/>
              </a:rPr>
              <a:t>Daily New Cases and Deaths</a:t>
            </a:r>
            <a:r>
              <a:rPr lang="it-IT"/>
              <a:t> - Gompertz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'New_ confirmed - Gompertz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 confirmed - Gompertz fit'!$H$7:$H$70</c:f>
              <c:numCache>
                <c:formatCode>0</c:formatCode>
                <c:ptCount val="64"/>
                <c:pt idx="0">
                  <c:v>1515.3904140657951</c:v>
                </c:pt>
                <c:pt idx="1">
                  <c:v>1605.7517540506171</c:v>
                </c:pt>
                <c:pt idx="2">
                  <c:v>1633.8790269792369</c:v>
                </c:pt>
                <c:pt idx="3">
                  <c:v>1668.6058319983385</c:v>
                </c:pt>
                <c:pt idx="4">
                  <c:v>1710.8819868096818</c:v>
                </c:pt>
                <c:pt idx="5">
                  <c:v>1761.6591863599747</c:v>
                </c:pt>
                <c:pt idx="6">
                  <c:v>1821.8626419895681</c:v>
                </c:pt>
                <c:pt idx="7">
                  <c:v>1892.3608910908374</c:v>
                </c:pt>
                <c:pt idx="8">
                  <c:v>1973.935068439863</c:v>
                </c:pt>
                <c:pt idx="9">
                  <c:v>2067.2490007807705</c:v>
                </c:pt>
                <c:pt idx="10">
                  <c:v>2172.8214698260372</c:v>
                </c:pt>
                <c:pt idx="11">
                  <c:v>2291.0018894088503</c:v>
                </c:pt>
                <c:pt idx="12">
                  <c:v>2421.9504703994671</c:v>
                </c:pt>
                <c:pt idx="13">
                  <c:v>2565.6237175014094</c:v>
                </c:pt>
                <c:pt idx="14">
                  <c:v>2721.7658337017692</c:v>
                </c:pt>
                <c:pt idx="15">
                  <c:v>2889.9063207970266</c:v>
                </c:pt>
                <c:pt idx="16">
                  <c:v>3069.3637774172939</c:v>
                </c:pt>
                <c:pt idx="17">
                  <c:v>3259.2556267351492</c:v>
                </c:pt>
                <c:pt idx="18">
                  <c:v>3458.5132689071534</c:v>
                </c:pt>
                <c:pt idx="19">
                  <c:v>3665.9019588446345</c:v>
                </c:pt>
                <c:pt idx="20">
                  <c:v>3880.0445647129063</c:v>
                </c:pt>
                <c:pt idx="21">
                  <c:v>4099.448269270074</c:v>
                </c:pt>
                <c:pt idx="22">
                  <c:v>4322.5332339079478</c:v>
                </c:pt>
                <c:pt idx="23">
                  <c:v>4547.6622502559776</c:v>
                </c:pt>
                <c:pt idx="24">
                  <c:v>4773.1704504460113</c:v>
                </c:pt>
                <c:pt idx="25">
                  <c:v>4997.3942271403876</c:v>
                </c:pt>
                <c:pt idx="26">
                  <c:v>5218.6986199691719</c:v>
                </c:pt>
                <c:pt idx="27">
                  <c:v>5435.5025477615754</c:v>
                </c:pt>
                <c:pt idx="28">
                  <c:v>5646.3013979451398</c:v>
                </c:pt>
                <c:pt idx="29">
                  <c:v>5849.6866185759836</c:v>
                </c:pt>
                <c:pt idx="30">
                  <c:v>6044.3620885636892</c:v>
                </c:pt>
                <c:pt idx="31">
                  <c:v>6229.1571628801148</c:v>
                </c:pt>
                <c:pt idx="32">
                  <c:v>6403.0363982525932</c:v>
                </c:pt>
                <c:pt idx="33">
                  <c:v>6565.1060586080102</c:v>
                </c:pt>
                <c:pt idx="34">
                  <c:v>6714.6175770168456</c:v>
                </c:pt>
                <c:pt idx="35">
                  <c:v>6850.9682117138555</c:v>
                </c:pt>
                <c:pt idx="36">
                  <c:v>6973.6991783531967</c:v>
                </c:pt>
                <c:pt idx="37">
                  <c:v>7082.4915700133979</c:v>
                </c:pt>
                <c:pt idx="38">
                  <c:v>7177.1603920708412</c:v>
                </c:pt>
                <c:pt idx="39">
                  <c:v>7257.6470426593414</c:v>
                </c:pt>
                <c:pt idx="40">
                  <c:v>7324.0105629281434</c:v>
                </c:pt>
                <c:pt idx="41">
                  <c:v>7376.4179666391983</c:v>
                </c:pt>
                <c:pt idx="42">
                  <c:v>7415.1339376848018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69-4D76-86FB-8CBD3E1407F4}"/>
            </c:ext>
          </c:extLst>
        </c:ser>
        <c:ser>
          <c:idx val="3"/>
          <c:order val="3"/>
          <c:tx>
            <c:strRef>
              <c:f>'New_ confirmed - Gompertz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 confirmed - Gompertz fit'!$I$7:$I$70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38.582949285703762</c:v>
                </c:pt>
                <c:pt idx="17">
                  <c:v>228.47479860355907</c:v>
                </c:pt>
                <c:pt idx="18">
                  <c:v>427.73244077556319</c:v>
                </c:pt>
                <c:pt idx="19">
                  <c:v>635.12113071304429</c:v>
                </c:pt>
                <c:pt idx="20">
                  <c:v>849.26373658131615</c:v>
                </c:pt>
                <c:pt idx="21">
                  <c:v>1068.6674411384838</c:v>
                </c:pt>
                <c:pt idx="22">
                  <c:v>1291.7524057763576</c:v>
                </c:pt>
                <c:pt idx="23">
                  <c:v>1516.8814221243874</c:v>
                </c:pt>
                <c:pt idx="24">
                  <c:v>1742.3896223144211</c:v>
                </c:pt>
                <c:pt idx="25">
                  <c:v>1966.6133990087974</c:v>
                </c:pt>
                <c:pt idx="26">
                  <c:v>2187.9177918375817</c:v>
                </c:pt>
                <c:pt idx="27">
                  <c:v>2404.7217196299853</c:v>
                </c:pt>
                <c:pt idx="28">
                  <c:v>2615.5205698135496</c:v>
                </c:pt>
                <c:pt idx="29">
                  <c:v>2818.9057904443935</c:v>
                </c:pt>
                <c:pt idx="30">
                  <c:v>3013.581260432099</c:v>
                </c:pt>
                <c:pt idx="31">
                  <c:v>3198.3763347485246</c:v>
                </c:pt>
                <c:pt idx="32">
                  <c:v>3372.2555701210031</c:v>
                </c:pt>
                <c:pt idx="33">
                  <c:v>3534.3252304764201</c:v>
                </c:pt>
                <c:pt idx="34">
                  <c:v>3683.8367488852555</c:v>
                </c:pt>
                <c:pt idx="35">
                  <c:v>3820.1873835822653</c:v>
                </c:pt>
                <c:pt idx="36">
                  <c:v>3942.9183502216065</c:v>
                </c:pt>
                <c:pt idx="37">
                  <c:v>4051.7107418818077</c:v>
                </c:pt>
                <c:pt idx="38">
                  <c:v>4146.3795639392511</c:v>
                </c:pt>
                <c:pt idx="39">
                  <c:v>4226.8662145277513</c:v>
                </c:pt>
                <c:pt idx="40">
                  <c:v>4293.2297347965532</c:v>
                </c:pt>
                <c:pt idx="41">
                  <c:v>4345.6371385076081</c:v>
                </c:pt>
                <c:pt idx="42">
                  <c:v>4384.3531095532117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69-4D76-86FB-8CBD3E1407F4}"/>
            </c:ext>
          </c:extLst>
        </c:ser>
        <c:ser>
          <c:idx val="5"/>
          <c:order val="5"/>
          <c:tx>
            <c:strRef>
              <c:f>'New_ confirmed - Gompertz fit'!$M$6</c:f>
              <c:strCache>
                <c:ptCount val="1"/>
                <c:pt idx="0">
                  <c:v>New_D_fit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'New_ confirmed - Gompertz fit'!$M$7:$M$70</c:f>
              <c:numCache>
                <c:formatCode>0</c:formatCode>
                <c:ptCount val="64"/>
                <c:pt idx="0">
                  <c:v>0</c:v>
                </c:pt>
                <c:pt idx="1">
                  <c:v>0.36708114110499979</c:v>
                </c:pt>
                <c:pt idx="2">
                  <c:v>0.64343379700347159</c:v>
                </c:pt>
                <c:pt idx="3">
                  <c:v>1.0900521383576915</c:v>
                </c:pt>
                <c:pt idx="4">
                  <c:v>1.7881585703187928</c:v>
                </c:pt>
                <c:pt idx="5">
                  <c:v>2.8454394828186453</c:v>
                </c:pt>
                <c:pt idx="6">
                  <c:v>4.3995103016630708</c:v>
                </c:pt>
                <c:pt idx="7">
                  <c:v>6.6200039150002414</c:v>
                </c:pt>
                <c:pt idx="8">
                  <c:v>9.7086907850636592</c:v>
                </c:pt>
                <c:pt idx="9">
                  <c:v>13.897144837581518</c:v>
                </c:pt>
                <c:pt idx="10">
                  <c:v>19.441657407899115</c:v>
                </c:pt>
                <c:pt idx="11">
                  <c:v>26.615352790199616</c:v>
                </c:pt>
                <c:pt idx="12">
                  <c:v>35.697742321597744</c:v>
                </c:pt>
                <c:pt idx="13">
                  <c:v>46.962232237826953</c:v>
                </c:pt>
                <c:pt idx="14">
                  <c:v>60.662336811146332</c:v>
                </c:pt>
                <c:pt idx="15">
                  <c:v>77.017511958486836</c:v>
                </c:pt>
                <c:pt idx="16">
                  <c:v>96.199595994347362</c:v>
                </c:pt>
                <c:pt idx="17">
                  <c:v>118.32081718093474</c:v>
                </c:pt>
                <c:pt idx="18">
                  <c:v>143.4242090233522</c:v>
                </c:pt>
                <c:pt idx="19">
                  <c:v>171.47708161562741</c:v>
                </c:pt>
                <c:pt idx="20">
                  <c:v>202.36795580730518</c:v>
                </c:pt>
                <c:pt idx="21">
                  <c:v>235.9071046771046</c:v>
                </c:pt>
                <c:pt idx="22">
                  <c:v>271.83059102603988</c:v>
                </c:pt>
                <c:pt idx="23">
                  <c:v>309.80746348943558</c:v>
                </c:pt>
                <c:pt idx="24">
                  <c:v>349.44959436045337</c:v>
                </c:pt>
                <c:pt idx="25">
                  <c:v>390.32351914035053</c:v>
                </c:pt>
                <c:pt idx="26">
                  <c:v>431.96357403590355</c:v>
                </c:pt>
                <c:pt idx="27">
                  <c:v>473.88561995516056</c:v>
                </c:pt>
                <c:pt idx="28">
                  <c:v>515.60068230613297</c:v>
                </c:pt>
                <c:pt idx="29">
                  <c:v>556.62791448956159</c:v>
                </c:pt>
                <c:pt idx="30">
                  <c:v>596.5063975311532</c:v>
                </c:pt>
                <c:pt idx="31">
                  <c:v>634.80540705595922</c:v>
                </c:pt>
                <c:pt idx="32">
                  <c:v>671.13290115287964</c:v>
                </c:pt>
                <c:pt idx="33">
                  <c:v>705.14209982663942</c:v>
                </c:pt>
                <c:pt idx="34">
                  <c:v>736.53613207963372</c:v>
                </c:pt>
                <c:pt idx="35">
                  <c:v>765.07081582360297</c:v>
                </c:pt>
                <c:pt idx="36">
                  <c:v>790.55570647417335</c:v>
                </c:pt>
                <c:pt idx="37">
                  <c:v>812.85360167276849</c:v>
                </c:pt>
                <c:pt idx="38">
                  <c:v>831.87872293799956</c:v>
                </c:pt>
                <c:pt idx="39">
                  <c:v>847.59381198939627</c:v>
                </c:pt>
                <c:pt idx="40">
                  <c:v>860.00638244641596</c:v>
                </c:pt>
                <c:pt idx="41">
                  <c:v>869.16435931805245</c:v>
                </c:pt>
                <c:pt idx="42">
                  <c:v>875.15132193497084</c:v>
                </c:pt>
                <c:pt idx="43">
                  <c:v>878.08154335448125</c:v>
                </c:pt>
                <c:pt idx="44">
                  <c:v>878.09499312608386</c:v>
                </c:pt>
                <c:pt idx="45">
                  <c:v>875.35244261957268</c:v>
                </c:pt>
                <c:pt idx="46">
                  <c:v>870.03078448496672</c:v>
                </c:pt>
                <c:pt idx="47">
                  <c:v>862.31865144557014</c:v>
                </c:pt>
                <c:pt idx="48">
                  <c:v>852.41239538414811</c:v>
                </c:pt>
                <c:pt idx="49">
                  <c:v>840.51246611732495</c:v>
                </c:pt>
                <c:pt idx="50">
                  <c:v>826.82021065730805</c:v>
                </c:pt>
                <c:pt idx="51">
                  <c:v>811.53509821469197</c:v>
                </c:pt>
                <c:pt idx="52">
                  <c:v>794.85236362846626</c:v>
                </c:pt>
                <c:pt idx="53">
                  <c:v>776.96105213013288</c:v>
                </c:pt>
                <c:pt idx="54">
                  <c:v>758.04244109689898</c:v>
                </c:pt>
                <c:pt idx="55">
                  <c:v>738.26880941976924</c:v>
                </c:pt>
                <c:pt idx="56">
                  <c:v>717.80252198363814</c:v>
                </c:pt>
                <c:pt idx="57">
                  <c:v>696.7953952110438</c:v>
                </c:pt>
                <c:pt idx="58">
                  <c:v>675.38830935334045</c:v>
                </c:pt>
                <c:pt idx="59">
                  <c:v>653.71103394672173</c:v>
                </c:pt>
                <c:pt idx="60">
                  <c:v>631.88223433685198</c:v>
                </c:pt>
                <c:pt idx="61">
                  <c:v>610.0096291994887</c:v>
                </c:pt>
                <c:pt idx="62">
                  <c:v>588.19027136495424</c:v>
                </c:pt>
                <c:pt idx="63">
                  <c:v>566.51092683948082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54-4F54-8540-3EA4BAD91994}"/>
            </c:ext>
          </c:extLst>
        </c:ser>
        <c:ser>
          <c:idx val="6"/>
          <c:order val="6"/>
          <c:tx>
            <c:strRef>
              <c:f>'New_ confirmed - Gompertz fit'!$N$6</c:f>
              <c:strCache>
                <c:ptCount val="1"/>
                <c:pt idx="0">
                  <c:v>ND_Upper CI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 confirmed - Gompertz fit'!$N$7:$N$70</c:f>
              <c:numCache>
                <c:formatCode>0</c:formatCode>
                <c:ptCount val="64"/>
                <c:pt idx="0">
                  <c:v>138.80260378136072</c:v>
                </c:pt>
                <c:pt idx="1">
                  <c:v>139.16968492246571</c:v>
                </c:pt>
                <c:pt idx="2">
                  <c:v>139.44603757836418</c:v>
                </c:pt>
                <c:pt idx="3">
                  <c:v>139.89265591971841</c:v>
                </c:pt>
                <c:pt idx="4">
                  <c:v>140.5907623516795</c:v>
                </c:pt>
                <c:pt idx="5">
                  <c:v>141.64804326417936</c:v>
                </c:pt>
                <c:pt idx="6">
                  <c:v>143.20211408302379</c:v>
                </c:pt>
                <c:pt idx="7">
                  <c:v>145.42260769636096</c:v>
                </c:pt>
                <c:pt idx="8">
                  <c:v>148.51129456642437</c:v>
                </c:pt>
                <c:pt idx="9">
                  <c:v>152.69974861894224</c:v>
                </c:pt>
                <c:pt idx="10">
                  <c:v>158.24426118925982</c:v>
                </c:pt>
                <c:pt idx="11">
                  <c:v>165.41795657156032</c:v>
                </c:pt>
                <c:pt idx="12">
                  <c:v>174.50034610295847</c:v>
                </c:pt>
                <c:pt idx="13">
                  <c:v>185.76483601918767</c:v>
                </c:pt>
                <c:pt idx="14">
                  <c:v>199.46494059250705</c:v>
                </c:pt>
                <c:pt idx="15">
                  <c:v>215.82011573984755</c:v>
                </c:pt>
                <c:pt idx="16">
                  <c:v>235.00219977570808</c:v>
                </c:pt>
                <c:pt idx="17">
                  <c:v>257.12342096229543</c:v>
                </c:pt>
                <c:pt idx="18">
                  <c:v>282.22681280471295</c:v>
                </c:pt>
                <c:pt idx="19">
                  <c:v>310.27968539698816</c:v>
                </c:pt>
                <c:pt idx="20">
                  <c:v>341.17055958866592</c:v>
                </c:pt>
                <c:pt idx="21">
                  <c:v>374.70970845846534</c:v>
                </c:pt>
                <c:pt idx="22">
                  <c:v>410.63319480740063</c:v>
                </c:pt>
                <c:pt idx="23">
                  <c:v>448.61006727079632</c:v>
                </c:pt>
                <c:pt idx="24">
                  <c:v>488.25219814181412</c:v>
                </c:pt>
                <c:pt idx="25">
                  <c:v>529.12612292171127</c:v>
                </c:pt>
                <c:pt idx="26">
                  <c:v>570.76617781726429</c:v>
                </c:pt>
                <c:pt idx="27">
                  <c:v>612.68822373652131</c:v>
                </c:pt>
                <c:pt idx="28">
                  <c:v>654.40328608749371</c:v>
                </c:pt>
                <c:pt idx="29">
                  <c:v>695.43051827092233</c:v>
                </c:pt>
                <c:pt idx="30">
                  <c:v>735.30900131251394</c:v>
                </c:pt>
                <c:pt idx="31">
                  <c:v>773.60801083731997</c:v>
                </c:pt>
                <c:pt idx="32">
                  <c:v>809.93550493424038</c:v>
                </c:pt>
                <c:pt idx="33">
                  <c:v>843.94470360800017</c:v>
                </c:pt>
                <c:pt idx="34">
                  <c:v>875.33873586099446</c:v>
                </c:pt>
                <c:pt idx="35">
                  <c:v>903.87341960496371</c:v>
                </c:pt>
                <c:pt idx="36">
                  <c:v>929.35831025553409</c:v>
                </c:pt>
                <c:pt idx="37">
                  <c:v>951.65620545412924</c:v>
                </c:pt>
                <c:pt idx="38">
                  <c:v>970.6813267193603</c:v>
                </c:pt>
                <c:pt idx="39">
                  <c:v>986.39641577075702</c:v>
                </c:pt>
                <c:pt idx="40">
                  <c:v>998.8089862277767</c:v>
                </c:pt>
                <c:pt idx="41">
                  <c:v>1007.9669630994132</c:v>
                </c:pt>
                <c:pt idx="42">
                  <c:v>1013.9539257163316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54-4F54-8540-3EA4BAD91994}"/>
            </c:ext>
          </c:extLst>
        </c:ser>
        <c:ser>
          <c:idx val="7"/>
          <c:order val="7"/>
          <c:tx>
            <c:strRef>
              <c:f>'New_ confirmed - Gompertz fit'!$O$6</c:f>
              <c:strCache>
                <c:ptCount val="1"/>
                <c:pt idx="0">
                  <c:v>ND_Lower CI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 confirmed - Gompertz fit'!$O$7:$O$70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4.6216052419914888</c:v>
                </c:pt>
                <c:pt idx="19">
                  <c:v>32.674477834266696</c:v>
                </c:pt>
                <c:pt idx="20">
                  <c:v>63.565352025944463</c:v>
                </c:pt>
                <c:pt idx="21">
                  <c:v>97.104500895743882</c:v>
                </c:pt>
                <c:pt idx="22">
                  <c:v>133.02798724467917</c:v>
                </c:pt>
                <c:pt idx="23">
                  <c:v>171.00485970807486</c:v>
                </c:pt>
                <c:pt idx="24">
                  <c:v>210.64699057909266</c:v>
                </c:pt>
                <c:pt idx="25">
                  <c:v>251.52091535898981</c:v>
                </c:pt>
                <c:pt idx="26">
                  <c:v>293.1609702545428</c:v>
                </c:pt>
                <c:pt idx="27">
                  <c:v>335.08301617379982</c:v>
                </c:pt>
                <c:pt idx="28">
                  <c:v>376.79807852477222</c:v>
                </c:pt>
                <c:pt idx="29">
                  <c:v>417.82531070820085</c:v>
                </c:pt>
                <c:pt idx="30">
                  <c:v>457.70379374979245</c:v>
                </c:pt>
                <c:pt idx="31">
                  <c:v>496.00280327459848</c:v>
                </c:pt>
                <c:pt idx="32">
                  <c:v>532.3302973715189</c:v>
                </c:pt>
                <c:pt idx="33">
                  <c:v>566.33949604527868</c:v>
                </c:pt>
                <c:pt idx="34">
                  <c:v>597.73352829827297</c:v>
                </c:pt>
                <c:pt idx="35">
                  <c:v>626.26821204224223</c:v>
                </c:pt>
                <c:pt idx="36">
                  <c:v>651.7531026928126</c:v>
                </c:pt>
                <c:pt idx="37">
                  <c:v>674.05099789140775</c:v>
                </c:pt>
                <c:pt idx="38">
                  <c:v>693.07611915663881</c:v>
                </c:pt>
                <c:pt idx="39">
                  <c:v>708.79120820803553</c:v>
                </c:pt>
                <c:pt idx="40">
                  <c:v>721.20377866505521</c:v>
                </c:pt>
                <c:pt idx="41">
                  <c:v>730.3617555366917</c:v>
                </c:pt>
                <c:pt idx="42">
                  <c:v>736.34871815361009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154-4F54-8540-3EA4BAD9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lineMarker"/>
        <c:varyColors val="0"/>
        <c:ser>
          <c:idx val="0"/>
          <c:order val="0"/>
          <c:tx>
            <c:strRef>
              <c:f>'New_ confirmed - Gompertz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'New_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 confirmed - Gompertz fit'!$E$7:$E$70</c:f>
              <c:numCache>
                <c:formatCode>General</c:formatCode>
                <c:ptCount val="64"/>
                <c:pt idx="0" formatCode="0">
                  <c:v>0</c:v>
                </c:pt>
                <c:pt idx="1">
                  <c:v>17</c:v>
                </c:pt>
                <c:pt idx="2">
                  <c:v>42</c:v>
                </c:pt>
                <c:pt idx="3">
                  <c:v>93</c:v>
                </c:pt>
                <c:pt idx="4">
                  <c:v>74</c:v>
                </c:pt>
                <c:pt idx="5">
                  <c:v>93</c:v>
                </c:pt>
                <c:pt idx="6">
                  <c:v>78</c:v>
                </c:pt>
                <c:pt idx="7">
                  <c:v>250</c:v>
                </c:pt>
                <c:pt idx="8">
                  <c:v>238</c:v>
                </c:pt>
                <c:pt idx="9">
                  <c:v>240</c:v>
                </c:pt>
                <c:pt idx="10">
                  <c:v>566</c:v>
                </c:pt>
                <c:pt idx="11">
                  <c:v>342</c:v>
                </c:pt>
                <c:pt idx="12">
                  <c:v>466</c:v>
                </c:pt>
                <c:pt idx="13">
                  <c:v>587</c:v>
                </c:pt>
                <c:pt idx="14">
                  <c:v>769</c:v>
                </c:pt>
                <c:pt idx="15">
                  <c:v>778</c:v>
                </c:pt>
                <c:pt idx="16">
                  <c:v>1247</c:v>
                </c:pt>
                <c:pt idx="17">
                  <c:v>1492</c:v>
                </c:pt>
                <c:pt idx="18">
                  <c:v>1797</c:v>
                </c:pt>
                <c:pt idx="19">
                  <c:v>977</c:v>
                </c:pt>
                <c:pt idx="20">
                  <c:v>2313</c:v>
                </c:pt>
                <c:pt idx="21">
                  <c:v>2651</c:v>
                </c:pt>
                <c:pt idx="22">
                  <c:v>2547</c:v>
                </c:pt>
                <c:pt idx="23">
                  <c:v>3497</c:v>
                </c:pt>
                <c:pt idx="24">
                  <c:v>3590</c:v>
                </c:pt>
                <c:pt idx="25">
                  <c:v>3233</c:v>
                </c:pt>
                <c:pt idx="26">
                  <c:v>3526</c:v>
                </c:pt>
                <c:pt idx="27">
                  <c:v>4207</c:v>
                </c:pt>
                <c:pt idx="28">
                  <c:v>5322</c:v>
                </c:pt>
                <c:pt idx="29">
                  <c:v>5986</c:v>
                </c:pt>
                <c:pt idx="30">
                  <c:v>6557</c:v>
                </c:pt>
                <c:pt idx="31">
                  <c:v>5560</c:v>
                </c:pt>
                <c:pt idx="32">
                  <c:v>4789</c:v>
                </c:pt>
                <c:pt idx="33">
                  <c:v>5249</c:v>
                </c:pt>
                <c:pt idx="34">
                  <c:v>5210</c:v>
                </c:pt>
                <c:pt idx="35">
                  <c:v>6153</c:v>
                </c:pt>
                <c:pt idx="36">
                  <c:v>5959</c:v>
                </c:pt>
                <c:pt idx="37">
                  <c:v>5974</c:v>
                </c:pt>
                <c:pt idx="38">
                  <c:v>5217</c:v>
                </c:pt>
                <c:pt idx="39">
                  <c:v>4050</c:v>
                </c:pt>
                <c:pt idx="40">
                  <c:v>4053</c:v>
                </c:pt>
                <c:pt idx="41">
                  <c:v>4782</c:v>
                </c:pt>
                <c:pt idx="42">
                  <c:v>4668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9-4D76-86FB-8CBD3E1407F4}"/>
            </c:ext>
          </c:extLst>
        </c:ser>
        <c:ser>
          <c:idx val="1"/>
          <c:order val="1"/>
          <c:tx>
            <c:strRef>
              <c:f>'New_ confirmed - Gompertz fit'!$G$6</c:f>
              <c:strCache>
                <c:ptCount val="1"/>
                <c:pt idx="0">
                  <c:v>New_fit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fit'!$C$7:$C$130</c:f>
              <c:numCache>
                <c:formatCode>General</c:formatCode>
                <c:ptCount val="1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</c:numCache>
            </c:numRef>
          </c:xVal>
          <c:yVal>
            <c:numRef>
              <c:f>'New_ confirmed - Gompertz fit'!$G$7:$G$130</c:f>
              <c:numCache>
                <c:formatCode>0</c:formatCode>
                <c:ptCount val="124"/>
                <c:pt idx="0">
                  <c:v>0</c:v>
                </c:pt>
                <c:pt idx="1">
                  <c:v>90.361339984822052</c:v>
                </c:pt>
                <c:pt idx="2">
                  <c:v>118.48861291344173</c:v>
                </c:pt>
                <c:pt idx="3">
                  <c:v>153.21541793254352</c:v>
                </c:pt>
                <c:pt idx="4">
                  <c:v>195.49157274388676</c:v>
                </c:pt>
                <c:pt idx="5">
                  <c:v>246.26877229417971</c:v>
                </c:pt>
                <c:pt idx="6">
                  <c:v>306.47222792377306</c:v>
                </c:pt>
                <c:pt idx="7">
                  <c:v>376.97047702504233</c:v>
                </c:pt>
                <c:pt idx="8">
                  <c:v>458.54465437406793</c:v>
                </c:pt>
                <c:pt idx="9">
                  <c:v>551.85858671497544</c:v>
                </c:pt>
                <c:pt idx="10">
                  <c:v>657.43105576024209</c:v>
                </c:pt>
                <c:pt idx="11">
                  <c:v>775.61147534305519</c:v>
                </c:pt>
                <c:pt idx="12">
                  <c:v>906.56005633367204</c:v>
                </c:pt>
                <c:pt idx="13">
                  <c:v>1050.2333034356143</c:v>
                </c:pt>
                <c:pt idx="14">
                  <c:v>1206.3754196359741</c:v>
                </c:pt>
                <c:pt idx="15">
                  <c:v>1374.5159067312316</c:v>
                </c:pt>
                <c:pt idx="16">
                  <c:v>1553.9733633514988</c:v>
                </c:pt>
                <c:pt idx="17">
                  <c:v>1743.8652126693542</c:v>
                </c:pt>
                <c:pt idx="18">
                  <c:v>1943.1228548413583</c:v>
                </c:pt>
                <c:pt idx="19">
                  <c:v>2150.5115447788394</c:v>
                </c:pt>
                <c:pt idx="20">
                  <c:v>2364.6541506471112</c:v>
                </c:pt>
                <c:pt idx="21">
                  <c:v>2584.0578552042789</c:v>
                </c:pt>
                <c:pt idx="22">
                  <c:v>2807.1428198421527</c:v>
                </c:pt>
                <c:pt idx="23">
                  <c:v>3032.2718361901825</c:v>
                </c:pt>
                <c:pt idx="24">
                  <c:v>3257.7800363802162</c:v>
                </c:pt>
                <c:pt idx="25">
                  <c:v>3482.0038130745925</c:v>
                </c:pt>
                <c:pt idx="26">
                  <c:v>3703.3082059033768</c:v>
                </c:pt>
                <c:pt idx="27">
                  <c:v>3920.1121336957804</c:v>
                </c:pt>
                <c:pt idx="28">
                  <c:v>4130.9109838793447</c:v>
                </c:pt>
                <c:pt idx="29">
                  <c:v>4334.2962045101885</c:v>
                </c:pt>
                <c:pt idx="30">
                  <c:v>4528.9716744978941</c:v>
                </c:pt>
                <c:pt idx="31">
                  <c:v>4713.7667488143197</c:v>
                </c:pt>
                <c:pt idx="32">
                  <c:v>4887.6459841867982</c:v>
                </c:pt>
                <c:pt idx="33">
                  <c:v>5049.7156445422152</c:v>
                </c:pt>
                <c:pt idx="34">
                  <c:v>5199.2271629510506</c:v>
                </c:pt>
                <c:pt idx="35">
                  <c:v>5335.5777976480604</c:v>
                </c:pt>
                <c:pt idx="36">
                  <c:v>5458.3087642874016</c:v>
                </c:pt>
                <c:pt idx="37">
                  <c:v>5567.1011559476028</c:v>
                </c:pt>
                <c:pt idx="38">
                  <c:v>5661.7699780050461</c:v>
                </c:pt>
                <c:pt idx="39">
                  <c:v>5742.2566285935463</c:v>
                </c:pt>
                <c:pt idx="40">
                  <c:v>5808.6201488623483</c:v>
                </c:pt>
                <c:pt idx="41">
                  <c:v>5861.0275525734032</c:v>
                </c:pt>
                <c:pt idx="42">
                  <c:v>5899.7435236190067</c:v>
                </c:pt>
                <c:pt idx="43">
                  <c:v>5925.1197445431462</c:v>
                </c:pt>
                <c:pt idx="44">
                  <c:v>5937.5840907072707</c:v>
                </c:pt>
                <c:pt idx="45">
                  <c:v>5937.6298947265313</c:v>
                </c:pt>
                <c:pt idx="46">
                  <c:v>5925.8054553952243</c:v>
                </c:pt>
                <c:pt idx="47">
                  <c:v>5902.7039354722656</c:v>
                </c:pt>
                <c:pt idx="48">
                  <c:v>5868.9537641651405</c:v>
                </c:pt>
                <c:pt idx="49">
                  <c:v>5825.2096334927483</c:v>
                </c:pt>
                <c:pt idx="50">
                  <c:v>5772.1441533209872</c:v>
                </c:pt>
                <c:pt idx="51">
                  <c:v>5710.4402079901483</c:v>
                </c:pt>
                <c:pt idx="52">
                  <c:v>5640.7840382129652</c:v>
                </c:pt>
                <c:pt idx="53">
                  <c:v>5563.859055332432</c:v>
                </c:pt>
                <c:pt idx="54">
                  <c:v>5480.3403810286545</c:v>
                </c:pt>
                <c:pt idx="55">
                  <c:v>5390.8900940195308</c:v>
                </c:pt>
                <c:pt idx="56">
                  <c:v>5296.1531560560106</c:v>
                </c:pt>
                <c:pt idx="57">
                  <c:v>5196.7539823548577</c:v>
                </c:pt>
                <c:pt idx="58">
                  <c:v>5093.2936163315899</c:v>
                </c:pt>
                <c:pt idx="59">
                  <c:v>4986.3474648731644</c:v>
                </c:pt>
                <c:pt idx="60">
                  <c:v>4876.4635481919395</c:v>
                </c:pt>
                <c:pt idx="61">
                  <c:v>4764.1612173266476</c:v>
                </c:pt>
                <c:pt idx="62">
                  <c:v>4649.9302923943906</c:v>
                </c:pt>
                <c:pt idx="63">
                  <c:v>4534.2305755628913</c:v>
                </c:pt>
                <c:pt idx="64">
                  <c:v>4417.491694238357</c:v>
                </c:pt>
                <c:pt idx="65">
                  <c:v>4300.1132319954631</c:v>
                </c:pt>
                <c:pt idx="66">
                  <c:v>4182.4651071853295</c:v>
                </c:pt>
                <c:pt idx="67">
                  <c:v>4064.8881618183514</c:v>
                </c:pt>
                <c:pt idx="68">
                  <c:v>3947.6949261478439</c:v>
                </c:pt>
                <c:pt idx="69">
                  <c:v>3831.1705272829859</c:v>
                </c:pt>
                <c:pt idx="70">
                  <c:v>3715.5737130699563</c:v>
                </c:pt>
                <c:pt idx="71">
                  <c:v>3601.1379653547774</c:v>
                </c:pt>
                <c:pt idx="72">
                  <c:v>3488.072679515637</c:v>
                </c:pt>
                <c:pt idx="73">
                  <c:v>3376.5643898200942</c:v>
                </c:pt>
                <c:pt idx="74">
                  <c:v>3266.7780226715258</c:v>
                </c:pt>
                <c:pt idx="75">
                  <c:v>3158.8581621723133</c:v>
                </c:pt>
                <c:pt idx="76">
                  <c:v>3052.9303146090824</c:v>
                </c:pt>
                <c:pt idx="77">
                  <c:v>2949.1021604794078</c:v>
                </c:pt>
                <c:pt idx="78">
                  <c:v>2847.4647845067666</c:v>
                </c:pt>
                <c:pt idx="79">
                  <c:v>2748.0938757554977</c:v>
                </c:pt>
                <c:pt idx="80">
                  <c:v>2651.0508914398379</c:v>
                </c:pt>
                <c:pt idx="81">
                  <c:v>2556.3841793586616</c:v>
                </c:pt>
                <c:pt idx="82">
                  <c:v>2464.1300550571759</c:v>
                </c:pt>
                <c:pt idx="83">
                  <c:v>2374.3138308561174</c:v>
                </c:pt>
                <c:pt idx="84">
                  <c:v>2286.9507947867969</c:v>
                </c:pt>
                <c:pt idx="85">
                  <c:v>2202.0471382535179</c:v>
                </c:pt>
                <c:pt idx="86">
                  <c:v>2119.6008319102693</c:v>
                </c:pt>
                <c:pt idx="87">
                  <c:v>2039.6024498066399</c:v>
                </c:pt>
                <c:pt idx="88">
                  <c:v>1962.0359423340997</c:v>
                </c:pt>
                <c:pt idx="89">
                  <c:v>1886.8793588975677</c:v>
                </c:pt>
                <c:pt idx="90">
                  <c:v>1814.1055215577944</c:v>
                </c:pt>
                <c:pt idx="91">
                  <c:v>1743.6826511492836</c:v>
                </c:pt>
                <c:pt idx="92">
                  <c:v>1675.5749475753983</c:v>
                </c:pt>
                <c:pt idx="93">
                  <c:v>1609.7431261375896</c:v>
                </c:pt>
                <c:pt idx="94">
                  <c:v>1546.1449118619203</c:v>
                </c:pt>
                <c:pt idx="95">
                  <c:v>1484.7354938571225</c:v>
                </c:pt>
                <c:pt idx="96">
                  <c:v>1425.4679417798761</c:v>
                </c:pt>
                <c:pt idx="97">
                  <c:v>1368.29358649801</c:v>
                </c:pt>
                <c:pt idx="98">
                  <c:v>1313.1623670284171</c:v>
                </c:pt>
                <c:pt idx="99">
                  <c:v>1260.0231458070339</c:v>
                </c:pt>
                <c:pt idx="100">
                  <c:v>1208.8239942990476</c:v>
                </c:pt>
                <c:pt idx="101">
                  <c:v>1159.5124509073212</c:v>
                </c:pt>
                <c:pt idx="102">
                  <c:v>1112.0357530724141</c:v>
                </c:pt>
                <c:pt idx="103">
                  <c:v>1066.3410453858669</c:v>
                </c:pt>
                <c:pt idx="104">
                  <c:v>1022.3755654623965</c:v>
                </c:pt>
                <c:pt idx="105">
                  <c:v>980.08680923772044</c:v>
                </c:pt>
                <c:pt idx="106">
                  <c:v>939.42267727374565</c:v>
                </c:pt>
                <c:pt idx="107">
                  <c:v>900.33160357375164</c:v>
                </c:pt>
                <c:pt idx="108">
                  <c:v>862.76266832201509</c:v>
                </c:pt>
                <c:pt idx="109">
                  <c:v>826.66569588374114</c:v>
                </c:pt>
                <c:pt idx="110">
                  <c:v>791.99133931763936</c:v>
                </c:pt>
                <c:pt idx="111">
                  <c:v>758.69115257507656</c:v>
                </c:pt>
                <c:pt idx="112">
                  <c:v>726.71765148302075</c:v>
                </c:pt>
                <c:pt idx="113">
                  <c:v>696.02436453301925</c:v>
                </c:pt>
                <c:pt idx="114">
                  <c:v>666.56587442889577</c:v>
                </c:pt>
                <c:pt idx="115">
                  <c:v>638.29785127611831</c:v>
                </c:pt>
                <c:pt idx="116">
                  <c:v>611.17707823286764</c:v>
                </c:pt>
                <c:pt idx="117">
                  <c:v>585.16147037839983</c:v>
                </c:pt>
                <c:pt idx="118">
                  <c:v>560.21008750097826</c:v>
                </c:pt>
                <c:pt idx="119">
                  <c:v>536.28314144688193</c:v>
                </c:pt>
                <c:pt idx="120">
                  <c:v>513.3419986263616</c:v>
                </c:pt>
                <c:pt idx="121">
                  <c:v>491.34917821880663</c:v>
                </c:pt>
                <c:pt idx="122">
                  <c:v>470.26834657718427</c:v>
                </c:pt>
                <c:pt idx="123">
                  <c:v>450.06430828996236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9-4D76-86FB-8CBD3E1407F4}"/>
            </c:ext>
          </c:extLst>
        </c:ser>
        <c:ser>
          <c:idx val="4"/>
          <c:order val="4"/>
          <c:tx>
            <c:strRef>
              <c:f>'New_ confirmed - Gompertz fit'!$K$6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/>
            </c:spPr>
          </c:marker>
          <c:yVal>
            <c:numRef>
              <c:f>'New_ confirmed - Gompertz fit'!$K$7:$K$70</c:f>
              <c:numCache>
                <c:formatCode>0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5</c:v>
                </c:pt>
                <c:pt idx="11">
                  <c:v>18</c:v>
                </c:pt>
                <c:pt idx="12">
                  <c:v>27</c:v>
                </c:pt>
                <c:pt idx="13">
                  <c:v>28</c:v>
                </c:pt>
                <c:pt idx="14">
                  <c:v>41</c:v>
                </c:pt>
                <c:pt idx="15">
                  <c:v>49</c:v>
                </c:pt>
                <c:pt idx="16">
                  <c:v>36</c:v>
                </c:pt>
                <c:pt idx="17">
                  <c:v>133</c:v>
                </c:pt>
                <c:pt idx="18">
                  <c:v>97</c:v>
                </c:pt>
                <c:pt idx="19">
                  <c:v>168</c:v>
                </c:pt>
                <c:pt idx="20">
                  <c:v>196</c:v>
                </c:pt>
                <c:pt idx="21">
                  <c:v>189</c:v>
                </c:pt>
                <c:pt idx="22">
                  <c:v>250</c:v>
                </c:pt>
                <c:pt idx="23">
                  <c:v>175</c:v>
                </c:pt>
                <c:pt idx="24">
                  <c:v>368</c:v>
                </c:pt>
                <c:pt idx="25">
                  <c:v>349</c:v>
                </c:pt>
                <c:pt idx="26">
                  <c:v>345</c:v>
                </c:pt>
                <c:pt idx="27">
                  <c:v>475</c:v>
                </c:pt>
                <c:pt idx="28">
                  <c:v>427</c:v>
                </c:pt>
                <c:pt idx="29">
                  <c:v>627</c:v>
                </c:pt>
                <c:pt idx="30">
                  <c:v>793</c:v>
                </c:pt>
                <c:pt idx="31">
                  <c:v>651</c:v>
                </c:pt>
                <c:pt idx="32">
                  <c:v>601</c:v>
                </c:pt>
                <c:pt idx="33">
                  <c:v>743</c:v>
                </c:pt>
                <c:pt idx="34">
                  <c:v>683</c:v>
                </c:pt>
                <c:pt idx="35">
                  <c:v>662</c:v>
                </c:pt>
                <c:pt idx="36">
                  <c:v>969</c:v>
                </c:pt>
                <c:pt idx="37">
                  <c:v>889</c:v>
                </c:pt>
                <c:pt idx="38">
                  <c:v>756</c:v>
                </c:pt>
                <c:pt idx="39">
                  <c:v>812</c:v>
                </c:pt>
                <c:pt idx="40">
                  <c:v>837</c:v>
                </c:pt>
                <c:pt idx="41">
                  <c:v>727</c:v>
                </c:pt>
                <c:pt idx="42">
                  <c:v>760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4-4F54-8540-3EA4BAD9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5</xdr:row>
      <xdr:rowOff>7620</xdr:rowOff>
    </xdr:from>
    <xdr:to>
      <xdr:col>25</xdr:col>
      <xdr:colOff>99060</xdr:colOff>
      <xdr:row>37</xdr:row>
      <xdr:rowOff>152399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75E20206-2CE6-4BED-8789-9127B2392E0A}"/>
            </a:ext>
          </a:extLst>
        </xdr:cNvPr>
        <xdr:cNvGrpSpPr/>
      </xdr:nvGrpSpPr>
      <xdr:grpSpPr>
        <a:xfrm>
          <a:off x="8509363" y="1292134"/>
          <a:ext cx="6938554" cy="6131922"/>
          <a:chOff x="6629400" y="1295400"/>
          <a:chExt cx="6941820" cy="5303523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95400"/>
          <a:ext cx="6941820" cy="530352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</a:t>
                </a:r>
                <a:r>
                  <a:rPr lang="it-IT" sz="14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2366D626-FC51-41E1-8627-7475466C9F30}"/>
              </a:ext>
            </a:extLst>
          </xdr:cNvPr>
          <xdr:cNvSpPr txBox="1"/>
        </xdr:nvSpPr>
        <xdr:spPr>
          <a:xfrm>
            <a:off x="8168640" y="3291186"/>
            <a:ext cx="1828800" cy="11783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Total cases detected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359999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45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20.767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b="1" i="1" baseline="30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 0.9968</a:t>
            </a:r>
          </a:p>
          <a:p>
            <a:r>
              <a:rPr lang="it-IT" sz="1100" b="1" i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 4424</a:t>
            </a:r>
            <a:endParaRPr lang="it-IT" b="1">
              <a:solidFill>
                <a:srgbClr val="0070C0"/>
              </a:solidFill>
              <a:effectLst/>
            </a:endParaRPr>
          </a:p>
          <a:p>
            <a:pPr eaLnBrk="1" fontAlgn="auto" latinLnBrk="0" hangingPunct="1"/>
            <a:r>
              <a:rPr lang="it-IT" sz="11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= Feb 20th)</a:t>
            </a:r>
            <a:endParaRPr lang="it-IT" b="1">
              <a:solidFill>
                <a:srgbClr val="0070C0"/>
              </a:solidFill>
              <a:effectLst/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0.68935</cdr:x>
      <cdr:y>0.46965</cdr:y>
    </cdr:from>
    <cdr:to>
      <cdr:x>0.9528</cdr:x>
      <cdr:y>0.69111</cdr:y>
    </cdr:to>
    <cdr:sp macro="" textlink="">
      <cdr:nvSpPr>
        <cdr:cNvPr id="2" name="CasellaDiTesto 4">
          <a:extLst xmlns:a="http://schemas.openxmlformats.org/drawingml/2006/main">
            <a:ext uri="{FF2B5EF4-FFF2-40B4-BE49-F238E27FC236}">
              <a16:creationId xmlns:a16="http://schemas.microsoft.com/office/drawing/2014/main" id="{2366D626-FC51-41E1-8627-7475466C9F30}"/>
            </a:ext>
          </a:extLst>
        </cdr:cNvPr>
        <cdr:cNvSpPr txBox="1"/>
      </cdr:nvSpPr>
      <cdr:spPr>
        <a:xfrm xmlns:a="http://schemas.openxmlformats.org/drawingml/2006/main">
          <a:off x="4783092" y="2879858"/>
          <a:ext cx="1827962" cy="135795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</a:t>
          </a:r>
          <a:r>
            <a:rPr lang="it-IT" sz="1400" b="1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deaths</a:t>
          </a:r>
          <a:endParaRPr lang="it-IT" sz="1400" b="1" i="1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37382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43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16.548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b="1" i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0.9988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297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pPr eaLnBrk="1" fontAlgn="auto" latinLnBrk="0" hangingPunct="1"/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69669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708469" y="645523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708469" y="645523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20</xdr:col>
      <xdr:colOff>137160</xdr:colOff>
      <xdr:row>18</xdr:row>
      <xdr:rowOff>15240</xdr:rowOff>
    </xdr:from>
    <xdr:ext cx="65" cy="172227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2D42E899-4196-4B9B-8AB7-590BACDD6DA0}"/>
            </a:ext>
          </a:extLst>
        </xdr:cNvPr>
        <xdr:cNvSpPr txBox="1"/>
      </xdr:nvSpPr>
      <xdr:spPr>
        <a:xfrm>
          <a:off x="10195560" y="29870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18</xdr:col>
      <xdr:colOff>7620</xdr:colOff>
      <xdr:row>5</xdr:row>
      <xdr:rowOff>7620</xdr:rowOff>
    </xdr:from>
    <xdr:to>
      <xdr:col>29</xdr:col>
      <xdr:colOff>99060</xdr:colOff>
      <xdr:row>37</xdr:row>
      <xdr:rowOff>152400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40C6C291-EC82-44BE-93C5-7967E3816F27}"/>
            </a:ext>
          </a:extLst>
        </xdr:cNvPr>
        <xdr:cNvGrpSpPr/>
      </xdr:nvGrpSpPr>
      <xdr:grpSpPr>
        <a:xfrm>
          <a:off x="10871563" y="1292134"/>
          <a:ext cx="6938554" cy="6131923"/>
          <a:chOff x="8846820" y="1295399"/>
          <a:chExt cx="6941820" cy="5303518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5E16BE54-62FA-499A-B2CC-9239B9EDEDE2}"/>
              </a:ext>
            </a:extLst>
          </xdr:cNvPr>
          <xdr:cNvGraphicFramePr>
            <a:graphicFrameLocks/>
          </xdr:cNvGraphicFramePr>
        </xdr:nvGraphicFramePr>
        <xdr:xfrm>
          <a:off x="8846820" y="1295399"/>
          <a:ext cx="6941820" cy="530351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232364" y="2381873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𝐺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232364" y="2381873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𝐺(𝑡)=</a:t>
                </a:r>
                <a:r>
                  <a:rPr lang="it-IT" sz="14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096104" y="1889337"/>
                <a:ext cx="3249534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+1)=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096104" y="1889337"/>
                <a:ext cx="3249534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𝑦(𝑡+1)=𝐺(𝑡+1)−𝐺(𝑡)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  <xdr:cxnSp macro="">
        <xdr:nvCxnSpPr>
          <xdr:cNvPr id="11" name="Connettore diritto 10">
            <a:extLst>
              <a:ext uri="{FF2B5EF4-FFF2-40B4-BE49-F238E27FC236}">
                <a16:creationId xmlns:a16="http://schemas.microsoft.com/office/drawing/2014/main" id="{1173D55D-DEC2-4B98-9577-8873827CA26A}"/>
              </a:ext>
            </a:extLst>
          </xdr:cNvPr>
          <xdr:cNvCxnSpPr/>
        </xdr:nvCxnSpPr>
        <xdr:spPr>
          <a:xfrm>
            <a:off x="9296400" y="2830212"/>
            <a:ext cx="237744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9584129" y="2525887"/>
                <a:ext cx="467720" cy="21129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skw"/>
                          <m:ctrlPr>
                            <a:rPr lang="it-IT" sz="1400" b="0" i="1">
                              <a:solidFill>
                                <a:srgbClr val="0070C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0070C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𝐾</m:t>
                          </m:r>
                        </m:num>
                        <m:den>
                          <m:r>
                            <a:rPr lang="it-IT" sz="1400" b="0" i="1">
                              <a:solidFill>
                                <a:srgbClr val="0070C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𝑒𝑤</m:t>
                          </m:r>
                        </m:den>
                      </m:f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9584129" y="2525887"/>
                <a:ext cx="467720" cy="21129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it-IT" sz="1400" b="0" i="0">
                    <a:solidFill>
                      <a:srgbClr val="0070C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𝐾⁄𝑒𝑤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Fallback>
      </mc:AlternateContent>
    </xdr:grpSp>
    <xdr:clientData/>
  </xdr:twoCellAnchor>
  <xdr:twoCellAnchor>
    <xdr:from>
      <xdr:col>23</xdr:col>
      <xdr:colOff>337458</xdr:colOff>
      <xdr:row>24</xdr:row>
      <xdr:rowOff>32657</xdr:rowOff>
    </xdr:from>
    <xdr:to>
      <xdr:col>26</xdr:col>
      <xdr:colOff>336551</xdr:colOff>
      <xdr:row>31</xdr:row>
      <xdr:rowOff>99648</xdr:rowOff>
    </xdr:to>
    <xdr:sp macro="" textlink="">
      <xdr:nvSpPr>
        <xdr:cNvPr id="13" name="CasellaDiTesto 4">
          <a:extLst>
            <a:ext uri="{FF2B5EF4-FFF2-40B4-BE49-F238E27FC236}">
              <a16:creationId xmlns:a16="http://schemas.microsoft.com/office/drawing/2014/main" id="{64E97727-E9BD-4F4B-B9DF-5C95FB8B23DA}"/>
            </a:ext>
          </a:extLst>
        </xdr:cNvPr>
        <xdr:cNvSpPr txBox="1"/>
      </xdr:nvSpPr>
      <xdr:spPr>
        <a:xfrm>
          <a:off x="14390915" y="4898571"/>
          <a:ext cx="1827893" cy="1362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Daily new deaths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908</a:t>
          </a:r>
          <a:endParaRPr lang="it-IT" b="1">
            <a:solidFill>
              <a:srgbClr val="FF0000"/>
            </a:solidFill>
          </a:endParaRP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44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17.585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b="1" i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0.9585</a:t>
          </a:r>
        </a:p>
        <a:p>
          <a:r>
            <a:rPr lang="it-IT" sz="1100" b="1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139</a:t>
          </a:r>
          <a:endParaRPr lang="it-IT" b="1">
            <a:solidFill>
              <a:srgbClr val="FF0000"/>
            </a:solidFill>
            <a:effectLst/>
          </a:endParaRPr>
        </a:p>
        <a:p>
          <a:pPr eaLnBrk="1" fontAlgn="auto" latinLnBrk="0" hangingPunct="1"/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0.50466</cdr:x>
      <cdr:y>0.28167</cdr:y>
    </cdr:from>
    <cdr:to>
      <cdr:x>0.7681</cdr:x>
      <cdr:y>0.50385</cdr:y>
    </cdr:to>
    <cdr:sp macro="" textlink="">
      <cdr:nvSpPr>
        <cdr:cNvPr id="2" name="CasellaDiTesto 4">
          <a:extLst xmlns:a="http://schemas.openxmlformats.org/drawingml/2006/main">
            <a:ext uri="{FF2B5EF4-FFF2-40B4-BE49-F238E27FC236}">
              <a16:creationId xmlns:a16="http://schemas.microsoft.com/office/drawing/2014/main" id="{2366D626-FC51-41E1-8627-7475466C9F30}"/>
            </a:ext>
          </a:extLst>
        </cdr:cNvPr>
        <cdr:cNvSpPr txBox="1"/>
      </cdr:nvSpPr>
      <cdr:spPr>
        <a:xfrm xmlns:a="http://schemas.openxmlformats.org/drawingml/2006/main">
          <a:off x="3501593" y="1727186"/>
          <a:ext cx="1827893" cy="136239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New cases detected</a:t>
          </a:r>
        </a:p>
        <a:p xmlns:a="http://schemas.openxmlformats.org/drawingml/2006/main"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5940</a:t>
          </a:r>
          <a:r>
            <a:rPr lang="it-IT" b="1">
              <a:solidFill>
                <a:srgbClr val="0070C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45</a:t>
          </a:r>
          <a:r>
            <a:rPr lang="it-IT" b="1">
              <a:solidFill>
                <a:srgbClr val="0070C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22.104</a:t>
          </a:r>
          <a:r>
            <a:rPr lang="it-IT" b="1">
              <a:solidFill>
                <a:srgbClr val="0070C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b="1" i="1" baseline="30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 0.8957</a:t>
          </a:r>
        </a:p>
        <a:p xmlns:a="http://schemas.openxmlformats.org/drawingml/2006/main">
          <a:r>
            <a:rPr lang="it-IT" sz="1100" b="1" i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 1515</a:t>
          </a:r>
          <a:endParaRPr lang="it-IT" b="1">
            <a:solidFill>
              <a:srgbClr val="0070C0"/>
            </a:solidFill>
            <a:effectLst/>
          </a:endParaRPr>
        </a:p>
        <a:p xmlns:a="http://schemas.openxmlformats.org/drawingml/2006/main">
          <a:pPr eaLnBrk="1" fontAlgn="auto" latinLnBrk="0" hangingPunct="1"/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0070C0"/>
            </a:solidFill>
            <a:effectLst/>
          </a:endParaRPr>
        </a:p>
      </cdr:txBody>
    </cdr:sp>
  </cdr:relSizeAnchor>
  <cdr:relSizeAnchor xmlns:cdr="http://schemas.openxmlformats.org/drawingml/2006/chartDrawing">
    <cdr:from>
      <cdr:x>0.06449</cdr:x>
      <cdr:y>0.73209</cdr:y>
    </cdr:from>
    <cdr:to>
      <cdr:x>0.40697</cdr:x>
      <cdr:y>0.73209</cdr:y>
    </cdr:to>
    <cdr:cxnSp macro="">
      <cdr:nvCxnSpPr>
        <cdr:cNvPr id="3" name="Connettore diritto 2">
          <a:extLst xmlns:a="http://schemas.openxmlformats.org/drawingml/2006/main">
            <a:ext uri="{FF2B5EF4-FFF2-40B4-BE49-F238E27FC236}">
              <a16:creationId xmlns:a16="http://schemas.microsoft.com/office/drawing/2014/main" id="{1173D55D-DEC2-4B98-9577-8873827CA26A}"/>
            </a:ext>
          </a:extLst>
        </cdr:cNvPr>
        <cdr:cNvCxnSpPr/>
      </cdr:nvCxnSpPr>
      <cdr:spPr>
        <a:xfrm xmlns:a="http://schemas.openxmlformats.org/drawingml/2006/main">
          <a:off x="447467" y="4489091"/>
          <a:ext cx="2376316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5752BB5A-86CD-499A-9399-71093D9E2521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1C0BD-0543-4FCB-89C9-A3035C211C82}" name="dpc_covid19_ita_andamento_nazionale__9" displayName="dpc_covid19_ita_andamento_nazionale__9" ref="A1:O40" tableType="queryTable" totalsRowShown="0">
  <autoFilter ref="A1:O40" xr:uid="{9EB70A45-6BB7-4493-BE34-D2E588E230B9}"/>
  <tableColumns count="15">
    <tableColumn id="1" xr3:uid="{149115E2-B5B2-4730-A035-390C865B2CC4}" uniqueName="1" name="data" queryTableFieldId="1" dataDxfId="3"/>
    <tableColumn id="2" xr3:uid="{FECF19DC-43A3-46C3-B8D7-3DC923310E79}" uniqueName="2" name="stato" queryTableFieldId="2" dataDxfId="2"/>
    <tableColumn id="3" xr3:uid="{85F31668-9CF9-4621-A714-B3AFA333CBD0}" uniqueName="3" name="ricoverati_con_sintomi" queryTableFieldId="3"/>
    <tableColumn id="4" xr3:uid="{2108A999-7F81-4E66-8AF2-E9043871EDAE}" uniqueName="4" name="terapia_intensiva" queryTableFieldId="4"/>
    <tableColumn id="5" xr3:uid="{19B92816-677B-459F-8345-515819513CA3}" uniqueName="5" name="totale_ospedalizzati" queryTableFieldId="5"/>
    <tableColumn id="6" xr3:uid="{160A0F0E-B84B-47DA-BE3A-8A8347AACFC5}" uniqueName="6" name="isolamento_domiciliare" queryTableFieldId="6"/>
    <tableColumn id="7" xr3:uid="{8420EF34-31BE-44FA-8553-689EC4E54567}" uniqueName="7" name="totale_positivi" queryTableFieldId="7"/>
    <tableColumn id="8" xr3:uid="{59FA9595-F4FB-489E-87C0-18EB91DC4037}" uniqueName="8" name="variazione_totale_positivi" queryTableFieldId="8"/>
    <tableColumn id="9" xr3:uid="{AA11A0B8-0A56-4965-A591-4FC3E82A703C}" uniqueName="9" name="nuovi_positivi" queryTableFieldId="9"/>
    <tableColumn id="10" xr3:uid="{73A84D9F-6C19-4967-BB9C-85237EFC834F}" uniqueName="10" name="dimessi_guariti" queryTableFieldId="10"/>
    <tableColumn id="11" xr3:uid="{FDEDEE72-5362-406D-86A9-7AC9C6562F43}" uniqueName="11" name="deceduti" queryTableFieldId="11"/>
    <tableColumn id="12" xr3:uid="{1D16D4E7-C761-4B7B-9493-5790840FEE47}" uniqueName="12" name="totale_casi" queryTableFieldId="12"/>
    <tableColumn id="13" xr3:uid="{6F5814D7-CB1E-468F-AF5D-6602D625C6DA}" uniqueName="13" name="tamponi" queryTableFieldId="13"/>
    <tableColumn id="14" xr3:uid="{634FAC36-D32F-4654-9F48-877572B01CE3}" uniqueName="14" name="note_it" queryTableFieldId="14" dataDxfId="1"/>
    <tableColumn id="15" xr3:uid="{361F9462-91CE-43A3-B879-6AA5D54F6002}" uniqueName="15" name="note_e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30T22:47:17.14" personId="{6B746D70-F039-4BD3-A8E2-CFBE3CA77AEB}" id="{64E3EB96-87C7-4B9C-BD54-C3277E98F305}">
    <text>Worldometer data</text>
  </threadedComment>
  <threadedComment ref="B11" dT="2020-03-21T22:11:56.31" personId="{6B746D70-F039-4BD3-A8E2-CFBE3CA77AEB}" id="{A8254C99-F8D0-4594-8DF9-BAFD3FB1F24C}">
    <text>red zone</text>
  </threadedComment>
  <threadedComment ref="B17" dT="2020-03-21T22:12:51.46" personId="{6B746D70-F039-4BD3-A8E2-CFBE3CA77AEB}" id="{68C9FCAD-9B4E-4A36-9FFD-6E42EF7BAB2E}">
    <text>partial lockdown (north)</text>
  </threadedComment>
  <threadedComment ref="B21" dT="2020-03-21T22:13:52.19" personId="{6B746D70-F039-4BD3-A8E2-CFBE3CA77AEB}" id="{2996D8DF-A90C-4837-A522-D1B05D838A82}">
    <text>school closure (Italy)</text>
  </threadedComment>
  <threadedComment ref="B24" dT="2020-03-21T22:14:24.84" personId="{6B746D70-F039-4BD3-A8E2-CFBE3CA77AEB}" id="{882C4A53-2ECA-4C73-9AA1-B5A8E73D3E81}">
    <text>lockdown (north)</text>
  </threadedComment>
  <threadedComment ref="B26" dT="2020-03-21T22:14:52.14" personId="{6B746D70-F039-4BD3-A8E2-CFBE3CA77AEB}" id="{6447A7C0-2273-4DFF-A091-BC96FA683C9A}">
    <text>partial lockdown (Italy)</text>
  </threadedComment>
  <threadedComment ref="B28" dT="2020-03-21T22:15:16.77" personId="{6B746D70-F039-4BD3-A8E2-CFBE3CA77AEB}" id="{15FBF8B4-9604-4298-88C0-A397053E9646}">
    <text>lockdown (Italy)</text>
  </threadedComment>
  <threadedComment ref="B39" dT="2020-03-23T22:01:18.08" personId="{6B746D70-F039-4BD3-A8E2-CFBE3CA77AEB}" id="{7D93C683-3CC9-4CA5-88A7-CE381226F7E8}">
    <text>reinforced lockdown (Itay)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30T22:47:17.14" personId="{6B746D70-F039-4BD3-A8E2-CFBE3CA77AEB}" id="{0526C815-FBB1-40DE-857A-780B07E348C3}">
    <text>Worldometer data</text>
  </threadedComment>
  <threadedComment ref="B11" dT="2020-03-21T22:11:56.31" personId="{6B746D70-F039-4BD3-A8E2-CFBE3CA77AEB}" id="{E55EDF91-B929-427F-974C-7C4BA6A2256F}">
    <text>red zone</text>
  </threadedComment>
  <threadedComment ref="B17" dT="2020-03-21T22:12:51.46" personId="{6B746D70-F039-4BD3-A8E2-CFBE3CA77AEB}" id="{E68D444F-F44E-4F7B-A08B-3E97C8F77EB8}">
    <text>partial lockdown (north)</text>
  </threadedComment>
  <threadedComment ref="B21" dT="2020-03-21T22:13:52.19" personId="{6B746D70-F039-4BD3-A8E2-CFBE3CA77AEB}" id="{5FA73663-8ACB-4C87-9ACE-833B3E2F4F52}">
    <text>school closure (Italy)</text>
  </threadedComment>
  <threadedComment ref="B24" dT="2020-03-21T22:14:24.84" personId="{6B746D70-F039-4BD3-A8E2-CFBE3CA77AEB}" id="{C84EE756-EBBF-4242-B72B-A7663F6ADECE}">
    <text>lockdown (north)</text>
  </threadedComment>
  <threadedComment ref="B26" dT="2020-03-21T22:14:52.14" personId="{6B746D70-F039-4BD3-A8E2-CFBE3CA77AEB}" id="{B367DBCB-7C6A-4BA4-9A30-B8A2E8E7290F}">
    <text>partial lockdown (Italy)</text>
  </threadedComment>
  <threadedComment ref="B28" dT="2020-03-21T22:15:16.77" personId="{6B746D70-F039-4BD3-A8E2-CFBE3CA77AEB}" id="{926C33C6-F39A-4524-91C9-0CF38C04972A}">
    <text>lockdown (Italy)</text>
  </threadedComment>
  <threadedComment ref="B39" dT="2020-03-23T22:01:18.08" personId="{6B746D70-F039-4BD3-A8E2-CFBE3CA77AEB}" id="{5CCFFE3B-C34B-4578-99E2-92A322494188}">
    <text>reinforced lockdown (Itay)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798-5C84-40AD-9A9A-8A8BDF7164C5}">
  <dimension ref="A1:O40"/>
  <sheetViews>
    <sheetView topLeftCell="D19" workbookViewId="0"/>
  </sheetViews>
  <sheetFormatPr defaultRowHeight="14.4" x14ac:dyDescent="0.3"/>
  <cols>
    <col min="1" max="1" width="15.6640625" style="2" bestFit="1" customWidth="1"/>
    <col min="2" max="2" width="7.44140625" style="2" bestFit="1" customWidth="1"/>
    <col min="3" max="3" width="22.6640625" style="2" bestFit="1" customWidth="1"/>
    <col min="4" max="4" width="17.77734375" style="2" bestFit="1" customWidth="1"/>
    <col min="5" max="5" width="20" style="2" bestFit="1" customWidth="1"/>
    <col min="6" max="6" width="23" style="2" bestFit="1" customWidth="1"/>
    <col min="7" max="7" width="15.109375" style="2" bestFit="1" customWidth="1"/>
    <col min="8" max="8" width="25" style="2" bestFit="1" customWidth="1"/>
    <col min="9" max="9" width="15" style="2" bestFit="1" customWidth="1"/>
    <col min="10" max="10" width="15.88671875" style="2" bestFit="1" customWidth="1"/>
    <col min="11" max="11" width="10.5546875" style="2" bestFit="1" customWidth="1"/>
    <col min="12" max="12" width="12.21875" style="2" bestFit="1" customWidth="1"/>
    <col min="13" max="13" width="10.33203125" style="2" bestFit="1" customWidth="1"/>
    <col min="14" max="14" width="19.5546875" style="2" bestFit="1" customWidth="1"/>
    <col min="15" max="15" width="21.109375" style="2" bestFit="1" customWidth="1"/>
    <col min="16" max="16384" width="8.88671875" style="2"/>
  </cols>
  <sheetData>
    <row r="1" spans="1:15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69</v>
      </c>
      <c r="H1" s="2" t="s">
        <v>70</v>
      </c>
      <c r="I1" s="2" t="s">
        <v>71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30</v>
      </c>
      <c r="O1" s="2" t="s">
        <v>31</v>
      </c>
    </row>
    <row r="2" spans="1:15" x14ac:dyDescent="0.3">
      <c r="A2" s="15">
        <v>43885.75</v>
      </c>
      <c r="B2" s="16" t="s">
        <v>25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6" t="s">
        <v>32</v>
      </c>
      <c r="O2" s="16" t="s">
        <v>32</v>
      </c>
    </row>
    <row r="3" spans="1:15" x14ac:dyDescent="0.3">
      <c r="A3" s="15">
        <v>43886.75</v>
      </c>
      <c r="B3" s="16" t="s">
        <v>25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6" t="s">
        <v>32</v>
      </c>
      <c r="O3" s="16" t="s">
        <v>32</v>
      </c>
    </row>
    <row r="4" spans="1:15" x14ac:dyDescent="0.3">
      <c r="A4" s="15">
        <v>43887.75</v>
      </c>
      <c r="B4" s="16" t="s">
        <v>25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6" t="s">
        <v>32</v>
      </c>
      <c r="O4" s="16" t="s">
        <v>32</v>
      </c>
    </row>
    <row r="5" spans="1:15" x14ac:dyDescent="0.3">
      <c r="A5" s="15">
        <v>43888.75</v>
      </c>
      <c r="B5" s="16" t="s">
        <v>25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6" t="s">
        <v>32</v>
      </c>
      <c r="O5" s="16" t="s">
        <v>32</v>
      </c>
    </row>
    <row r="6" spans="1:15" x14ac:dyDescent="0.3">
      <c r="A6" s="15">
        <v>43889.75</v>
      </c>
      <c r="B6" s="16" t="s">
        <v>25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6" t="s">
        <v>32</v>
      </c>
      <c r="O6" s="16" t="s">
        <v>32</v>
      </c>
    </row>
    <row r="7" spans="1:15" x14ac:dyDescent="0.3">
      <c r="A7" s="15">
        <v>43890.75</v>
      </c>
      <c r="B7" s="16" t="s">
        <v>25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6" t="s">
        <v>32</v>
      </c>
      <c r="O7" s="16" t="s">
        <v>32</v>
      </c>
    </row>
    <row r="8" spans="1:15" x14ac:dyDescent="0.3">
      <c r="A8" s="15">
        <v>43891.75</v>
      </c>
      <c r="B8" s="16" t="s">
        <v>25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6" t="s">
        <v>32</v>
      </c>
      <c r="O8" s="16" t="s">
        <v>32</v>
      </c>
    </row>
    <row r="9" spans="1:15" x14ac:dyDescent="0.3">
      <c r="A9" s="15">
        <v>43892.75</v>
      </c>
      <c r="B9" s="16" t="s">
        <v>25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6" t="s">
        <v>32</v>
      </c>
      <c r="O9" s="16" t="s">
        <v>32</v>
      </c>
    </row>
    <row r="10" spans="1:15" x14ac:dyDescent="0.3">
      <c r="A10" s="15">
        <v>43893.75</v>
      </c>
      <c r="B10" s="16" t="s">
        <v>25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6" t="s">
        <v>32</v>
      </c>
      <c r="O10" s="16" t="s">
        <v>32</v>
      </c>
    </row>
    <row r="11" spans="1:15" x14ac:dyDescent="0.3">
      <c r="A11" s="15">
        <v>43894.75</v>
      </c>
      <c r="B11" s="16" t="s">
        <v>25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6" t="s">
        <v>32</v>
      </c>
      <c r="O11" s="16" t="s">
        <v>32</v>
      </c>
    </row>
    <row r="12" spans="1:15" x14ac:dyDescent="0.3">
      <c r="A12" s="15">
        <v>43895.75</v>
      </c>
      <c r="B12" s="16" t="s">
        <v>25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6" t="s">
        <v>32</v>
      </c>
      <c r="O12" s="16" t="s">
        <v>32</v>
      </c>
    </row>
    <row r="13" spans="1:15" x14ac:dyDescent="0.3">
      <c r="A13" s="15">
        <v>43896.75</v>
      </c>
      <c r="B13" s="16" t="s">
        <v>25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6" t="s">
        <v>32</v>
      </c>
      <c r="O13" s="16" t="s">
        <v>32</v>
      </c>
    </row>
    <row r="14" spans="1:15" x14ac:dyDescent="0.3">
      <c r="A14" s="15">
        <v>43897.75</v>
      </c>
      <c r="B14" s="16" t="s">
        <v>25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6" t="s">
        <v>33</v>
      </c>
      <c r="O14" s="16" t="s">
        <v>34</v>
      </c>
    </row>
    <row r="15" spans="1:15" x14ac:dyDescent="0.3">
      <c r="A15" s="15">
        <v>43898.75</v>
      </c>
      <c r="B15" s="16" t="s">
        <v>25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6" t="s">
        <v>32</v>
      </c>
      <c r="O15" s="16" t="s">
        <v>32</v>
      </c>
    </row>
    <row r="16" spans="1:15" x14ac:dyDescent="0.3">
      <c r="A16" s="15">
        <v>43899.75</v>
      </c>
      <c r="B16" s="16" t="s">
        <v>25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6" t="s">
        <v>32</v>
      </c>
      <c r="O16" s="16" t="s">
        <v>32</v>
      </c>
    </row>
    <row r="17" spans="1:15" x14ac:dyDescent="0.3">
      <c r="A17" s="15">
        <v>43900.75</v>
      </c>
      <c r="B17" s="16" t="s">
        <v>25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6" t="s">
        <v>35</v>
      </c>
      <c r="O17" s="16" t="s">
        <v>36</v>
      </c>
    </row>
    <row r="18" spans="1:15" x14ac:dyDescent="0.3">
      <c r="A18" s="15">
        <v>43901.708333333336</v>
      </c>
      <c r="B18" s="16" t="s">
        <v>25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6" t="s">
        <v>37</v>
      </c>
      <c r="O18" s="16" t="s">
        <v>38</v>
      </c>
    </row>
    <row r="19" spans="1:15" x14ac:dyDescent="0.3">
      <c r="A19" s="15">
        <v>43902.708333333336</v>
      </c>
      <c r="B19" s="16" t="s">
        <v>25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6" t="s">
        <v>32</v>
      </c>
      <c r="O19" s="16" t="s">
        <v>32</v>
      </c>
    </row>
    <row r="20" spans="1:15" x14ac:dyDescent="0.3">
      <c r="A20" s="15">
        <v>43903.708333333336</v>
      </c>
      <c r="B20" s="16" t="s">
        <v>25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6" t="s">
        <v>32</v>
      </c>
      <c r="O20" s="16" t="s">
        <v>32</v>
      </c>
    </row>
    <row r="21" spans="1:15" x14ac:dyDescent="0.3">
      <c r="A21" s="15">
        <v>43904.708333333336</v>
      </c>
      <c r="B21" s="16" t="s">
        <v>25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6" t="s">
        <v>32</v>
      </c>
      <c r="O21" s="16" t="s">
        <v>32</v>
      </c>
    </row>
    <row r="22" spans="1:15" x14ac:dyDescent="0.3">
      <c r="A22" s="15">
        <v>43905.708333333336</v>
      </c>
      <c r="B22" s="16" t="s">
        <v>25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6" t="s">
        <v>32</v>
      </c>
      <c r="O22" s="16" t="s">
        <v>32</v>
      </c>
    </row>
    <row r="23" spans="1:15" x14ac:dyDescent="0.3">
      <c r="A23" s="15">
        <v>43906.708333333336</v>
      </c>
      <c r="B23" s="16" t="s">
        <v>25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6" t="s">
        <v>39</v>
      </c>
      <c r="O23" s="16" t="s">
        <v>40</v>
      </c>
    </row>
    <row r="24" spans="1:15" x14ac:dyDescent="0.3">
      <c r="A24" s="15">
        <v>43907.708333333336</v>
      </c>
      <c r="B24" s="16" t="s">
        <v>25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6" t="s">
        <v>41</v>
      </c>
      <c r="O24" s="16" t="s">
        <v>42</v>
      </c>
    </row>
    <row r="25" spans="1:15" x14ac:dyDescent="0.3">
      <c r="A25" s="15">
        <v>43908.708333333336</v>
      </c>
      <c r="B25" s="16" t="s">
        <v>25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6" t="s">
        <v>43</v>
      </c>
      <c r="O25" s="16" t="s">
        <v>44</v>
      </c>
    </row>
    <row r="26" spans="1:15" x14ac:dyDescent="0.3">
      <c r="A26" s="15">
        <v>43909.708333333336</v>
      </c>
      <c r="B26" s="16" t="s">
        <v>25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6" t="s">
        <v>32</v>
      </c>
      <c r="O26" s="16" t="s">
        <v>32</v>
      </c>
    </row>
    <row r="27" spans="1:15" x14ac:dyDescent="0.3">
      <c r="A27" s="15">
        <v>43910.708333333336</v>
      </c>
      <c r="B27" s="16" t="s">
        <v>25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6" t="s">
        <v>32</v>
      </c>
      <c r="O27" s="16" t="s">
        <v>32</v>
      </c>
    </row>
    <row r="28" spans="1:15" x14ac:dyDescent="0.3">
      <c r="A28" s="15">
        <v>43911.708333333336</v>
      </c>
      <c r="B28" s="16" t="s">
        <v>25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6" t="s">
        <v>32</v>
      </c>
      <c r="O28" s="16" t="s">
        <v>32</v>
      </c>
    </row>
    <row r="29" spans="1:15" x14ac:dyDescent="0.3">
      <c r="A29" s="15">
        <v>43912.708333333336</v>
      </c>
      <c r="B29" s="16" t="s">
        <v>25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6" t="s">
        <v>32</v>
      </c>
      <c r="O29" s="16" t="s">
        <v>32</v>
      </c>
    </row>
    <row r="30" spans="1:15" x14ac:dyDescent="0.3">
      <c r="A30" s="15">
        <v>43913.708333333336</v>
      </c>
      <c r="B30" s="16" t="s">
        <v>25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6" t="s">
        <v>32</v>
      </c>
      <c r="O30" s="16" t="s">
        <v>32</v>
      </c>
    </row>
    <row r="31" spans="1:15" x14ac:dyDescent="0.3">
      <c r="A31" s="15">
        <v>43914.708333333336</v>
      </c>
      <c r="B31" s="16" t="s">
        <v>25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6" t="s">
        <v>32</v>
      </c>
      <c r="O31" s="16" t="s">
        <v>32</v>
      </c>
    </row>
    <row r="32" spans="1:15" x14ac:dyDescent="0.3">
      <c r="A32" s="15">
        <v>43915.708333333336</v>
      </c>
      <c r="B32" s="16" t="s">
        <v>25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6" t="s">
        <v>32</v>
      </c>
      <c r="O32" s="16" t="s">
        <v>32</v>
      </c>
    </row>
    <row r="33" spans="1:15" x14ac:dyDescent="0.3">
      <c r="A33" s="15">
        <v>43916.708333333336</v>
      </c>
      <c r="B33" s="16" t="s">
        <v>25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6" t="s">
        <v>45</v>
      </c>
      <c r="O33" s="16" t="s">
        <v>46</v>
      </c>
    </row>
    <row r="34" spans="1:15" x14ac:dyDescent="0.3">
      <c r="A34" s="15">
        <v>43917.708333333336</v>
      </c>
      <c r="B34" s="16" t="s">
        <v>25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6" t="s">
        <v>32</v>
      </c>
      <c r="O34" s="16" t="s">
        <v>32</v>
      </c>
    </row>
    <row r="35" spans="1:15" x14ac:dyDescent="0.3">
      <c r="A35" s="15">
        <v>43918.708333333336</v>
      </c>
      <c r="B35" s="16" t="s">
        <v>25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6" t="s">
        <v>32</v>
      </c>
      <c r="O35" s="16" t="s">
        <v>32</v>
      </c>
    </row>
    <row r="36" spans="1:15" x14ac:dyDescent="0.3">
      <c r="A36" s="15">
        <v>43919.708333333336</v>
      </c>
      <c r="B36" s="16" t="s">
        <v>25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6" t="s">
        <v>51</v>
      </c>
      <c r="O36" s="16" t="s">
        <v>52</v>
      </c>
    </row>
    <row r="37" spans="1:15" x14ac:dyDescent="0.3">
      <c r="A37" s="15">
        <v>43920.708333333336</v>
      </c>
      <c r="B37" s="16" t="s">
        <v>25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6" t="s">
        <v>32</v>
      </c>
      <c r="O37" s="16" t="s">
        <v>32</v>
      </c>
    </row>
    <row r="38" spans="1:15" x14ac:dyDescent="0.3">
      <c r="A38" s="15">
        <v>43921.708333333336</v>
      </c>
      <c r="B38" s="16" t="s">
        <v>25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6" t="s">
        <v>32</v>
      </c>
      <c r="O38" s="16" t="s">
        <v>32</v>
      </c>
    </row>
    <row r="39" spans="1:15" x14ac:dyDescent="0.3">
      <c r="A39" s="15">
        <v>43922.708333333336</v>
      </c>
      <c r="B39" s="16" t="s">
        <v>25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6" t="s">
        <v>32</v>
      </c>
      <c r="O39" s="16" t="s">
        <v>32</v>
      </c>
    </row>
    <row r="40" spans="1:15" x14ac:dyDescent="0.3">
      <c r="A40" s="15">
        <v>43923.708333333336</v>
      </c>
      <c r="B40" s="16" t="s">
        <v>25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6" t="s">
        <v>32</v>
      </c>
      <c r="O40" s="16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R70"/>
  <sheetViews>
    <sheetView zoomScale="70" zoomScaleNormal="70" workbookViewId="0">
      <selection activeCell="AG15" sqref="AG15"/>
    </sheetView>
  </sheetViews>
  <sheetFormatPr defaultRowHeight="14.4" x14ac:dyDescent="0.3"/>
  <cols>
    <col min="1" max="1" width="2.77734375" style="2" customWidth="1"/>
    <col min="2" max="2" width="8.88671875" style="2"/>
    <col min="3" max="3" width="4.109375" style="2" bestFit="1" customWidth="1"/>
    <col min="4" max="4" width="14.5546875" style="2" bestFit="1" customWidth="1"/>
    <col min="5" max="5" width="11.77734375" style="2" bestFit="1" customWidth="1"/>
    <col min="6" max="6" width="10.21875" style="2" bestFit="1" customWidth="1"/>
    <col min="7" max="7" width="10.33203125" style="2" bestFit="1" customWidth="1"/>
    <col min="8" max="8" width="6.6640625" style="2" bestFit="1" customWidth="1"/>
    <col min="9" max="9" width="8.88671875" style="2" bestFit="1" customWidth="1"/>
    <col min="10" max="10" width="10.33203125" style="2" bestFit="1" customWidth="1"/>
    <col min="11" max="11" width="10.44140625" style="2" bestFit="1" customWidth="1"/>
    <col min="12" max="12" width="1.77734375" style="2" customWidth="1"/>
    <col min="13" max="13" width="11.77734375" style="2" customWidth="1"/>
    <col min="14" max="14" width="11.44140625" style="2" bestFit="1" customWidth="1"/>
    <col min="15" max="18" width="8.88671875" style="2"/>
    <col min="19" max="19" width="11" style="2" bestFit="1" customWidth="1"/>
    <col min="20" max="16384" width="8.88671875" style="2"/>
  </cols>
  <sheetData>
    <row r="2" spans="2:18" ht="31.2" x14ac:dyDescent="0.6">
      <c r="B2" s="12" t="s">
        <v>13</v>
      </c>
    </row>
    <row r="3" spans="2:18" ht="17.399999999999999" customHeight="1" x14ac:dyDescent="0.6">
      <c r="B3" s="12"/>
      <c r="O3" s="18" t="s">
        <v>0</v>
      </c>
      <c r="P3" s="17" t="s">
        <v>54</v>
      </c>
      <c r="Q3" s="23"/>
      <c r="R3" s="23"/>
    </row>
    <row r="4" spans="2:18" ht="20.399999999999999" x14ac:dyDescent="0.35">
      <c r="B4" s="13" t="s">
        <v>14</v>
      </c>
      <c r="C4" s="14"/>
      <c r="O4" s="18" t="s">
        <v>26</v>
      </c>
      <c r="P4" s="17" t="s">
        <v>55</v>
      </c>
      <c r="Q4" s="23"/>
      <c r="R4" s="23"/>
    </row>
    <row r="5" spans="2:18" ht="18" x14ac:dyDescent="0.35">
      <c r="B5" s="13" t="s">
        <v>53</v>
      </c>
      <c r="O5" s="18" t="s">
        <v>1</v>
      </c>
      <c r="P5" s="17" t="s">
        <v>56</v>
      </c>
      <c r="Q5" s="23"/>
      <c r="R5" s="23"/>
    </row>
    <row r="6" spans="2:18" x14ac:dyDescent="0.3">
      <c r="B6" s="4" t="s">
        <v>10</v>
      </c>
      <c r="C6" s="4" t="s">
        <v>11</v>
      </c>
      <c r="D6" s="4" t="s">
        <v>12</v>
      </c>
      <c r="E6" s="9" t="s">
        <v>47</v>
      </c>
      <c r="F6" s="9" t="s">
        <v>48</v>
      </c>
      <c r="G6" s="9" t="s">
        <v>49</v>
      </c>
      <c r="H6" s="4" t="s">
        <v>57</v>
      </c>
      <c r="I6" s="9" t="s">
        <v>58</v>
      </c>
      <c r="J6" s="9" t="s">
        <v>59</v>
      </c>
      <c r="K6" s="9" t="s">
        <v>60</v>
      </c>
      <c r="L6" s="9"/>
      <c r="M6" s="31" t="s">
        <v>50</v>
      </c>
      <c r="N6" s="3"/>
      <c r="O6" s="3"/>
    </row>
    <row r="7" spans="2:18" x14ac:dyDescent="0.3">
      <c r="B7" s="24">
        <v>43881</v>
      </c>
      <c r="C7" s="25">
        <v>1</v>
      </c>
      <c r="D7" s="26">
        <v>3</v>
      </c>
      <c r="E7" s="11">
        <f>K*EXP(-EXP(-($C7-t0)/w))</f>
        <v>87.629635389508991</v>
      </c>
      <c r="F7" s="11">
        <f>E7+CI</f>
        <v>4511.9385766960613</v>
      </c>
      <c r="G7" s="11">
        <f>MAX(E7-CI,0)</f>
        <v>0</v>
      </c>
      <c r="H7" s="25">
        <v>0</v>
      </c>
      <c r="I7" s="11">
        <f>Kh*EXP(-EXP(-($C7-t0h)/wh))</f>
        <v>0.11931955422569718</v>
      </c>
      <c r="J7" s="11">
        <f>I7+CIh</f>
        <v>296.67986521851611</v>
      </c>
      <c r="K7" s="11">
        <f>MAX(I7-CIh,0)</f>
        <v>0</v>
      </c>
      <c r="L7" s="9"/>
      <c r="M7" s="19" t="s">
        <v>0</v>
      </c>
      <c r="N7" s="5">
        <v>359999</v>
      </c>
      <c r="O7" s="3"/>
    </row>
    <row r="8" spans="2:18" ht="15.6" x14ac:dyDescent="0.35">
      <c r="B8" s="24">
        <v>43882</v>
      </c>
      <c r="C8" s="25">
        <v>2</v>
      </c>
      <c r="D8" s="26">
        <v>20</v>
      </c>
      <c r="E8" s="11">
        <f>K*EXP(-EXP(-($C8-t0)/w))</f>
        <v>129.57986455894149</v>
      </c>
      <c r="F8" s="11">
        <f>E8+CI</f>
        <v>4553.8888058654939</v>
      </c>
      <c r="G8" s="11">
        <f>MAX(E8-CI,0)</f>
        <v>0</v>
      </c>
      <c r="H8" s="25">
        <v>1</v>
      </c>
      <c r="I8" s="11">
        <f>Kh*EXP(-EXP(-($C8-t0h)/wh))</f>
        <v>0.2506075087946173</v>
      </c>
      <c r="J8" s="11">
        <f>I8+CIh</f>
        <v>296.81115317308507</v>
      </c>
      <c r="K8" s="11">
        <f>MAX(I8-CIh,0)</f>
        <v>0</v>
      </c>
      <c r="L8" s="9"/>
      <c r="M8" s="19" t="s">
        <v>27</v>
      </c>
      <c r="N8" s="5">
        <v>45</v>
      </c>
      <c r="O8" s="3"/>
    </row>
    <row r="9" spans="2:18" x14ac:dyDescent="0.3">
      <c r="B9" s="24">
        <v>43883</v>
      </c>
      <c r="C9" s="25">
        <v>3</v>
      </c>
      <c r="D9" s="26">
        <v>62</v>
      </c>
      <c r="E9" s="11">
        <f>K*EXP(-EXP(-($C9-t0)/w))</f>
        <v>188.12099147748629</v>
      </c>
      <c r="F9" s="11">
        <f>E9+CI</f>
        <v>4612.429932784039</v>
      </c>
      <c r="G9" s="11">
        <f>MAX(E9-CI,0)</f>
        <v>0</v>
      </c>
      <c r="H9" s="25">
        <v>2</v>
      </c>
      <c r="I9" s="11">
        <f>Kh*EXP(-EXP(-($C9-t0h)/wh))</f>
        <v>0.50393891818046355</v>
      </c>
      <c r="J9" s="11">
        <f>I9+CIh</f>
        <v>297.06448458247087</v>
      </c>
      <c r="K9" s="11">
        <f>MAX(I9-CIh,0)</f>
        <v>0</v>
      </c>
      <c r="L9" s="9"/>
      <c r="M9" s="19" t="s">
        <v>1</v>
      </c>
      <c r="N9" s="22">
        <v>20.766953151070467</v>
      </c>
      <c r="O9" s="3"/>
    </row>
    <row r="10" spans="2:18" x14ac:dyDescent="0.3">
      <c r="B10" s="24">
        <v>43884</v>
      </c>
      <c r="C10" s="25">
        <v>4</v>
      </c>
      <c r="D10" s="26">
        <v>155</v>
      </c>
      <c r="E10" s="11">
        <f>K*EXP(-EXP(-($C10-t0)/w))</f>
        <v>268.36488870168131</v>
      </c>
      <c r="F10" s="11">
        <f>E10+CI</f>
        <v>4692.6738300082343</v>
      </c>
      <c r="G10" s="11">
        <f>MAX(E10-CI,0)</f>
        <v>0</v>
      </c>
      <c r="H10" s="25">
        <v>3</v>
      </c>
      <c r="I10" s="11">
        <f>Kh*EXP(-EXP(-($C10-t0h)/wh))</f>
        <v>0.97268293792079452</v>
      </c>
      <c r="J10" s="11">
        <f>I10+CIh</f>
        <v>297.53322860221124</v>
      </c>
      <c r="K10" s="11">
        <f>MAX(I10-CIh,0)</f>
        <v>0</v>
      </c>
      <c r="L10" s="9"/>
      <c r="M10" s="6" t="s">
        <v>2</v>
      </c>
      <c r="N10" s="1">
        <f>AVERAGE(D7:D49)</f>
        <v>33474.302325581397</v>
      </c>
      <c r="O10" s="3"/>
    </row>
    <row r="11" spans="2:18" x14ac:dyDescent="0.3">
      <c r="B11" s="20">
        <v>43885</v>
      </c>
      <c r="C11" s="4">
        <v>5</v>
      </c>
      <c r="D11" s="4">
        <f>'dpc-covid-19-ita-andamento-naz'!L2</f>
        <v>229</v>
      </c>
      <c r="E11" s="11">
        <f t="shared" ref="E11:E42" si="0">K*EXP(-EXP(-($C11-t0)/w))</f>
        <v>376.4962496823868</v>
      </c>
      <c r="F11" s="11">
        <f t="shared" ref="F11:F33" si="1">E11+CI</f>
        <v>4800.8051909889391</v>
      </c>
      <c r="G11" s="11">
        <f t="shared" ref="G11:G37" si="2">MAX(E11-CI,0)</f>
        <v>0</v>
      </c>
      <c r="H11" s="4">
        <f>'dpc-covid-19-ita-andamento-naz'!K2</f>
        <v>7</v>
      </c>
      <c r="I11" s="11">
        <f t="shared" ref="I11:I42" si="3">Kh*EXP(-EXP(-($C11-t0h)/wh))</f>
        <v>1.8064148921649192</v>
      </c>
      <c r="J11" s="11">
        <f t="shared" ref="J11:J44" si="4">I11+CIh</f>
        <v>298.36696055645535</v>
      </c>
      <c r="K11" s="11">
        <f t="shared" ref="K11:K44" si="5">MAX(I11-CIh,0)</f>
        <v>0</v>
      </c>
      <c r="L11" s="1"/>
      <c r="M11" s="6" t="s">
        <v>3</v>
      </c>
      <c r="N11" s="1">
        <f>COUNT(D7:D49)-COUNT(N7:N9)</f>
        <v>40</v>
      </c>
    </row>
    <row r="12" spans="2:18" x14ac:dyDescent="0.3">
      <c r="B12" s="10">
        <v>43886</v>
      </c>
      <c r="C12" s="4">
        <v>6</v>
      </c>
      <c r="D12" s="4">
        <f>'dpc-covid-19-ita-andamento-naz'!L3</f>
        <v>322</v>
      </c>
      <c r="E12" s="11">
        <f t="shared" si="0"/>
        <v>519.85609735703918</v>
      </c>
      <c r="F12" s="11">
        <f t="shared" si="1"/>
        <v>4944.165038663592</v>
      </c>
      <c r="G12" s="11">
        <f t="shared" si="2"/>
        <v>0</v>
      </c>
      <c r="H12" s="4">
        <f>'dpc-covid-19-ita-andamento-naz'!K3</f>
        <v>10</v>
      </c>
      <c r="I12" s="11">
        <f t="shared" si="3"/>
        <v>3.2351809417963424</v>
      </c>
      <c r="J12" s="11">
        <f t="shared" si="4"/>
        <v>299.79572660608676</v>
      </c>
      <c r="K12" s="11">
        <f t="shared" si="5"/>
        <v>0</v>
      </c>
      <c r="L12" s="1"/>
      <c r="M12" s="6" t="s">
        <v>4</v>
      </c>
      <c r="N12" s="7" cm="1">
        <f t="array" ref="N12">SQRT(SUM((D7:D49-E7:E49)^2)/df)</f>
        <v>2189.0865439888876</v>
      </c>
    </row>
    <row r="13" spans="2:18" ht="16.2" x14ac:dyDescent="0.3">
      <c r="B13" s="10">
        <v>43887</v>
      </c>
      <c r="C13" s="4">
        <v>7</v>
      </c>
      <c r="D13" s="4">
        <f>'dpc-covid-19-ita-andamento-naz'!L4</f>
        <v>400</v>
      </c>
      <c r="E13" s="11">
        <f t="shared" si="0"/>
        <v>706.99790969132346</v>
      </c>
      <c r="F13" s="11">
        <f t="shared" si="1"/>
        <v>5131.3068509978766</v>
      </c>
      <c r="G13" s="11">
        <f t="shared" si="2"/>
        <v>0</v>
      </c>
      <c r="H13" s="4">
        <f>'dpc-covid-19-ita-andamento-naz'!K4</f>
        <v>12</v>
      </c>
      <c r="I13" s="11">
        <f t="shared" si="3"/>
        <v>5.5993675606435032</v>
      </c>
      <c r="J13" s="11">
        <f t="shared" si="4"/>
        <v>302.15991322493392</v>
      </c>
      <c r="K13" s="11">
        <f t="shared" si="5"/>
        <v>0</v>
      </c>
      <c r="L13" s="1"/>
      <c r="M13" s="6" t="s">
        <v>5</v>
      </c>
      <c r="N13" s="8" cm="1">
        <f t="array" ref="N13">1-SUM((D7:D49-E7:E49)^2)/SUM((D7:D49-Mean_of_y)^2)</f>
        <v>0.99684432862835326</v>
      </c>
    </row>
    <row r="14" spans="2:18" x14ac:dyDescent="0.3">
      <c r="B14" s="10">
        <v>43888</v>
      </c>
      <c r="C14" s="4">
        <v>8</v>
      </c>
      <c r="D14" s="4">
        <f>'dpc-covid-19-ita-andamento-naz'!L5</f>
        <v>650</v>
      </c>
      <c r="E14" s="11">
        <f t="shared" si="0"/>
        <v>947.70966958944825</v>
      </c>
      <c r="F14" s="11">
        <f t="shared" si="1"/>
        <v>5372.0186108960006</v>
      </c>
      <c r="G14" s="11">
        <f t="shared" si="2"/>
        <v>0</v>
      </c>
      <c r="H14" s="4">
        <f>'dpc-covid-19-ita-andamento-naz'!K5</f>
        <v>17</v>
      </c>
      <c r="I14" s="11">
        <f t="shared" si="3"/>
        <v>9.3844530460515294</v>
      </c>
      <c r="J14" s="11">
        <f t="shared" si="4"/>
        <v>305.94499871034196</v>
      </c>
      <c r="K14" s="11">
        <f t="shared" si="5"/>
        <v>0</v>
      </c>
      <c r="L14" s="1"/>
      <c r="M14" s="6" t="s">
        <v>6</v>
      </c>
      <c r="N14" s="8">
        <f>TINV(0.05,df)</f>
        <v>2.0210753903062737</v>
      </c>
    </row>
    <row r="15" spans="2:18" x14ac:dyDescent="0.3">
      <c r="B15" s="10">
        <v>43889</v>
      </c>
      <c r="C15" s="4">
        <v>9</v>
      </c>
      <c r="D15" s="4">
        <f>'dpc-covid-19-ita-andamento-naz'!L6</f>
        <v>888</v>
      </c>
      <c r="E15" s="11">
        <f t="shared" si="0"/>
        <v>1252.9964000097805</v>
      </c>
      <c r="F15" s="11">
        <f t="shared" si="1"/>
        <v>5677.3053413163334</v>
      </c>
      <c r="G15" s="11">
        <f t="shared" si="2"/>
        <v>0</v>
      </c>
      <c r="H15" s="4">
        <f>'dpc-covid-19-ita-andamento-naz'!K6</f>
        <v>21</v>
      </c>
      <c r="I15" s="11">
        <f t="shared" si="3"/>
        <v>15.25905950473952</v>
      </c>
      <c r="J15" s="11">
        <f t="shared" si="4"/>
        <v>311.81960516902996</v>
      </c>
      <c r="K15" s="11">
        <f t="shared" si="5"/>
        <v>0</v>
      </c>
      <c r="L15" s="1"/>
      <c r="M15" s="6" t="s">
        <v>7</v>
      </c>
      <c r="N15" s="1">
        <f>Critical_t*SE_of_y</f>
        <v>4424.3089413065527</v>
      </c>
    </row>
    <row r="16" spans="2:18" x14ac:dyDescent="0.3">
      <c r="B16" s="10">
        <v>43890</v>
      </c>
      <c r="C16" s="4">
        <v>10</v>
      </c>
      <c r="D16" s="4">
        <f>'dpc-covid-19-ita-andamento-naz'!L7</f>
        <v>1128</v>
      </c>
      <c r="E16" s="11">
        <f t="shared" si="0"/>
        <v>1635.0194523372793</v>
      </c>
      <c r="F16" s="11">
        <f t="shared" si="1"/>
        <v>6059.328393643832</v>
      </c>
      <c r="G16" s="11">
        <f t="shared" si="2"/>
        <v>0</v>
      </c>
      <c r="H16" s="4">
        <f>'dpc-covid-19-ita-andamento-naz'!K7</f>
        <v>29</v>
      </c>
      <c r="I16" s="11">
        <f t="shared" si="3"/>
        <v>24.113850553813467</v>
      </c>
      <c r="J16" s="11">
        <f t="shared" si="4"/>
        <v>320.67439621810388</v>
      </c>
      <c r="K16" s="11">
        <f t="shared" si="5"/>
        <v>0</v>
      </c>
      <c r="L16" s="1"/>
      <c r="M16" s="6"/>
    </row>
    <row r="17" spans="2:14" x14ac:dyDescent="0.3">
      <c r="B17" s="20">
        <v>43891</v>
      </c>
      <c r="C17" s="4">
        <v>11</v>
      </c>
      <c r="D17" s="4">
        <f>'dpc-covid-19-ita-andamento-naz'!L8</f>
        <v>1694</v>
      </c>
      <c r="E17" s="11">
        <f t="shared" si="0"/>
        <v>2106.9908579960984</v>
      </c>
      <c r="F17" s="11">
        <f t="shared" si="1"/>
        <v>6531.2997993026511</v>
      </c>
      <c r="G17" s="11">
        <f t="shared" si="2"/>
        <v>0</v>
      </c>
      <c r="H17" s="4">
        <f>'dpc-covid-19-ita-andamento-naz'!K8</f>
        <v>34</v>
      </c>
      <c r="I17" s="11">
        <f t="shared" si="3"/>
        <v>37.098070660592477</v>
      </c>
      <c r="J17" s="11">
        <f t="shared" si="4"/>
        <v>333.65861632488293</v>
      </c>
      <c r="K17" s="11">
        <f t="shared" si="5"/>
        <v>0</v>
      </c>
      <c r="L17" s="1"/>
      <c r="M17" s="21" t="s">
        <v>57</v>
      </c>
      <c r="N17" s="3"/>
    </row>
    <row r="18" spans="2:14" x14ac:dyDescent="0.3">
      <c r="B18" s="10">
        <v>43892</v>
      </c>
      <c r="C18" s="4">
        <v>12</v>
      </c>
      <c r="D18" s="4">
        <f>'dpc-covid-19-ita-andamento-naz'!L9</f>
        <v>2036</v>
      </c>
      <c r="E18" s="11">
        <f t="shared" si="0"/>
        <v>2683.023281693127</v>
      </c>
      <c r="F18" s="11">
        <f t="shared" si="1"/>
        <v>7107.3322229996793</v>
      </c>
      <c r="G18" s="11">
        <f t="shared" si="2"/>
        <v>0</v>
      </c>
      <c r="H18" s="4">
        <f>'dpc-covid-19-ita-andamento-naz'!K9</f>
        <v>52</v>
      </c>
      <c r="I18" s="11">
        <f t="shared" si="3"/>
        <v>55.650034307902722</v>
      </c>
      <c r="J18" s="11">
        <f t="shared" si="4"/>
        <v>352.21057997219316</v>
      </c>
      <c r="K18" s="11">
        <f t="shared" si="5"/>
        <v>0</v>
      </c>
      <c r="L18" s="1"/>
      <c r="M18" s="19" t="s">
        <v>0</v>
      </c>
      <c r="N18" s="5">
        <v>37382</v>
      </c>
    </row>
    <row r="19" spans="2:14" ht="15.6" x14ac:dyDescent="0.35">
      <c r="B19" s="10">
        <v>43893</v>
      </c>
      <c r="C19" s="4">
        <v>13</v>
      </c>
      <c r="D19" s="4">
        <f>'dpc-covid-19-ita-andamento-naz'!L10</f>
        <v>2502</v>
      </c>
      <c r="E19" s="11">
        <f t="shared" si="0"/>
        <v>3377.9383677853502</v>
      </c>
      <c r="F19" s="11">
        <f t="shared" si="1"/>
        <v>7802.2473090919029</v>
      </c>
      <c r="G19" s="11">
        <f t="shared" si="2"/>
        <v>0</v>
      </c>
      <c r="H19" s="4">
        <f>'dpc-covid-19-ita-andamento-naz'!K10</f>
        <v>79</v>
      </c>
      <c r="I19" s="11">
        <f t="shared" si="3"/>
        <v>81.51775684790654</v>
      </c>
      <c r="J19" s="11">
        <f t="shared" si="4"/>
        <v>378.07830251219696</v>
      </c>
      <c r="K19" s="11">
        <f t="shared" si="5"/>
        <v>0</v>
      </c>
      <c r="L19" s="1"/>
      <c r="M19" s="19" t="s">
        <v>27</v>
      </c>
      <c r="N19" s="5">
        <v>43</v>
      </c>
    </row>
    <row r="20" spans="2:14" x14ac:dyDescent="0.3">
      <c r="B20" s="10">
        <v>43894</v>
      </c>
      <c r="C20" s="4">
        <v>14</v>
      </c>
      <c r="D20" s="4">
        <f>'dpc-covid-19-ita-andamento-naz'!L11</f>
        <v>3089</v>
      </c>
      <c r="E20" s="11">
        <f t="shared" si="0"/>
        <v>4207.0383897913771</v>
      </c>
      <c r="F20" s="11">
        <f t="shared" si="1"/>
        <v>8631.3473310979298</v>
      </c>
      <c r="G20" s="11">
        <f t="shared" si="2"/>
        <v>0</v>
      </c>
      <c r="H20" s="4">
        <f>'dpc-covid-19-ita-andamento-naz'!K11</f>
        <v>107</v>
      </c>
      <c r="I20" s="11">
        <f t="shared" si="3"/>
        <v>116.76623330525811</v>
      </c>
      <c r="J20" s="11">
        <f t="shared" si="4"/>
        <v>413.32677896954851</v>
      </c>
      <c r="K20" s="11">
        <f t="shared" si="5"/>
        <v>0</v>
      </c>
      <c r="L20" s="1"/>
      <c r="M20" s="19" t="s">
        <v>1</v>
      </c>
      <c r="N20" s="22">
        <v>16.548176024082501</v>
      </c>
    </row>
    <row r="21" spans="2:14" x14ac:dyDescent="0.3">
      <c r="B21" s="20">
        <v>43895</v>
      </c>
      <c r="C21" s="4">
        <v>15</v>
      </c>
      <c r="D21" s="4">
        <f>'dpc-covid-19-ita-andamento-naz'!L12</f>
        <v>3858</v>
      </c>
      <c r="E21" s="11">
        <f t="shared" si="0"/>
        <v>5185.847954800025</v>
      </c>
      <c r="F21" s="11">
        <f t="shared" si="1"/>
        <v>9610.1568961065786</v>
      </c>
      <c r="G21" s="11">
        <f t="shared" si="2"/>
        <v>761.53901349347234</v>
      </c>
      <c r="H21" s="4">
        <f>'dpc-covid-19-ita-andamento-naz'!K12</f>
        <v>148</v>
      </c>
      <c r="I21" s="11">
        <f t="shared" si="3"/>
        <v>163.76861245421335</v>
      </c>
      <c r="J21" s="11">
        <f t="shared" si="4"/>
        <v>460.32915811850376</v>
      </c>
      <c r="K21" s="11">
        <f t="shared" si="5"/>
        <v>0</v>
      </c>
      <c r="L21" s="1"/>
      <c r="M21" s="6" t="s">
        <v>2</v>
      </c>
      <c r="N21" s="1">
        <f>AVERAGE(H7:H49)</f>
        <v>3342.7441860465115</v>
      </c>
    </row>
    <row r="22" spans="2:14" x14ac:dyDescent="0.3">
      <c r="B22" s="10">
        <v>43896</v>
      </c>
      <c r="C22" s="4">
        <v>16</v>
      </c>
      <c r="D22" s="4">
        <f>'dpc-covid-19-ita-andamento-naz'!L13</f>
        <v>4636</v>
      </c>
      <c r="E22" s="11">
        <f t="shared" si="0"/>
        <v>6329.8339658133673</v>
      </c>
      <c r="F22" s="11">
        <f t="shared" si="1"/>
        <v>10754.14290711992</v>
      </c>
      <c r="G22" s="11">
        <f t="shared" si="2"/>
        <v>1905.5250245068146</v>
      </c>
      <c r="H22" s="4">
        <f>'dpc-covid-19-ita-andamento-naz'!K13</f>
        <v>197</v>
      </c>
      <c r="I22" s="11">
        <f t="shared" si="3"/>
        <v>225.17961340490072</v>
      </c>
      <c r="J22" s="11">
        <f t="shared" si="4"/>
        <v>521.74015906919112</v>
      </c>
      <c r="K22" s="11">
        <f t="shared" si="5"/>
        <v>0</v>
      </c>
      <c r="L22" s="1"/>
      <c r="M22" s="6" t="s">
        <v>3</v>
      </c>
      <c r="N22" s="1">
        <f>COUNT(H7:H49)-COUNT(N18:N20)</f>
        <v>40</v>
      </c>
    </row>
    <row r="23" spans="2:14" x14ac:dyDescent="0.3">
      <c r="B23" s="10">
        <v>43897</v>
      </c>
      <c r="C23" s="4">
        <v>17</v>
      </c>
      <c r="D23" s="4">
        <f>'dpc-covid-19-ita-andamento-naz'!L14</f>
        <v>5883</v>
      </c>
      <c r="E23" s="11">
        <f t="shared" si="0"/>
        <v>7654.1130283801986</v>
      </c>
      <c r="F23" s="11">
        <f t="shared" si="1"/>
        <v>12078.421969686751</v>
      </c>
      <c r="G23" s="11">
        <f t="shared" si="2"/>
        <v>3229.8040870736459</v>
      </c>
      <c r="H23" s="4">
        <f>'dpc-covid-19-ita-andamento-naz'!K14</f>
        <v>233</v>
      </c>
      <c r="I23" s="11">
        <f t="shared" si="3"/>
        <v>303.89087064907073</v>
      </c>
      <c r="J23" s="11">
        <f t="shared" si="4"/>
        <v>600.45141631336116</v>
      </c>
      <c r="K23" s="11">
        <f t="shared" si="5"/>
        <v>7.3303249847803045</v>
      </c>
      <c r="L23" s="1"/>
      <c r="M23" s="6" t="s">
        <v>4</v>
      </c>
      <c r="N23" s="7" cm="1">
        <f t="array" ref="N23">SQRT(SUM((H7:H49-I7:I49)^2)/dfh)</f>
        <v>146.73403430999656</v>
      </c>
    </row>
    <row r="24" spans="2:14" ht="16.2" x14ac:dyDescent="0.3">
      <c r="B24" s="20">
        <v>43898</v>
      </c>
      <c r="C24" s="4">
        <v>18</v>
      </c>
      <c r="D24" s="4">
        <f>'dpc-covid-19-ita-andamento-naz'!L15</f>
        <v>7375</v>
      </c>
      <c r="E24" s="11">
        <f t="shared" si="0"/>
        <v>9173.1559651464668</v>
      </c>
      <c r="F24" s="11">
        <f t="shared" si="1"/>
        <v>13597.46490645302</v>
      </c>
      <c r="G24" s="11">
        <f t="shared" si="2"/>
        <v>4748.8470238399141</v>
      </c>
      <c r="H24" s="4">
        <f>'dpc-covid-19-ita-andamento-naz'!K15</f>
        <v>366</v>
      </c>
      <c r="I24" s="11">
        <f t="shared" si="3"/>
        <v>402.96931910766119</v>
      </c>
      <c r="J24" s="11">
        <f t="shared" si="4"/>
        <v>699.52986477195168</v>
      </c>
      <c r="K24" s="11">
        <f t="shared" si="5"/>
        <v>106.40877344337076</v>
      </c>
      <c r="L24" s="1"/>
      <c r="M24" s="6" t="s">
        <v>5</v>
      </c>
      <c r="N24" s="8" cm="1">
        <f t="array" ref="N24">1-SUM((H7:H49-I7:I49)^2)/SUM((H7:H49-Mean_of_yh)^2)</f>
        <v>0.99891251574935791</v>
      </c>
    </row>
    <row r="25" spans="2:14" x14ac:dyDescent="0.3">
      <c r="B25" s="10">
        <v>43899</v>
      </c>
      <c r="C25" s="4">
        <v>19</v>
      </c>
      <c r="D25" s="4">
        <f>'dpc-covid-19-ita-andamento-naz'!L16</f>
        <v>9172</v>
      </c>
      <c r="E25" s="11">
        <f t="shared" si="0"/>
        <v>10900.499073779258</v>
      </c>
      <c r="F25" s="11">
        <f t="shared" si="1"/>
        <v>15324.808015085811</v>
      </c>
      <c r="G25" s="11">
        <f t="shared" si="2"/>
        <v>6476.190132472705</v>
      </c>
      <c r="H25" s="4">
        <f>'dpc-covid-19-ita-andamento-naz'!K16</f>
        <v>463</v>
      </c>
      <c r="I25" s="11">
        <f t="shared" si="3"/>
        <v>525.58108379887778</v>
      </c>
      <c r="J25" s="11">
        <f t="shared" si="4"/>
        <v>822.14162946316821</v>
      </c>
      <c r="K25" s="11">
        <f t="shared" si="5"/>
        <v>229.02053813458735</v>
      </c>
      <c r="L25" s="1"/>
      <c r="M25" s="6" t="s">
        <v>6</v>
      </c>
      <c r="N25" s="8">
        <f>TINV(0.05,dfh)</f>
        <v>2.0210753903062737</v>
      </c>
    </row>
    <row r="26" spans="2:14" x14ac:dyDescent="0.3">
      <c r="B26" s="20">
        <v>43900</v>
      </c>
      <c r="C26" s="4">
        <v>20</v>
      </c>
      <c r="D26" s="4">
        <f>'dpc-covid-19-ita-andamento-naz'!L17</f>
        <v>10149</v>
      </c>
      <c r="E26" s="11">
        <f t="shared" si="0"/>
        <v>12848.471265273343</v>
      </c>
      <c r="F26" s="11">
        <f t="shared" si="1"/>
        <v>17272.780206579897</v>
      </c>
      <c r="G26" s="11">
        <f t="shared" si="2"/>
        <v>8424.1623239667897</v>
      </c>
      <c r="H26" s="4">
        <f>'dpc-covid-19-ita-andamento-naz'!K17</f>
        <v>631</v>
      </c>
      <c r="I26" s="11">
        <f t="shared" si="3"/>
        <v>674.90447598136075</v>
      </c>
      <c r="J26" s="11">
        <f t="shared" si="4"/>
        <v>971.46502164565118</v>
      </c>
      <c r="K26" s="11">
        <f t="shared" si="5"/>
        <v>378.34393031707032</v>
      </c>
      <c r="L26" s="1"/>
      <c r="M26" s="6" t="s">
        <v>7</v>
      </c>
      <c r="N26" s="1">
        <f>Critical_th*SE_of_yh</f>
        <v>296.56054566429043</v>
      </c>
    </row>
    <row r="27" spans="2:14" x14ac:dyDescent="0.3">
      <c r="B27" s="10">
        <v>43901</v>
      </c>
      <c r="C27" s="4">
        <v>21</v>
      </c>
      <c r="D27" s="4">
        <f>'dpc-covid-19-ita-andamento-naz'!L18</f>
        <v>12462</v>
      </c>
      <c r="E27" s="11">
        <f t="shared" si="0"/>
        <v>15027.94531402734</v>
      </c>
      <c r="F27" s="11">
        <f t="shared" si="1"/>
        <v>19452.254255333894</v>
      </c>
      <c r="G27" s="11">
        <f t="shared" si="2"/>
        <v>10603.636372720786</v>
      </c>
      <c r="H27" s="4">
        <f>'dpc-covid-19-ita-andamento-naz'!K18</f>
        <v>827</v>
      </c>
      <c r="I27" s="11">
        <f t="shared" si="3"/>
        <v>854.03651032376081</v>
      </c>
      <c r="J27" s="11">
        <f t="shared" si="4"/>
        <v>1150.5970559880511</v>
      </c>
      <c r="K27" s="11">
        <f t="shared" si="5"/>
        <v>557.47596465947038</v>
      </c>
      <c r="L27" s="1"/>
      <c r="M27" s="6"/>
    </row>
    <row r="28" spans="2:14" x14ac:dyDescent="0.3">
      <c r="B28" s="20">
        <v>43902</v>
      </c>
      <c r="C28" s="4">
        <v>22</v>
      </c>
      <c r="D28" s="4">
        <f>'dpc-covid-19-ita-andamento-naz'!L19</f>
        <v>15113</v>
      </c>
      <c r="E28" s="11">
        <f t="shared" si="0"/>
        <v>17448.120221258647</v>
      </c>
      <c r="F28" s="11">
        <f t="shared" si="1"/>
        <v>21872.4291625652</v>
      </c>
      <c r="G28" s="11">
        <f t="shared" si="2"/>
        <v>13023.811279952093</v>
      </c>
      <c r="H28" s="4">
        <f>'dpc-covid-19-ita-andamento-naz'!K19</f>
        <v>1016</v>
      </c>
      <c r="I28" s="11">
        <f t="shared" si="3"/>
        <v>1065.8977828312029</v>
      </c>
      <c r="J28" s="11">
        <f t="shared" si="4"/>
        <v>1362.4583284954933</v>
      </c>
      <c r="K28" s="11">
        <f t="shared" si="5"/>
        <v>769.33723716691247</v>
      </c>
      <c r="L28" s="1"/>
      <c r="M28" s="6"/>
    </row>
    <row r="29" spans="2:14" x14ac:dyDescent="0.3">
      <c r="B29" s="10">
        <v>43903</v>
      </c>
      <c r="C29" s="4">
        <v>23</v>
      </c>
      <c r="D29" s="4">
        <f>'dpc-covid-19-ita-andamento-naz'!L20</f>
        <v>17660</v>
      </c>
      <c r="E29" s="11">
        <f t="shared" si="0"/>
        <v>20116.34023363344</v>
      </c>
      <c r="F29" s="11">
        <f t="shared" si="1"/>
        <v>24540.649174939994</v>
      </c>
      <c r="G29" s="11">
        <f t="shared" si="2"/>
        <v>15692.031292326887</v>
      </c>
      <c r="H29" s="4">
        <f>'dpc-covid-19-ita-andamento-naz'!K20</f>
        <v>1266</v>
      </c>
      <c r="I29" s="11">
        <f t="shared" si="3"/>
        <v>1313.140572606387</v>
      </c>
      <c r="J29" s="11">
        <f t="shared" si="4"/>
        <v>1609.7011182706774</v>
      </c>
      <c r="K29" s="11">
        <f t="shared" si="5"/>
        <v>1016.5800269420965</v>
      </c>
      <c r="L29" s="1"/>
    </row>
    <row r="30" spans="2:14" x14ac:dyDescent="0.3">
      <c r="B30" s="10">
        <v>43904</v>
      </c>
      <c r="C30" s="4">
        <v>24</v>
      </c>
      <c r="D30" s="4">
        <f>'dpc-covid-19-ita-andamento-naz'!L21</f>
        <v>21157</v>
      </c>
      <c r="E30" s="11">
        <f t="shared" si="0"/>
        <v>23037.954466935334</v>
      </c>
      <c r="F30" s="11">
        <f t="shared" si="1"/>
        <v>27462.263408241888</v>
      </c>
      <c r="G30" s="11">
        <f t="shared" si="2"/>
        <v>18613.645525628781</v>
      </c>
      <c r="H30" s="4">
        <f>'dpc-covid-19-ita-andamento-naz'!K21</f>
        <v>1441</v>
      </c>
      <c r="I30" s="11">
        <f t="shared" si="3"/>
        <v>1598.0646820670008</v>
      </c>
      <c r="J30" s="11">
        <f t="shared" si="4"/>
        <v>1894.6252277312913</v>
      </c>
      <c r="K30" s="11">
        <f t="shared" si="5"/>
        <v>1301.5041364027104</v>
      </c>
      <c r="L30" s="1"/>
    </row>
    <row r="31" spans="2:14" x14ac:dyDescent="0.3">
      <c r="B31" s="10">
        <v>43905</v>
      </c>
      <c r="C31" s="4">
        <v>25</v>
      </c>
      <c r="D31" s="4">
        <f>'dpc-covid-19-ita-andamento-naz'!L22</f>
        <v>24747</v>
      </c>
      <c r="E31" s="11">
        <f t="shared" si="0"/>
        <v>26216.219453788381</v>
      </c>
      <c r="F31" s="11">
        <f t="shared" si="1"/>
        <v>30640.528395094934</v>
      </c>
      <c r="G31" s="11">
        <f t="shared" si="2"/>
        <v>21791.910512481827</v>
      </c>
      <c r="H31" s="4">
        <f>'dpc-covid-19-ita-andamento-naz'!K22</f>
        <v>1809</v>
      </c>
      <c r="I31" s="11">
        <f t="shared" si="3"/>
        <v>1922.5448747188964</v>
      </c>
      <c r="J31" s="11">
        <f t="shared" si="4"/>
        <v>2219.1054203831868</v>
      </c>
      <c r="K31" s="11">
        <f t="shared" si="5"/>
        <v>1625.984329054606</v>
      </c>
      <c r="L31" s="1"/>
    </row>
    <row r="32" spans="2:14" x14ac:dyDescent="0.3">
      <c r="B32" s="10">
        <v>43906</v>
      </c>
      <c r="C32" s="4">
        <v>26</v>
      </c>
      <c r="D32" s="4">
        <f>'dpc-covid-19-ita-andamento-naz'!L23</f>
        <v>27980</v>
      </c>
      <c r="E32" s="11">
        <f t="shared" si="0"/>
        <v>29652.245348921297</v>
      </c>
      <c r="F32" s="11">
        <f t="shared" si="1"/>
        <v>34076.554290227847</v>
      </c>
      <c r="G32" s="11">
        <f t="shared" si="2"/>
        <v>25227.936407614743</v>
      </c>
      <c r="H32" s="4">
        <f>'dpc-covid-19-ita-andamento-naz'!K23</f>
        <v>2158</v>
      </c>
      <c r="I32" s="11">
        <f t="shared" si="3"/>
        <v>2287.9728939145944</v>
      </c>
      <c r="J32" s="11">
        <f t="shared" si="4"/>
        <v>2584.533439578885</v>
      </c>
      <c r="K32" s="11">
        <f t="shared" si="5"/>
        <v>1991.4123482503039</v>
      </c>
      <c r="L32" s="1"/>
    </row>
    <row r="33" spans="2:17" x14ac:dyDescent="0.3">
      <c r="B33" s="10">
        <v>43907</v>
      </c>
      <c r="C33" s="4">
        <v>27</v>
      </c>
      <c r="D33" s="4">
        <f>'dpc-covid-19-ita-andamento-naz'!L24</f>
        <v>31506</v>
      </c>
      <c r="E33" s="11">
        <f t="shared" si="0"/>
        <v>33344.985055684956</v>
      </c>
      <c r="F33" s="11">
        <f t="shared" si="1"/>
        <v>37769.29399699151</v>
      </c>
      <c r="G33" s="11">
        <f t="shared" si="2"/>
        <v>28920.676114378402</v>
      </c>
      <c r="H33" s="4">
        <f>'dpc-covid-19-ita-andamento-naz'!K24</f>
        <v>2503</v>
      </c>
      <c r="I33" s="11">
        <f t="shared" si="3"/>
        <v>2695.2160462395186</v>
      </c>
      <c r="J33" s="11">
        <f t="shared" si="4"/>
        <v>2991.7765919038093</v>
      </c>
      <c r="K33" s="11">
        <f t="shared" si="5"/>
        <v>2398.655500575228</v>
      </c>
      <c r="L33" s="1"/>
    </row>
    <row r="34" spans="2:17" x14ac:dyDescent="0.3">
      <c r="B34" s="10">
        <v>43908</v>
      </c>
      <c r="C34" s="4">
        <v>28</v>
      </c>
      <c r="D34" s="4">
        <f>'dpc-covid-19-ita-andamento-naz'!L25</f>
        <v>35713</v>
      </c>
      <c r="E34" s="11">
        <f t="shared" si="0"/>
        <v>37291.264238094147</v>
      </c>
      <c r="F34" s="11">
        <f t="shared" ref="F34:F49" si="6">E34+CI</f>
        <v>41715.573179400701</v>
      </c>
      <c r="G34" s="11">
        <f t="shared" si="2"/>
        <v>32866.955296787593</v>
      </c>
      <c r="H34" s="4">
        <f>'dpc-covid-19-ita-andamento-naz'!K25</f>
        <v>2978</v>
      </c>
      <c r="I34" s="11">
        <f t="shared" si="3"/>
        <v>3144.5933026954131</v>
      </c>
      <c r="J34" s="11">
        <f t="shared" si="4"/>
        <v>3441.1538483597033</v>
      </c>
      <c r="K34" s="11">
        <f t="shared" si="5"/>
        <v>2848.0327570311229</v>
      </c>
      <c r="Q34" s="1"/>
    </row>
    <row r="35" spans="2:17" x14ac:dyDescent="0.3">
      <c r="B35" s="10">
        <v>43909</v>
      </c>
      <c r="C35" s="4">
        <v>29</v>
      </c>
      <c r="D35" s="4">
        <f>'dpc-covid-19-ita-andamento-naz'!L26</f>
        <v>41035</v>
      </c>
      <c r="E35" s="11">
        <f t="shared" si="0"/>
        <v>41485.849091443743</v>
      </c>
      <c r="F35" s="11">
        <f t="shared" si="6"/>
        <v>45910.158032750296</v>
      </c>
      <c r="G35" s="11">
        <f t="shared" si="2"/>
        <v>37061.540150137189</v>
      </c>
      <c r="H35" s="4">
        <f>'dpc-covid-19-ita-andamento-naz'!K26</f>
        <v>3405</v>
      </c>
      <c r="I35" s="11">
        <f t="shared" si="3"/>
        <v>3635.8688914214099</v>
      </c>
      <c r="J35" s="11">
        <f t="shared" si="4"/>
        <v>3932.4294370857006</v>
      </c>
      <c r="K35" s="11">
        <f t="shared" si="5"/>
        <v>3339.3083457571192</v>
      </c>
    </row>
    <row r="36" spans="2:17" x14ac:dyDescent="0.3">
      <c r="B36" s="10">
        <v>43910</v>
      </c>
      <c r="C36" s="4">
        <v>30</v>
      </c>
      <c r="D36" s="4">
        <f>'dpc-covid-19-ita-andamento-naz'!L27</f>
        <v>47021</v>
      </c>
      <c r="E36" s="11">
        <f t="shared" si="0"/>
        <v>45921.547883208863</v>
      </c>
      <c r="F36" s="11">
        <f t="shared" si="6"/>
        <v>50345.856824515417</v>
      </c>
      <c r="G36" s="11">
        <f t="shared" si="2"/>
        <v>41497.238941902309</v>
      </c>
      <c r="H36" s="4">
        <f>'dpc-covid-19-ita-andamento-naz'!K27</f>
        <v>4032</v>
      </c>
      <c r="I36" s="11">
        <f t="shared" si="3"/>
        <v>4168.2624914173548</v>
      </c>
      <c r="J36" s="11">
        <f t="shared" si="4"/>
        <v>4464.8230370816455</v>
      </c>
      <c r="K36" s="11">
        <f t="shared" si="5"/>
        <v>3871.7019457530641</v>
      </c>
    </row>
    <row r="37" spans="2:17" x14ac:dyDescent="0.3">
      <c r="B37" s="10">
        <v>43911</v>
      </c>
      <c r="C37" s="4">
        <v>31</v>
      </c>
      <c r="D37" s="4">
        <f>'dpc-covid-19-ita-andamento-naz'!L28</f>
        <v>53578</v>
      </c>
      <c r="E37" s="11">
        <f t="shared" si="0"/>
        <v>50589.341651386669</v>
      </c>
      <c r="F37" s="11">
        <f t="shared" si="6"/>
        <v>55013.650592693222</v>
      </c>
      <c r="G37" s="11">
        <f t="shared" si="2"/>
        <v>46165.032710080115</v>
      </c>
      <c r="H37" s="4">
        <f>'dpc-covid-19-ita-andamento-naz'!K28</f>
        <v>4825</v>
      </c>
      <c r="I37" s="11">
        <f t="shared" si="3"/>
        <v>4740.4744313539895</v>
      </c>
      <c r="J37" s="11">
        <f t="shared" si="4"/>
        <v>5037.0349770182802</v>
      </c>
      <c r="K37" s="11">
        <f t="shared" si="5"/>
        <v>4443.9138856896989</v>
      </c>
    </row>
    <row r="38" spans="2:17" x14ac:dyDescent="0.3">
      <c r="B38" s="10">
        <v>43912</v>
      </c>
      <c r="C38" s="4">
        <v>32</v>
      </c>
      <c r="D38" s="4">
        <f>'dpc-covid-19-ita-andamento-naz'!L29</f>
        <v>59138</v>
      </c>
      <c r="E38" s="11">
        <f t="shared" si="0"/>
        <v>55478.539053963141</v>
      </c>
      <c r="F38" s="11">
        <f t="shared" si="6"/>
        <v>59902.847995269694</v>
      </c>
      <c r="G38" s="11">
        <f t="shared" ref="G38:G48" si="7">MAX(E38-CI,0)</f>
        <v>51054.230112656587</v>
      </c>
      <c r="H38" s="4">
        <f>'dpc-covid-19-ita-andamento-naz'!K29</f>
        <v>5476</v>
      </c>
      <c r="I38" s="11">
        <f t="shared" si="3"/>
        <v>5350.7237744456761</v>
      </c>
      <c r="J38" s="11">
        <f t="shared" si="4"/>
        <v>5647.2843201099668</v>
      </c>
      <c r="K38" s="11">
        <f t="shared" si="5"/>
        <v>5054.1632287813854</v>
      </c>
    </row>
    <row r="39" spans="2:17" x14ac:dyDescent="0.3">
      <c r="B39" s="20">
        <v>43913</v>
      </c>
      <c r="C39" s="4">
        <v>33</v>
      </c>
      <c r="D39" s="4">
        <f>'dpc-covid-19-ita-andamento-naz'!L30</f>
        <v>63927</v>
      </c>
      <c r="E39" s="11">
        <f t="shared" si="0"/>
        <v>60576.9501849804</v>
      </c>
      <c r="F39" s="11">
        <f t="shared" si="6"/>
        <v>65001.259126286954</v>
      </c>
      <c r="G39" s="11">
        <f t="shared" si="7"/>
        <v>56152.641243673846</v>
      </c>
      <c r="H39" s="4">
        <f>'dpc-covid-19-ita-andamento-naz'!K30</f>
        <v>6077</v>
      </c>
      <c r="I39" s="11">
        <f t="shared" si="3"/>
        <v>5996.7968346029529</v>
      </c>
      <c r="J39" s="11">
        <f t="shared" si="4"/>
        <v>6293.3573802672436</v>
      </c>
      <c r="K39" s="11">
        <f t="shared" si="5"/>
        <v>5700.2362889386623</v>
      </c>
    </row>
    <row r="40" spans="2:17" x14ac:dyDescent="0.3">
      <c r="B40" s="10">
        <v>43914</v>
      </c>
      <c r="C40" s="4">
        <v>34</v>
      </c>
      <c r="D40" s="4">
        <f>'dpc-covid-19-ita-andamento-naz'!L31</f>
        <v>69176</v>
      </c>
      <c r="E40" s="11">
        <f t="shared" si="0"/>
        <v>65871.074186485435</v>
      </c>
      <c r="F40" s="11">
        <f t="shared" si="6"/>
        <v>70295.383127791982</v>
      </c>
      <c r="G40" s="11">
        <f t="shared" si="7"/>
        <v>61446.765245178882</v>
      </c>
      <c r="H40" s="4">
        <f>'dpc-covid-19-ita-andamento-naz'!K31</f>
        <v>6820</v>
      </c>
      <c r="I40" s="11">
        <f t="shared" si="3"/>
        <v>6676.1035108558635</v>
      </c>
      <c r="J40" s="11">
        <f t="shared" si="4"/>
        <v>6972.6640565201542</v>
      </c>
      <c r="K40" s="11">
        <f t="shared" si="5"/>
        <v>6379.5429651915729</v>
      </c>
    </row>
    <row r="41" spans="2:17" x14ac:dyDescent="0.3">
      <c r="B41" s="10">
        <v>43915</v>
      </c>
      <c r="C41" s="4">
        <v>35</v>
      </c>
      <c r="D41" s="4">
        <f>'dpc-covid-19-ita-andamento-naz'!L32</f>
        <v>74386</v>
      </c>
      <c r="E41" s="11">
        <f t="shared" si="0"/>
        <v>71346.295663309502</v>
      </c>
      <c r="F41" s="11">
        <f t="shared" si="6"/>
        <v>75770.604604616048</v>
      </c>
      <c r="G41" s="11">
        <f t="shared" si="7"/>
        <v>66921.986722002956</v>
      </c>
      <c r="H41" s="4">
        <f>'dpc-covid-19-ita-andamento-naz'!K32</f>
        <v>7503</v>
      </c>
      <c r="I41" s="11">
        <f t="shared" si="3"/>
        <v>7385.7388256444328</v>
      </c>
      <c r="J41" s="11">
        <f t="shared" si="4"/>
        <v>7682.2993713087235</v>
      </c>
      <c r="K41" s="11">
        <f t="shared" si="5"/>
        <v>7089.1782799801422</v>
      </c>
    </row>
    <row r="42" spans="2:17" x14ac:dyDescent="0.3">
      <c r="B42" s="10">
        <v>43916</v>
      </c>
      <c r="C42" s="4">
        <v>36</v>
      </c>
      <c r="D42" s="4">
        <f>'dpc-covid-19-ita-andamento-naz'!L33</f>
        <v>80539</v>
      </c>
      <c r="E42" s="11">
        <f t="shared" si="0"/>
        <v>76987.085218469918</v>
      </c>
      <c r="F42" s="11">
        <f t="shared" si="6"/>
        <v>81411.394159776464</v>
      </c>
      <c r="G42" s="11">
        <f t="shared" si="7"/>
        <v>72562.776277163372</v>
      </c>
      <c r="H42" s="4">
        <f>'dpc-covid-19-ita-andamento-naz'!K33</f>
        <v>8165</v>
      </c>
      <c r="I42" s="11">
        <f t="shared" si="3"/>
        <v>8122.5471804874333</v>
      </c>
      <c r="J42" s="11">
        <f t="shared" si="4"/>
        <v>8419.1077261517239</v>
      </c>
      <c r="K42" s="11">
        <f t="shared" si="5"/>
        <v>7825.9866348231426</v>
      </c>
    </row>
    <row r="43" spans="2:17" x14ac:dyDescent="0.3">
      <c r="B43" s="10">
        <v>43917</v>
      </c>
      <c r="C43" s="4">
        <v>37</v>
      </c>
      <c r="D43" s="4">
        <f>'dpc-covid-19-ita-andamento-naz'!L34</f>
        <v>86498</v>
      </c>
      <c r="E43" s="11">
        <f t="shared" ref="E43:E70" si="8">K*EXP(-EXP(-($C43-t0)/w))</f>
        <v>82777.199839752182</v>
      </c>
      <c r="F43" s="11">
        <f t="shared" si="6"/>
        <v>87201.508781058728</v>
      </c>
      <c r="G43" s="11">
        <f t="shared" si="7"/>
        <v>78352.890898445636</v>
      </c>
      <c r="H43" s="4">
        <f>'dpc-covid-19-ita-andamento-naz'!K34</f>
        <v>9134</v>
      </c>
      <c r="I43" s="11">
        <f t="shared" ref="I43:I70" si="9">Kh*EXP(-EXP(-($C43-t0h)/wh))</f>
        <v>8883.1870690952674</v>
      </c>
      <c r="J43" s="11">
        <f t="shared" si="4"/>
        <v>9179.7476147595571</v>
      </c>
      <c r="K43" s="11">
        <f t="shared" si="5"/>
        <v>8586.6265234309776</v>
      </c>
    </row>
    <row r="44" spans="2:17" x14ac:dyDescent="0.3">
      <c r="B44" s="10">
        <v>43918</v>
      </c>
      <c r="C44" s="4">
        <v>38</v>
      </c>
      <c r="D44" s="4">
        <f>'dpc-covid-19-ita-andamento-naz'!L35</f>
        <v>92472</v>
      </c>
      <c r="E44" s="11">
        <f t="shared" si="8"/>
        <v>88699.879352548742</v>
      </c>
      <c r="F44" s="11">
        <f t="shared" si="6"/>
        <v>93124.188293855288</v>
      </c>
      <c r="G44" s="11">
        <f t="shared" si="7"/>
        <v>84275.570411242195</v>
      </c>
      <c r="H44" s="4">
        <f>'dpc-covid-19-ita-andamento-naz'!K35</f>
        <v>10023</v>
      </c>
      <c r="I44" s="11">
        <f t="shared" si="9"/>
        <v>9664.1942824102771</v>
      </c>
      <c r="J44" s="11">
        <f t="shared" si="4"/>
        <v>9960.7548280745668</v>
      </c>
      <c r="K44" s="11">
        <f t="shared" si="5"/>
        <v>9367.6337367459873</v>
      </c>
    </row>
    <row r="45" spans="2:17" x14ac:dyDescent="0.3">
      <c r="B45" s="10">
        <v>43919</v>
      </c>
      <c r="C45" s="4">
        <v>39</v>
      </c>
      <c r="D45" s="4">
        <f>'dpc-covid-19-ita-andamento-naz'!L36</f>
        <v>97689</v>
      </c>
      <c r="E45" s="11">
        <f t="shared" si="8"/>
        <v>94738.035682416696</v>
      </c>
      <c r="F45" s="11">
        <f t="shared" si="6"/>
        <v>99162.344623723242</v>
      </c>
      <c r="G45" s="11">
        <f t="shared" si="7"/>
        <v>90313.726741110149</v>
      </c>
      <c r="H45" s="4">
        <f>'dpc-covid-19-ita-andamento-naz'!K36</f>
        <v>10779</v>
      </c>
      <c r="I45" s="11">
        <f t="shared" si="9"/>
        <v>10462.041973734717</v>
      </c>
      <c r="J45" s="11">
        <f>I45+CIh</f>
        <v>10758.602519399006</v>
      </c>
      <c r="K45" s="11">
        <f>MAX(I45-CIh,0)</f>
        <v>10165.481428070427</v>
      </c>
    </row>
    <row r="46" spans="2:17" x14ac:dyDescent="0.3">
      <c r="B46" s="10">
        <v>43920</v>
      </c>
      <c r="C46" s="4">
        <v>40</v>
      </c>
      <c r="D46" s="4">
        <f>'dpc-covid-19-ita-andamento-naz'!L37</f>
        <v>101739</v>
      </c>
      <c r="E46" s="11">
        <f t="shared" si="8"/>
        <v>100874.43221832754</v>
      </c>
      <c r="F46" s="11">
        <f t="shared" si="6"/>
        <v>105298.74115963408</v>
      </c>
      <c r="G46" s="11">
        <f t="shared" si="7"/>
        <v>96450.12327702099</v>
      </c>
      <c r="H46" s="4">
        <f>'dpc-covid-19-ita-andamento-naz'!K37</f>
        <v>11591</v>
      </c>
      <c r="I46" s="11">
        <f t="shared" si="9"/>
        <v>11273.196300139061</v>
      </c>
      <c r="J46" s="11">
        <f>I46+CIh</f>
        <v>11569.756845803351</v>
      </c>
      <c r="K46" s="11">
        <f>MAX(I46-CIh,0)</f>
        <v>10976.635754474772</v>
      </c>
    </row>
    <row r="47" spans="2:17" x14ac:dyDescent="0.3">
      <c r="B47" s="10">
        <v>43921</v>
      </c>
      <c r="C47" s="4">
        <v>41</v>
      </c>
      <c r="D47" s="4">
        <f>'dpc-covid-19-ita-andamento-naz'!L38</f>
        <v>105792</v>
      </c>
      <c r="E47" s="11">
        <f t="shared" si="8"/>
        <v>107091.85111311323</v>
      </c>
      <c r="F47" s="11">
        <f t="shared" si="6"/>
        <v>111516.16005441977</v>
      </c>
      <c r="G47" s="11">
        <f t="shared" si="7"/>
        <v>102667.54217180668</v>
      </c>
      <c r="H47" s="4">
        <f>'dpc-covid-19-ita-andamento-naz'!K38</f>
        <v>12428</v>
      </c>
      <c r="I47" s="11">
        <f t="shared" si="9"/>
        <v>12094.166698365261</v>
      </c>
      <c r="J47" s="11">
        <f>I47+CIh</f>
        <v>12390.727244029551</v>
      </c>
      <c r="K47" s="11">
        <f>MAX(I47-CIh,0)</f>
        <v>11797.606152700972</v>
      </c>
    </row>
    <row r="48" spans="2:17" x14ac:dyDescent="0.3">
      <c r="B48" s="10">
        <v>43922</v>
      </c>
      <c r="C48" s="4">
        <v>42</v>
      </c>
      <c r="D48" s="4">
        <f>'dpc-covid-19-ita-andamento-naz'!L39</f>
        <v>110574</v>
      </c>
      <c r="E48" s="11">
        <f t="shared" si="8"/>
        <v>113373.24688391434</v>
      </c>
      <c r="F48" s="11">
        <f t="shared" si="6"/>
        <v>117797.55582522089</v>
      </c>
      <c r="G48" s="11">
        <f t="shared" si="7"/>
        <v>108948.93794260779</v>
      </c>
      <c r="H48" s="4">
        <f>'dpc-covid-19-ita-andamento-naz'!K39</f>
        <v>13155</v>
      </c>
      <c r="I48" s="11">
        <f t="shared" si="9"/>
        <v>12921.550173897727</v>
      </c>
      <c r="J48" s="11">
        <f>I48+CIh</f>
        <v>13218.110719562017</v>
      </c>
      <c r="K48" s="11">
        <f>MAX(I48-CIh,0)</f>
        <v>12624.989628233438</v>
      </c>
    </row>
    <row r="49" spans="2:11" x14ac:dyDescent="0.3">
      <c r="B49" s="10">
        <v>43923</v>
      </c>
      <c r="C49" s="4">
        <v>43</v>
      </c>
      <c r="D49" s="4">
        <f>'dpc-covid-19-ita-andamento-naz'!L40</f>
        <v>115242</v>
      </c>
      <c r="E49" s="11">
        <f t="shared" si="8"/>
        <v>119701.88516908698</v>
      </c>
      <c r="F49" s="11">
        <f t="shared" si="6"/>
        <v>124126.19411039352</v>
      </c>
      <c r="G49" s="11">
        <f t="shared" ref="G49" si="10">MAX(E49-CI,0)</f>
        <v>115277.57622778043</v>
      </c>
      <c r="H49" s="4">
        <f>'dpc-covid-19-ita-andamento-naz'!K40</f>
        <v>13915</v>
      </c>
      <c r="I49" s="11">
        <f t="shared" si="9"/>
        <v>13752.069269870857</v>
      </c>
      <c r="J49" s="11">
        <f>I49+CIh</f>
        <v>14048.629815535147</v>
      </c>
      <c r="K49" s="11">
        <f>MAX(I49-CIh,0)</f>
        <v>13455.508724206567</v>
      </c>
    </row>
    <row r="50" spans="2:11" x14ac:dyDescent="0.3">
      <c r="B50" s="10">
        <v>43924</v>
      </c>
      <c r="C50" s="4">
        <v>44</v>
      </c>
      <c r="E50" s="11">
        <f t="shared" si="8"/>
        <v>126061.4659492323</v>
      </c>
      <c r="F50" s="11"/>
      <c r="G50" s="11"/>
      <c r="H50" s="4"/>
      <c r="I50" s="11">
        <f t="shared" si="9"/>
        <v>14582.603631322087</v>
      </c>
      <c r="J50" s="11"/>
      <c r="K50" s="11"/>
    </row>
    <row r="51" spans="2:11" x14ac:dyDescent="0.3">
      <c r="B51" s="10">
        <v>43925</v>
      </c>
      <c r="C51" s="4">
        <v>45</v>
      </c>
      <c r="E51" s="11">
        <f t="shared" si="8"/>
        <v>132436.23094227808</v>
      </c>
      <c r="F51" s="11"/>
      <c r="G51" s="11"/>
      <c r="H51" s="4"/>
      <c r="I51" s="11">
        <f t="shared" si="9"/>
        <v>15410.215286867855</v>
      </c>
      <c r="J51" s="11"/>
      <c r="K51" s="11"/>
    </row>
    <row r="52" spans="2:11" x14ac:dyDescent="0.3">
      <c r="B52" s="10">
        <v>43926</v>
      </c>
      <c r="C52" s="4">
        <v>46</v>
      </c>
      <c r="E52" s="11">
        <f t="shared" si="8"/>
        <v>138811.05523226515</v>
      </c>
      <c r="F52" s="11"/>
      <c r="G52" s="11"/>
      <c r="H52" s="4"/>
      <c r="I52" s="11">
        <f t="shared" si="9"/>
        <v>16232.167933935583</v>
      </c>
      <c r="J52" s="11"/>
      <c r="K52" s="11"/>
    </row>
    <row r="53" spans="2:11" x14ac:dyDescent="0.3">
      <c r="B53" s="10">
        <v>43927</v>
      </c>
      <c r="C53" s="4">
        <v>47</v>
      </c>
      <c r="E53" s="11">
        <f t="shared" si="8"/>
        <v>145171.52348750559</v>
      </c>
      <c r="F53" s="11"/>
      <c r="G53" s="11"/>
      <c r="H53" s="4"/>
      <c r="I53" s="11">
        <f t="shared" si="9"/>
        <v>17045.940637158528</v>
      </c>
      <c r="J53" s="11"/>
      <c r="K53" s="11"/>
    </row>
    <row r="54" spans="2:11" x14ac:dyDescent="0.3">
      <c r="B54" s="10">
        <v>43928</v>
      </c>
      <c r="C54" s="4">
        <v>48</v>
      </c>
      <c r="E54" s="11">
        <f t="shared" si="8"/>
        <v>151503.99136691465</v>
      </c>
      <c r="F54" s="11"/>
      <c r="G54" s="11"/>
      <c r="H54" s="4"/>
      <c r="I54" s="11">
        <f t="shared" si="9"/>
        <v>17849.236435880641</v>
      </c>
      <c r="J54" s="11"/>
      <c r="K54" s="11"/>
    </row>
    <row r="55" spans="2:11" x14ac:dyDescent="0.3">
      <c r="B55" s="10">
        <v>43929</v>
      </c>
      <c r="C55" s="4">
        <v>49</v>
      </c>
      <c r="E55" s="11">
        <f t="shared" si="8"/>
        <v>157795.63290594405</v>
      </c>
      <c r="F55" s="11"/>
      <c r="G55" s="11"/>
      <c r="H55" s="4"/>
      <c r="I55" s="11">
        <f t="shared" si="9"/>
        <v>18639.986410320253</v>
      </c>
      <c r="J55" s="11"/>
      <c r="K55" s="11"/>
    </row>
    <row r="56" spans="2:11" x14ac:dyDescent="0.3">
      <c r="B56" s="10">
        <v>43930</v>
      </c>
      <c r="C56" s="4">
        <v>50</v>
      </c>
      <c r="E56" s="11">
        <f t="shared" si="8"/>
        <v>164034.47481917683</v>
      </c>
      <c r="F56" s="11"/>
      <c r="G56" s="11"/>
      <c r="H56" s="4"/>
      <c r="I56" s="11">
        <f t="shared" si="9"/>
        <v>19416.349781673369</v>
      </c>
      <c r="J56" s="11"/>
      <c r="K56" s="11"/>
    </row>
    <row r="57" spans="2:11" x14ac:dyDescent="0.3">
      <c r="B57" s="10">
        <v>43931</v>
      </c>
      <c r="C57" s="4">
        <v>51</v>
      </c>
      <c r="E57" s="11">
        <f t="shared" si="8"/>
        <v>170209.41875957756</v>
      </c>
      <c r="F57" s="11"/>
      <c r="G57" s="11"/>
      <c r="H57" s="4"/>
      <c r="I57" s="11">
        <f t="shared" si="9"/>
        <v>20176.710624269028</v>
      </c>
      <c r="J57" s="11"/>
      <c r="K57" s="11"/>
    </row>
    <row r="58" spans="2:11" x14ac:dyDescent="0.3">
      <c r="B58" s="10">
        <v>43932</v>
      </c>
      <c r="C58" s="4">
        <v>52</v>
      </c>
      <c r="E58" s="11">
        <f t="shared" si="8"/>
        <v>176310.2526393864</v>
      </c>
      <c r="F58" s="11"/>
      <c r="G58" s="11"/>
      <c r="H58" s="4"/>
      <c r="I58" s="11">
        <f t="shared" si="9"/>
        <v>20919.671752616305</v>
      </c>
      <c r="J58" s="11"/>
      <c r="K58" s="11"/>
    </row>
    <row r="59" spans="2:11" x14ac:dyDescent="0.3">
      <c r="B59" s="10">
        <v>43933</v>
      </c>
      <c r="C59" s="4">
        <v>53</v>
      </c>
      <c r="E59" s="11">
        <f t="shared" si="8"/>
        <v>182327.65214966942</v>
      </c>
      <c r="F59" s="11"/>
      <c r="G59" s="11"/>
      <c r="H59" s="4"/>
      <c r="I59" s="11">
        <f t="shared" si="9"/>
        <v>21644.046317234795</v>
      </c>
      <c r="J59" s="11"/>
      <c r="K59" s="11"/>
    </row>
    <row r="60" spans="2:11" x14ac:dyDescent="0.3">
      <c r="B60" s="10">
        <v>43934</v>
      </c>
      <c r="C60" s="4">
        <v>54</v>
      </c>
      <c r="E60" s="11">
        <f t="shared" si="8"/>
        <v>188253.17361955636</v>
      </c>
      <c r="F60" s="11"/>
      <c r="G60" s="11"/>
      <c r="H60" s="4"/>
      <c r="I60" s="11">
        <f t="shared" si="9"/>
        <v>22348.84760448469</v>
      </c>
      <c r="J60" s="11"/>
      <c r="K60" s="11"/>
    </row>
    <row r="61" spans="2:11" x14ac:dyDescent="0.3">
      <c r="B61" s="10">
        <v>43935</v>
      </c>
      <c r="C61" s="4">
        <v>55</v>
      </c>
      <c r="E61" s="11">
        <f t="shared" si="8"/>
        <v>194079.23933700897</v>
      </c>
      <c r="F61" s="11"/>
      <c r="G61" s="11"/>
      <c r="H61" s="4"/>
      <c r="I61" s="11">
        <f t="shared" si="9"/>
        <v>23033.277490612683</v>
      </c>
      <c r="J61" s="11"/>
      <c r="K61" s="11"/>
    </row>
    <row r="62" spans="2:11" x14ac:dyDescent="0.3">
      <c r="B62" s="10">
        <v>43936</v>
      </c>
      <c r="C62" s="4">
        <v>56</v>
      </c>
      <c r="E62" s="11">
        <f t="shared" si="8"/>
        <v>199799.11641508504</v>
      </c>
      <c r="F62" s="11"/>
      <c r="G62" s="11"/>
      <c r="H62" s="4"/>
      <c r="I62" s="11">
        <f t="shared" si="9"/>
        <v>23696.713951750804</v>
      </c>
      <c r="J62" s="11"/>
      <c r="K62" s="11"/>
    </row>
    <row r="63" spans="2:11" x14ac:dyDescent="0.3">
      <c r="B63" s="10">
        <v>43937</v>
      </c>
      <c r="C63" s="4">
        <v>57</v>
      </c>
      <c r="E63" s="11">
        <f t="shared" si="8"/>
        <v>205406.89023524176</v>
      </c>
      <c r="F63" s="11"/>
      <c r="G63" s="11"/>
      <c r="H63" s="4"/>
      <c r="I63" s="11">
        <f t="shared" si="9"/>
        <v>24338.697981951598</v>
      </c>
      <c r="J63" s="11"/>
      <c r="K63" s="11"/>
    </row>
    <row r="64" spans="2:11" x14ac:dyDescent="0.3">
      <c r="B64" s="10">
        <v>43938</v>
      </c>
      <c r="C64" s="4">
        <v>58</v>
      </c>
      <c r="E64" s="11">
        <f t="shared" si="8"/>
        <v>210897.43343599123</v>
      </c>
      <c r="F64" s="11"/>
      <c r="G64" s="11"/>
      <c r="H64" s="4"/>
      <c r="I64" s="11">
        <f t="shared" si="9"/>
        <v>24958.920222317181</v>
      </c>
      <c r="J64" s="11"/>
      <c r="K64" s="11"/>
    </row>
    <row r="65" spans="2:11" x14ac:dyDescent="0.3">
      <c r="B65" s="10">
        <v>43939</v>
      </c>
      <c r="C65" s="4">
        <v>59</v>
      </c>
      <c r="E65" s="11">
        <f t="shared" si="8"/>
        <v>216266.37134446605</v>
      </c>
      <c r="F65" s="11"/>
      <c r="G65" s="11"/>
      <c r="H65" s="4"/>
      <c r="I65" s="11">
        <f t="shared" si="9"/>
        <v>25557.20755723563</v>
      </c>
      <c r="J65" s="11"/>
      <c r="K65" s="11"/>
    </row>
    <row r="66" spans="2:11" x14ac:dyDescent="0.3">
      <c r="B66" s="10">
        <v>43940</v>
      </c>
      <c r="C66" s="4">
        <v>60</v>
      </c>
      <c r="E66" s="11">
        <f t="shared" si="8"/>
        <v>221510.04467302177</v>
      </c>
      <c r="F66" s="11"/>
      <c r="G66" s="11"/>
      <c r="H66" s="4"/>
      <c r="I66" s="11">
        <f t="shared" si="9"/>
        <v>26133.509889639932</v>
      </c>
      <c r="J66" s="11"/>
      <c r="K66" s="11"/>
    </row>
    <row r="67" spans="2:11" x14ac:dyDescent="0.3">
      <c r="B67" s="10">
        <v>43941</v>
      </c>
      <c r="C67" s="4">
        <v>61</v>
      </c>
      <c r="E67" s="11">
        <f t="shared" si="8"/>
        <v>226625.47022529805</v>
      </c>
      <c r="F67" s="11"/>
      <c r="G67" s="11"/>
      <c r="H67" s="4"/>
      <c r="I67" s="11">
        <f t="shared" si="9"/>
        <v>26687.887266688311</v>
      </c>
      <c r="J67" s="11"/>
      <c r="K67" s="11"/>
    </row>
    <row r="68" spans="2:11" x14ac:dyDescent="0.3">
      <c r="B68" s="10">
        <v>43942</v>
      </c>
      <c r="C68" s="4">
        <v>62</v>
      </c>
      <c r="E68" s="11">
        <f t="shared" si="8"/>
        <v>231610.30027818549</v>
      </c>
      <c r="F68" s="11"/>
      <c r="G68" s="11"/>
      <c r="H68" s="4"/>
      <c r="I68" s="11">
        <f t="shared" si="9"/>
        <v>27220.497490696009</v>
      </c>
      <c r="J68" s="11"/>
      <c r="K68" s="11"/>
    </row>
    <row r="69" spans="2:11" x14ac:dyDescent="0.3">
      <c r="B69" s="10">
        <v>43943</v>
      </c>
      <c r="C69" s="4">
        <v>63</v>
      </c>
      <c r="E69" s="11">
        <f t="shared" si="8"/>
        <v>236462.78122950974</v>
      </c>
      <c r="F69" s="11"/>
      <c r="G69" s="11"/>
      <c r="H69" s="4"/>
      <c r="I69" s="11">
        <f t="shared" si="9"/>
        <v>27731.584317679328</v>
      </c>
      <c r="J69" s="11"/>
      <c r="K69" s="11"/>
    </row>
    <row r="70" spans="2:11" x14ac:dyDescent="0.3">
      <c r="B70" s="10">
        <v>43944</v>
      </c>
      <c r="C70" s="4">
        <v>64</v>
      </c>
      <c r="E70" s="11">
        <f t="shared" si="8"/>
        <v>241181.7120272278</v>
      </c>
      <c r="F70" s="11"/>
      <c r="G70" s="11"/>
      <c r="H70" s="4"/>
      <c r="I70" s="11">
        <f t="shared" si="9"/>
        <v>28221.466317488081</v>
      </c>
      <c r="J70" s="11"/>
      <c r="K70" s="11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5632-B437-4470-A0F8-C1DBA4CDFA9C}">
  <dimension ref="B2:V130"/>
  <sheetViews>
    <sheetView tabSelected="1" topLeftCell="A4" zoomScale="70" zoomScaleNormal="70" workbookViewId="0">
      <selection activeCell="AF20" sqref="AF20"/>
    </sheetView>
  </sheetViews>
  <sheetFormatPr defaultRowHeight="14.4" x14ac:dyDescent="0.3"/>
  <cols>
    <col min="1" max="1" width="2.77734375" style="2" customWidth="1"/>
    <col min="2" max="2" width="8.88671875" style="2"/>
    <col min="3" max="3" width="4.109375" style="2" bestFit="1" customWidth="1"/>
    <col min="4" max="4" width="14.109375" style="2" bestFit="1" customWidth="1"/>
    <col min="5" max="5" width="9.6640625" style="2" bestFit="1" customWidth="1"/>
    <col min="6" max="6" width="7.44140625" style="2" bestFit="1" customWidth="1"/>
    <col min="7" max="7" width="7.5546875" style="2" bestFit="1" customWidth="1"/>
    <col min="8" max="8" width="8.109375" style="2" bestFit="1" customWidth="1"/>
    <col min="9" max="9" width="8.21875" style="2" bestFit="1" customWidth="1"/>
    <col min="10" max="10" width="11.109375" style="2" bestFit="1" customWidth="1"/>
    <col min="11" max="12" width="9.6640625" style="2" bestFit="1" customWidth="1"/>
    <col min="13" max="13" width="9.77734375" style="2" bestFit="1" customWidth="1"/>
    <col min="14" max="14" width="11.6640625" style="2" bestFit="1" customWidth="1"/>
    <col min="15" max="15" width="11.7773437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22" ht="31.2" x14ac:dyDescent="0.6">
      <c r="B2" s="12" t="s">
        <v>13</v>
      </c>
    </row>
    <row r="3" spans="2:22" ht="17.399999999999999" customHeight="1" x14ac:dyDescent="0.6">
      <c r="B3" s="12"/>
      <c r="S3" s="18" t="s">
        <v>0</v>
      </c>
      <c r="T3" s="17" t="s">
        <v>54</v>
      </c>
      <c r="U3" s="17"/>
      <c r="V3" s="17"/>
    </row>
    <row r="4" spans="2:22" ht="20.399999999999999" x14ac:dyDescent="0.35">
      <c r="B4" s="13" t="s">
        <v>14</v>
      </c>
      <c r="C4" s="14"/>
      <c r="S4" s="18" t="s">
        <v>26</v>
      </c>
      <c r="T4" s="17" t="s">
        <v>55</v>
      </c>
      <c r="U4" s="17"/>
      <c r="V4" s="17"/>
    </row>
    <row r="5" spans="2:22" ht="18" x14ac:dyDescent="0.35">
      <c r="B5" s="13" t="s">
        <v>53</v>
      </c>
      <c r="S5" s="18" t="s">
        <v>1</v>
      </c>
      <c r="T5" s="17" t="s">
        <v>56</v>
      </c>
      <c r="U5" s="17"/>
      <c r="V5" s="17"/>
    </row>
    <row r="6" spans="2:22" x14ac:dyDescent="0.3">
      <c r="B6" s="4" t="s">
        <v>10</v>
      </c>
      <c r="C6" s="4" t="s">
        <v>11</v>
      </c>
      <c r="D6" s="4" t="s">
        <v>29</v>
      </c>
      <c r="E6" s="4" t="s">
        <v>28</v>
      </c>
      <c r="F6" s="9" t="s">
        <v>61</v>
      </c>
      <c r="G6" s="9" t="s">
        <v>62</v>
      </c>
      <c r="H6" s="9" t="s">
        <v>8</v>
      </c>
      <c r="I6" s="9" t="s">
        <v>9</v>
      </c>
      <c r="J6" s="4" t="s">
        <v>63</v>
      </c>
      <c r="K6" s="4" t="s">
        <v>64</v>
      </c>
      <c r="L6" s="9" t="s">
        <v>65</v>
      </c>
      <c r="M6" s="9" t="s">
        <v>66</v>
      </c>
      <c r="N6" s="9" t="s">
        <v>67</v>
      </c>
      <c r="O6" s="9" t="s">
        <v>68</v>
      </c>
      <c r="P6" s="9"/>
      <c r="Q6" s="29" t="s">
        <v>50</v>
      </c>
      <c r="R6" s="3"/>
      <c r="S6" s="3"/>
    </row>
    <row r="7" spans="2:22" x14ac:dyDescent="0.3">
      <c r="B7" s="24">
        <v>43881</v>
      </c>
      <c r="C7" s="25">
        <v>1</v>
      </c>
      <c r="D7" s="26">
        <v>3</v>
      </c>
      <c r="E7" s="11">
        <f>D7-D7</f>
        <v>0</v>
      </c>
      <c r="F7" s="11">
        <f t="shared" ref="F7:F38" si="0">Kn*EXP(-EXP(-($C7-t0n)/wn))</f>
        <v>236.33635081159434</v>
      </c>
      <c r="G7" s="11">
        <f>F7-F7</f>
        <v>0</v>
      </c>
      <c r="H7" s="11">
        <f>G7+CIn</f>
        <v>1515.3904140657951</v>
      </c>
      <c r="I7" s="11">
        <f>MAX(G7-CIn,0)</f>
        <v>0</v>
      </c>
      <c r="J7" s="25">
        <v>0</v>
      </c>
      <c r="K7" s="11">
        <f>J7-J7</f>
        <v>0</v>
      </c>
      <c r="L7" s="11">
        <f t="shared" ref="L7:L38" si="1">Kd*EXP(-EXP(-($C7-t0d)/wd))</f>
        <v>0.41161568115907399</v>
      </c>
      <c r="M7" s="11">
        <f>L7-L7</f>
        <v>0</v>
      </c>
      <c r="N7" s="11">
        <f t="shared" ref="N7:N46" si="2">M7+CId</f>
        <v>138.80260378136072</v>
      </c>
      <c r="O7" s="11">
        <f t="shared" ref="O7:O46" si="3">MAX(M7-CId,0)</f>
        <v>0</v>
      </c>
      <c r="P7" s="9"/>
      <c r="Q7" s="19" t="s">
        <v>0</v>
      </c>
      <c r="R7" s="5">
        <v>356881</v>
      </c>
      <c r="S7" s="3"/>
    </row>
    <row r="8" spans="2:22" ht="15.6" x14ac:dyDescent="0.35">
      <c r="B8" s="24">
        <v>43882</v>
      </c>
      <c r="C8" s="25">
        <v>2</v>
      </c>
      <c r="D8" s="26">
        <v>20</v>
      </c>
      <c r="E8" s="4">
        <f>D8-D7</f>
        <v>17</v>
      </c>
      <c r="F8" s="11">
        <f t="shared" si="0"/>
        <v>326.6976907964164</v>
      </c>
      <c r="G8" s="11">
        <f>F8-F7</f>
        <v>90.361339984822052</v>
      </c>
      <c r="H8" s="11">
        <f>G8+CIn</f>
        <v>1605.7517540506171</v>
      </c>
      <c r="I8" s="11">
        <f>MAX(G8-CIn,0)</f>
        <v>0</v>
      </c>
      <c r="J8" s="25">
        <v>1</v>
      </c>
      <c r="K8" s="11">
        <f t="shared" ref="K8:K49" si="4">J8-J7</f>
        <v>1</v>
      </c>
      <c r="L8" s="11">
        <f t="shared" si="1"/>
        <v>0.77869682226407377</v>
      </c>
      <c r="M8" s="11">
        <f>L8-L7</f>
        <v>0.36708114110499979</v>
      </c>
      <c r="N8" s="11">
        <f t="shared" si="2"/>
        <v>139.16968492246571</v>
      </c>
      <c r="O8" s="11">
        <f t="shared" si="3"/>
        <v>0</v>
      </c>
      <c r="P8" s="9"/>
      <c r="Q8" s="19" t="s">
        <v>27</v>
      </c>
      <c r="R8" s="5">
        <v>45</v>
      </c>
      <c r="S8" s="3"/>
    </row>
    <row r="9" spans="2:22" x14ac:dyDescent="0.3">
      <c r="B9" s="24">
        <v>43883</v>
      </c>
      <c r="C9" s="25">
        <v>3</v>
      </c>
      <c r="D9" s="26">
        <v>62</v>
      </c>
      <c r="E9" s="4">
        <f>D9-D8</f>
        <v>42</v>
      </c>
      <c r="F9" s="11">
        <f t="shared" si="0"/>
        <v>445.18630370985812</v>
      </c>
      <c r="G9" s="11">
        <f>F9-F8</f>
        <v>118.48861291344173</v>
      </c>
      <c r="H9" s="11">
        <f>G9+CIn</f>
        <v>1633.8790269792369</v>
      </c>
      <c r="I9" s="11">
        <f>MAX(G9-CIn,0)</f>
        <v>0</v>
      </c>
      <c r="J9" s="25">
        <v>2</v>
      </c>
      <c r="K9" s="11">
        <f t="shared" si="4"/>
        <v>1</v>
      </c>
      <c r="L9" s="11">
        <f t="shared" si="1"/>
        <v>1.4221306192675454</v>
      </c>
      <c r="M9" s="11">
        <f>L9-L8</f>
        <v>0.64343379700347159</v>
      </c>
      <c r="N9" s="11">
        <f t="shared" si="2"/>
        <v>139.44603757836418</v>
      </c>
      <c r="O9" s="11">
        <f t="shared" si="3"/>
        <v>0</v>
      </c>
      <c r="P9" s="9"/>
      <c r="Q9" s="19" t="s">
        <v>1</v>
      </c>
      <c r="R9" s="22">
        <v>22.103922761031541</v>
      </c>
      <c r="S9" s="3"/>
    </row>
    <row r="10" spans="2:22" x14ac:dyDescent="0.3">
      <c r="B10" s="24">
        <v>43884</v>
      </c>
      <c r="C10" s="25">
        <v>4</v>
      </c>
      <c r="D10" s="26">
        <v>155</v>
      </c>
      <c r="E10" s="4">
        <f>D10-D9</f>
        <v>93</v>
      </c>
      <c r="F10" s="11">
        <f t="shared" si="0"/>
        <v>598.40172164240164</v>
      </c>
      <c r="G10" s="11">
        <f>F10-F9</f>
        <v>153.21541793254352</v>
      </c>
      <c r="H10" s="11">
        <f>G10+CIn</f>
        <v>1668.6058319983385</v>
      </c>
      <c r="I10" s="11">
        <f>MAX(G10-CIn,0)</f>
        <v>0</v>
      </c>
      <c r="J10" s="25">
        <v>3</v>
      </c>
      <c r="K10" s="11">
        <f t="shared" si="4"/>
        <v>1</v>
      </c>
      <c r="L10" s="11">
        <f t="shared" si="1"/>
        <v>2.5121827576252369</v>
      </c>
      <c r="M10" s="11">
        <f>L10-L9</f>
        <v>1.0900521383576915</v>
      </c>
      <c r="N10" s="11">
        <f t="shared" si="2"/>
        <v>139.89265591971841</v>
      </c>
      <c r="O10" s="11">
        <f t="shared" si="3"/>
        <v>0</v>
      </c>
      <c r="P10" s="9"/>
      <c r="Q10" s="6" t="s">
        <v>2</v>
      </c>
      <c r="R10" s="1">
        <f>AVERAGE(E7:E49)</f>
        <v>2679.9767441860463</v>
      </c>
      <c r="S10" s="3"/>
    </row>
    <row r="11" spans="2:22" x14ac:dyDescent="0.3">
      <c r="B11" s="20">
        <v>43885</v>
      </c>
      <c r="C11" s="4">
        <v>5</v>
      </c>
      <c r="D11" s="4">
        <f>'dpc-covid-19-ita-andamento-naz'!L2</f>
        <v>229</v>
      </c>
      <c r="E11" s="4">
        <f>D11-D10</f>
        <v>74</v>
      </c>
      <c r="F11" s="11">
        <f t="shared" si="0"/>
        <v>793.8932943862884</v>
      </c>
      <c r="G11" s="11">
        <f>F11-F10</f>
        <v>195.49157274388676</v>
      </c>
      <c r="H11" s="11">
        <f t="shared" ref="H11:H44" si="5">G11+CIn</f>
        <v>1710.8819868096818</v>
      </c>
      <c r="I11" s="11">
        <f t="shared" ref="I11:I44" si="6">MAX(G11-CIn,0)</f>
        <v>0</v>
      </c>
      <c r="J11" s="11">
        <f>'dpc-covid-19-ita-andamento-naz'!K2</f>
        <v>7</v>
      </c>
      <c r="K11" s="11">
        <f t="shared" si="4"/>
        <v>4</v>
      </c>
      <c r="L11" s="11">
        <f t="shared" si="1"/>
        <v>4.3003413279440297</v>
      </c>
      <c r="M11" s="11">
        <f>L11-L10</f>
        <v>1.7881585703187928</v>
      </c>
      <c r="N11" s="11">
        <f t="shared" si="2"/>
        <v>140.5907623516795</v>
      </c>
      <c r="O11" s="11">
        <f t="shared" si="3"/>
        <v>0</v>
      </c>
      <c r="P11" s="1"/>
      <c r="Q11" s="6" t="s">
        <v>3</v>
      </c>
      <c r="R11" s="1">
        <f>COUNT(E7:E49)-COUNT(R7:R9)</f>
        <v>40</v>
      </c>
    </row>
    <row r="12" spans="2:22" x14ac:dyDescent="0.3">
      <c r="B12" s="10">
        <v>43886</v>
      </c>
      <c r="C12" s="4">
        <v>6</v>
      </c>
      <c r="D12" s="4">
        <f>'dpc-covid-19-ita-andamento-naz'!L3</f>
        <v>322</v>
      </c>
      <c r="E12" s="4">
        <f>D12-D11</f>
        <v>93</v>
      </c>
      <c r="F12" s="11">
        <f t="shared" si="0"/>
        <v>1040.1620666804681</v>
      </c>
      <c r="G12" s="11">
        <f>F12-F11</f>
        <v>246.26877229417971</v>
      </c>
      <c r="H12" s="11">
        <f t="shared" si="5"/>
        <v>1761.6591863599747</v>
      </c>
      <c r="I12" s="11">
        <f t="shared" si="6"/>
        <v>0</v>
      </c>
      <c r="J12" s="11">
        <f>'dpc-covid-19-ita-andamento-naz'!K3</f>
        <v>10</v>
      </c>
      <c r="K12" s="11">
        <f t="shared" si="4"/>
        <v>3</v>
      </c>
      <c r="L12" s="11">
        <f t="shared" si="1"/>
        <v>7.145780810762675</v>
      </c>
      <c r="M12" s="11">
        <f>L12-L11</f>
        <v>2.8454394828186453</v>
      </c>
      <c r="N12" s="11">
        <f t="shared" si="2"/>
        <v>141.64804326417936</v>
      </c>
      <c r="O12" s="11">
        <f t="shared" si="3"/>
        <v>0</v>
      </c>
      <c r="P12" s="1"/>
      <c r="Q12" s="6" t="s">
        <v>4</v>
      </c>
      <c r="R12" s="7" cm="1">
        <f t="array" ref="R12">SQRT(SUM((E7:E49-G7:G49)^2)/dfn)</f>
        <v>749.79410532338079</v>
      </c>
    </row>
    <row r="13" spans="2:22" ht="16.2" x14ac:dyDescent="0.3">
      <c r="B13" s="10">
        <v>43887</v>
      </c>
      <c r="C13" s="4">
        <v>7</v>
      </c>
      <c r="D13" s="4">
        <f>'dpc-covid-19-ita-andamento-naz'!L4</f>
        <v>400</v>
      </c>
      <c r="E13" s="4">
        <f t="shared" ref="E13:E49" si="7">D13-D12</f>
        <v>78</v>
      </c>
      <c r="F13" s="11">
        <f t="shared" si="0"/>
        <v>1346.6342946042412</v>
      </c>
      <c r="G13" s="11">
        <f t="shared" ref="G13:G76" si="8">F13-F12</f>
        <v>306.47222792377306</v>
      </c>
      <c r="H13" s="11">
        <f t="shared" si="5"/>
        <v>1821.8626419895681</v>
      </c>
      <c r="I13" s="11">
        <f t="shared" si="6"/>
        <v>0</v>
      </c>
      <c r="J13" s="11">
        <f>'dpc-covid-19-ita-andamento-naz'!K4</f>
        <v>12</v>
      </c>
      <c r="K13" s="11">
        <f t="shared" si="4"/>
        <v>2</v>
      </c>
      <c r="L13" s="11">
        <f t="shared" si="1"/>
        <v>11.545291112425746</v>
      </c>
      <c r="M13" s="11">
        <f t="shared" ref="M13:M70" si="9">L13-L12</f>
        <v>4.3995103016630708</v>
      </c>
      <c r="N13" s="11">
        <f t="shared" si="2"/>
        <v>143.20211408302379</v>
      </c>
      <c r="O13" s="11">
        <f t="shared" si="3"/>
        <v>0</v>
      </c>
      <c r="P13" s="1"/>
      <c r="Q13" s="6" t="s">
        <v>5</v>
      </c>
      <c r="R13" s="8" cm="1">
        <f t="array" ref="R13">1-SUM((E7:E49-G7:G49)^2)/SUM((E7:E49-Mean_of_yn)^2)</f>
        <v>0.89567437167409025</v>
      </c>
    </row>
    <row r="14" spans="2:22" x14ac:dyDescent="0.3">
      <c r="B14" s="10">
        <v>43888</v>
      </c>
      <c r="C14" s="4">
        <v>8</v>
      </c>
      <c r="D14" s="4">
        <f>'dpc-covid-19-ita-andamento-naz'!L5</f>
        <v>650</v>
      </c>
      <c r="E14" s="4">
        <f t="shared" si="7"/>
        <v>250</v>
      </c>
      <c r="F14" s="11">
        <f t="shared" si="0"/>
        <v>1723.6047716292835</v>
      </c>
      <c r="G14" s="11">
        <f t="shared" si="8"/>
        <v>376.97047702504233</v>
      </c>
      <c r="H14" s="11">
        <f t="shared" si="5"/>
        <v>1892.3608910908374</v>
      </c>
      <c r="I14" s="11">
        <f t="shared" si="6"/>
        <v>0</v>
      </c>
      <c r="J14" s="11">
        <f>'dpc-covid-19-ita-andamento-naz'!K5</f>
        <v>17</v>
      </c>
      <c r="K14" s="11">
        <f t="shared" si="4"/>
        <v>5</v>
      </c>
      <c r="L14" s="11">
        <f t="shared" si="1"/>
        <v>18.165295027425987</v>
      </c>
      <c r="M14" s="11">
        <f t="shared" si="9"/>
        <v>6.6200039150002414</v>
      </c>
      <c r="N14" s="11">
        <f t="shared" si="2"/>
        <v>145.42260769636096</v>
      </c>
      <c r="O14" s="11">
        <f t="shared" si="3"/>
        <v>0</v>
      </c>
      <c r="P14" s="1"/>
      <c r="Q14" s="6" t="s">
        <v>6</v>
      </c>
      <c r="R14" s="8">
        <f>TINV(0.05,dfn)</f>
        <v>2.0210753903062737</v>
      </c>
    </row>
    <row r="15" spans="2:22" x14ac:dyDescent="0.3">
      <c r="B15" s="10">
        <v>43889</v>
      </c>
      <c r="C15" s="4">
        <v>9</v>
      </c>
      <c r="D15" s="4">
        <f>'dpc-covid-19-ita-andamento-naz'!L6</f>
        <v>888</v>
      </c>
      <c r="E15" s="4">
        <f t="shared" si="7"/>
        <v>238</v>
      </c>
      <c r="F15" s="11">
        <f t="shared" si="0"/>
        <v>2182.1494260033514</v>
      </c>
      <c r="G15" s="11">
        <f t="shared" si="8"/>
        <v>458.54465437406793</v>
      </c>
      <c r="H15" s="11">
        <f t="shared" si="5"/>
        <v>1973.935068439863</v>
      </c>
      <c r="I15" s="11">
        <f t="shared" si="6"/>
        <v>0</v>
      </c>
      <c r="J15" s="11">
        <f>'dpc-covid-19-ita-andamento-naz'!K6</f>
        <v>21</v>
      </c>
      <c r="K15" s="11">
        <f t="shared" si="4"/>
        <v>4</v>
      </c>
      <c r="L15" s="11">
        <f t="shared" si="1"/>
        <v>27.873985812489646</v>
      </c>
      <c r="M15" s="11">
        <f t="shared" si="9"/>
        <v>9.7086907850636592</v>
      </c>
      <c r="N15" s="11">
        <f t="shared" si="2"/>
        <v>148.51129456642437</v>
      </c>
      <c r="O15" s="11">
        <f t="shared" si="3"/>
        <v>0</v>
      </c>
      <c r="P15" s="1"/>
      <c r="Q15" s="6" t="s">
        <v>7</v>
      </c>
      <c r="R15" s="1">
        <f>Critical_tn*SE_of_yn</f>
        <v>1515.3904140657951</v>
      </c>
    </row>
    <row r="16" spans="2:22" x14ac:dyDescent="0.3">
      <c r="B16" s="10">
        <v>43890</v>
      </c>
      <c r="C16" s="4">
        <v>10</v>
      </c>
      <c r="D16" s="4">
        <f>'dpc-covid-19-ita-andamento-naz'!L7</f>
        <v>1128</v>
      </c>
      <c r="E16" s="4">
        <f t="shared" si="7"/>
        <v>240</v>
      </c>
      <c r="F16" s="11">
        <f t="shared" si="0"/>
        <v>2734.0080127183269</v>
      </c>
      <c r="G16" s="11">
        <f t="shared" si="8"/>
        <v>551.85858671497544</v>
      </c>
      <c r="H16" s="11">
        <f t="shared" si="5"/>
        <v>2067.2490007807705</v>
      </c>
      <c r="I16" s="11">
        <f t="shared" si="6"/>
        <v>0</v>
      </c>
      <c r="J16" s="11">
        <f>'dpc-covid-19-ita-andamento-naz'!K7</f>
        <v>29</v>
      </c>
      <c r="K16" s="11">
        <f t="shared" si="4"/>
        <v>8</v>
      </c>
      <c r="L16" s="11">
        <f t="shared" si="1"/>
        <v>41.771130650071164</v>
      </c>
      <c r="M16" s="11">
        <f t="shared" si="9"/>
        <v>13.897144837581518</v>
      </c>
      <c r="N16" s="11">
        <f t="shared" si="2"/>
        <v>152.69974861894224</v>
      </c>
      <c r="O16" s="11">
        <f t="shared" si="3"/>
        <v>0</v>
      </c>
      <c r="P16" s="1"/>
      <c r="Q16" s="29" t="s">
        <v>72</v>
      </c>
      <c r="R16" s="30">
        <f>Kn/(EXP(1)*wn)</f>
        <v>5939.6327187753232</v>
      </c>
    </row>
    <row r="17" spans="2:18" x14ac:dyDescent="0.3">
      <c r="B17" s="20">
        <v>43891</v>
      </c>
      <c r="C17" s="4">
        <v>11</v>
      </c>
      <c r="D17" s="4">
        <f>'dpc-covid-19-ita-andamento-naz'!L8</f>
        <v>1694</v>
      </c>
      <c r="E17" s="4">
        <f t="shared" si="7"/>
        <v>566</v>
      </c>
      <c r="F17" s="11">
        <f t="shared" si="0"/>
        <v>3391.439068478569</v>
      </c>
      <c r="G17" s="11">
        <f t="shared" si="8"/>
        <v>657.43105576024209</v>
      </c>
      <c r="H17" s="11">
        <f t="shared" si="5"/>
        <v>2172.8214698260372</v>
      </c>
      <c r="I17" s="11">
        <f t="shared" si="6"/>
        <v>0</v>
      </c>
      <c r="J17" s="11">
        <f>'dpc-covid-19-ita-andamento-naz'!K8</f>
        <v>34</v>
      </c>
      <c r="K17" s="11">
        <f t="shared" si="4"/>
        <v>5</v>
      </c>
      <c r="L17" s="11">
        <f t="shared" si="1"/>
        <v>61.212788057970279</v>
      </c>
      <c r="M17" s="11">
        <f t="shared" si="9"/>
        <v>19.441657407899115</v>
      </c>
      <c r="N17" s="11">
        <f t="shared" si="2"/>
        <v>158.24426118925982</v>
      </c>
      <c r="O17" s="11">
        <f t="shared" si="3"/>
        <v>0</v>
      </c>
      <c r="P17" s="1"/>
      <c r="Q17" s="21" t="s">
        <v>57</v>
      </c>
      <c r="R17" s="3"/>
    </row>
    <row r="18" spans="2:18" x14ac:dyDescent="0.3">
      <c r="B18" s="10">
        <v>43892</v>
      </c>
      <c r="C18" s="4">
        <v>12</v>
      </c>
      <c r="D18" s="4">
        <f>'dpc-covid-19-ita-andamento-naz'!L9</f>
        <v>2036</v>
      </c>
      <c r="E18" s="4">
        <f t="shared" si="7"/>
        <v>342</v>
      </c>
      <c r="F18" s="11">
        <f t="shared" si="0"/>
        <v>4167.0505438216242</v>
      </c>
      <c r="G18" s="11">
        <f t="shared" si="8"/>
        <v>775.61147534305519</v>
      </c>
      <c r="H18" s="11">
        <f t="shared" si="5"/>
        <v>2291.0018894088503</v>
      </c>
      <c r="I18" s="11">
        <f t="shared" si="6"/>
        <v>0</v>
      </c>
      <c r="J18" s="11">
        <f>'dpc-covid-19-ita-andamento-naz'!K9</f>
        <v>52</v>
      </c>
      <c r="K18" s="11">
        <f t="shared" si="4"/>
        <v>18</v>
      </c>
      <c r="L18" s="11">
        <f t="shared" si="1"/>
        <v>87.828140848169895</v>
      </c>
      <c r="M18" s="11">
        <f t="shared" si="9"/>
        <v>26.615352790199616</v>
      </c>
      <c r="N18" s="11">
        <f t="shared" si="2"/>
        <v>165.41795657156032</v>
      </c>
      <c r="O18" s="11">
        <f t="shared" si="3"/>
        <v>0</v>
      </c>
      <c r="P18" s="1"/>
      <c r="Q18" s="19" t="s">
        <v>0</v>
      </c>
      <c r="R18" s="5">
        <v>41997</v>
      </c>
    </row>
    <row r="19" spans="2:18" ht="15.6" x14ac:dyDescent="0.35">
      <c r="B19" s="10">
        <v>43893</v>
      </c>
      <c r="C19" s="4">
        <v>13</v>
      </c>
      <c r="D19" s="4">
        <f>'dpc-covid-19-ita-andamento-naz'!L10</f>
        <v>2502</v>
      </c>
      <c r="E19" s="4">
        <f t="shared" si="7"/>
        <v>466</v>
      </c>
      <c r="F19" s="11">
        <f t="shared" si="0"/>
        <v>5073.6106001552962</v>
      </c>
      <c r="G19" s="11">
        <f t="shared" si="8"/>
        <v>906.56005633367204</v>
      </c>
      <c r="H19" s="11">
        <f t="shared" si="5"/>
        <v>2421.9504703994671</v>
      </c>
      <c r="I19" s="11">
        <f t="shared" si="6"/>
        <v>0</v>
      </c>
      <c r="J19" s="11">
        <f>'dpc-covid-19-ita-andamento-naz'!K10</f>
        <v>79</v>
      </c>
      <c r="K19" s="11">
        <f t="shared" si="4"/>
        <v>27</v>
      </c>
      <c r="L19" s="11">
        <f t="shared" si="1"/>
        <v>123.52588316976764</v>
      </c>
      <c r="M19" s="11">
        <f t="shared" si="9"/>
        <v>35.697742321597744</v>
      </c>
      <c r="N19" s="11">
        <f t="shared" si="2"/>
        <v>174.50034610295847</v>
      </c>
      <c r="O19" s="11">
        <f t="shared" si="3"/>
        <v>0</v>
      </c>
      <c r="P19" s="1"/>
      <c r="Q19" s="19" t="s">
        <v>27</v>
      </c>
      <c r="R19" s="5">
        <v>44</v>
      </c>
    </row>
    <row r="20" spans="2:18" x14ac:dyDescent="0.3">
      <c r="B20" s="10">
        <v>43894</v>
      </c>
      <c r="C20" s="4">
        <v>14</v>
      </c>
      <c r="D20" s="4">
        <f>'dpc-covid-19-ita-andamento-naz'!L11</f>
        <v>3089</v>
      </c>
      <c r="E20" s="4">
        <f t="shared" si="7"/>
        <v>587</v>
      </c>
      <c r="F20" s="11">
        <f t="shared" si="0"/>
        <v>6123.8439035909105</v>
      </c>
      <c r="G20" s="11">
        <f t="shared" si="8"/>
        <v>1050.2333034356143</v>
      </c>
      <c r="H20" s="11">
        <f t="shared" si="5"/>
        <v>2565.6237175014094</v>
      </c>
      <c r="I20" s="11">
        <f t="shared" si="6"/>
        <v>0</v>
      </c>
      <c r="J20" s="11">
        <f>'dpc-covid-19-ita-andamento-naz'!K11</f>
        <v>107</v>
      </c>
      <c r="K20" s="11">
        <f t="shared" si="4"/>
        <v>28</v>
      </c>
      <c r="L20" s="11">
        <f t="shared" si="1"/>
        <v>170.48811540759459</v>
      </c>
      <c r="M20" s="11">
        <f t="shared" si="9"/>
        <v>46.962232237826953</v>
      </c>
      <c r="N20" s="11">
        <f t="shared" si="2"/>
        <v>185.76483601918767</v>
      </c>
      <c r="O20" s="11">
        <f t="shared" si="3"/>
        <v>0</v>
      </c>
      <c r="P20" s="1"/>
      <c r="Q20" s="19" t="s">
        <v>1</v>
      </c>
      <c r="R20" s="22">
        <v>17.585372120467298</v>
      </c>
    </row>
    <row r="21" spans="2:18" x14ac:dyDescent="0.3">
      <c r="B21" s="20">
        <v>43895</v>
      </c>
      <c r="C21" s="4">
        <v>15</v>
      </c>
      <c r="D21" s="4">
        <f>'dpc-covid-19-ita-andamento-naz'!L12</f>
        <v>3858</v>
      </c>
      <c r="E21" s="4">
        <f t="shared" si="7"/>
        <v>769</v>
      </c>
      <c r="F21" s="11">
        <f t="shared" si="0"/>
        <v>7330.2193232268846</v>
      </c>
      <c r="G21" s="11">
        <f t="shared" si="8"/>
        <v>1206.3754196359741</v>
      </c>
      <c r="H21" s="11">
        <f t="shared" si="5"/>
        <v>2721.7658337017692</v>
      </c>
      <c r="I21" s="11">
        <f t="shared" si="6"/>
        <v>0</v>
      </c>
      <c r="J21" s="11">
        <f>'dpc-covid-19-ita-andamento-naz'!K12</f>
        <v>148</v>
      </c>
      <c r="K21" s="11">
        <f t="shared" si="4"/>
        <v>41</v>
      </c>
      <c r="L21" s="11">
        <f t="shared" si="1"/>
        <v>231.15045221874092</v>
      </c>
      <c r="M21" s="11">
        <f t="shared" si="9"/>
        <v>60.662336811146332</v>
      </c>
      <c r="N21" s="11">
        <f t="shared" si="2"/>
        <v>199.46494059250705</v>
      </c>
      <c r="O21" s="11">
        <f t="shared" si="3"/>
        <v>0</v>
      </c>
      <c r="P21" s="1"/>
      <c r="Q21" s="2" t="s">
        <v>2</v>
      </c>
      <c r="R21" s="1">
        <f>AVERAGE(K7:K49)</f>
        <v>323.60465116279067</v>
      </c>
    </row>
    <row r="22" spans="2:18" x14ac:dyDescent="0.3">
      <c r="B22" s="10">
        <v>43896</v>
      </c>
      <c r="C22" s="4">
        <v>16</v>
      </c>
      <c r="D22" s="4">
        <f>'dpc-covid-19-ita-andamento-naz'!L13</f>
        <v>4636</v>
      </c>
      <c r="E22" s="4">
        <f t="shared" si="7"/>
        <v>778</v>
      </c>
      <c r="F22" s="11">
        <f t="shared" si="0"/>
        <v>8704.7352299581162</v>
      </c>
      <c r="G22" s="11">
        <f t="shared" si="8"/>
        <v>1374.5159067312316</v>
      </c>
      <c r="H22" s="11">
        <f t="shared" si="5"/>
        <v>2889.9063207970266</v>
      </c>
      <c r="I22" s="11">
        <f t="shared" si="6"/>
        <v>0</v>
      </c>
      <c r="J22" s="11">
        <f>'dpc-covid-19-ita-andamento-naz'!K13</f>
        <v>197</v>
      </c>
      <c r="K22" s="11">
        <f t="shared" si="4"/>
        <v>49</v>
      </c>
      <c r="L22" s="11">
        <f t="shared" si="1"/>
        <v>308.16796417722776</v>
      </c>
      <c r="M22" s="11">
        <f t="shared" si="9"/>
        <v>77.017511958486836</v>
      </c>
      <c r="N22" s="11">
        <f t="shared" si="2"/>
        <v>215.82011573984755</v>
      </c>
      <c r="O22" s="11">
        <f t="shared" si="3"/>
        <v>0</v>
      </c>
      <c r="P22" s="1"/>
      <c r="Q22" s="2" t="s">
        <v>3</v>
      </c>
      <c r="R22" s="1">
        <f>COUNT(K7:K49)-COUNT(R18:R20)</f>
        <v>40</v>
      </c>
    </row>
    <row r="23" spans="2:18" x14ac:dyDescent="0.3">
      <c r="B23" s="10">
        <v>43897</v>
      </c>
      <c r="C23" s="4">
        <v>17</v>
      </c>
      <c r="D23" s="4">
        <f>'dpc-covid-19-ita-andamento-naz'!L14</f>
        <v>5883</v>
      </c>
      <c r="E23" s="4">
        <f t="shared" si="7"/>
        <v>1247</v>
      </c>
      <c r="F23" s="11">
        <f t="shared" si="0"/>
        <v>10258.708593309615</v>
      </c>
      <c r="G23" s="11">
        <f t="shared" si="8"/>
        <v>1553.9733633514988</v>
      </c>
      <c r="H23" s="11">
        <f t="shared" si="5"/>
        <v>3069.3637774172939</v>
      </c>
      <c r="I23" s="11">
        <f t="shared" si="6"/>
        <v>38.582949285703762</v>
      </c>
      <c r="J23" s="11">
        <f>'dpc-covid-19-ita-andamento-naz'!K14</f>
        <v>233</v>
      </c>
      <c r="K23" s="11">
        <f t="shared" si="4"/>
        <v>36</v>
      </c>
      <c r="L23" s="11">
        <f t="shared" si="1"/>
        <v>404.36756017157512</v>
      </c>
      <c r="M23" s="11">
        <f t="shared" si="9"/>
        <v>96.199595994347362</v>
      </c>
      <c r="N23" s="11">
        <f t="shared" si="2"/>
        <v>235.00219977570808</v>
      </c>
      <c r="O23" s="11">
        <f t="shared" si="3"/>
        <v>0</v>
      </c>
      <c r="P23" s="1"/>
      <c r="Q23" s="2" t="s">
        <v>4</v>
      </c>
      <c r="R23" s="7" cm="1">
        <f t="array" ref="R23">SQRT(SUM((K7:K49-M7:M49)^2)/dfd)</f>
        <v>68.67759829598765</v>
      </c>
    </row>
    <row r="24" spans="2:18" ht="16.2" x14ac:dyDescent="0.3">
      <c r="B24" s="20">
        <v>43898</v>
      </c>
      <c r="C24" s="4">
        <v>18</v>
      </c>
      <c r="D24" s="4">
        <f>'dpc-covid-19-ita-andamento-naz'!L15</f>
        <v>7375</v>
      </c>
      <c r="E24" s="4">
        <f t="shared" si="7"/>
        <v>1492</v>
      </c>
      <c r="F24" s="11">
        <f t="shared" si="0"/>
        <v>12002.573805978969</v>
      </c>
      <c r="G24" s="11">
        <f t="shared" si="8"/>
        <v>1743.8652126693542</v>
      </c>
      <c r="H24" s="11">
        <f t="shared" si="5"/>
        <v>3259.2556267351492</v>
      </c>
      <c r="I24" s="11">
        <f t="shared" si="6"/>
        <v>228.47479860355907</v>
      </c>
      <c r="J24" s="11">
        <f>'dpc-covid-19-ita-andamento-naz'!K15</f>
        <v>366</v>
      </c>
      <c r="K24" s="11">
        <f t="shared" si="4"/>
        <v>133</v>
      </c>
      <c r="L24" s="11">
        <f t="shared" si="1"/>
        <v>522.68837735250986</v>
      </c>
      <c r="M24" s="11">
        <f t="shared" si="9"/>
        <v>118.32081718093474</v>
      </c>
      <c r="N24" s="11">
        <f t="shared" si="2"/>
        <v>257.12342096229543</v>
      </c>
      <c r="O24" s="11">
        <f t="shared" si="3"/>
        <v>0</v>
      </c>
      <c r="P24" s="1"/>
      <c r="Q24" s="2" t="s">
        <v>5</v>
      </c>
      <c r="R24" s="8" cm="1">
        <f t="array" ref="R24">1-SUM((K7:K49-M7:M49)^2)/SUM((K7:K49-Mean_of_yd)^2)</f>
        <v>0.9584606707440636</v>
      </c>
    </row>
    <row r="25" spans="2:18" x14ac:dyDescent="0.3">
      <c r="B25" s="10">
        <v>43899</v>
      </c>
      <c r="C25" s="4">
        <v>19</v>
      </c>
      <c r="D25" s="4">
        <f>'dpc-covid-19-ita-andamento-naz'!L16</f>
        <v>9172</v>
      </c>
      <c r="E25" s="4">
        <f t="shared" si="7"/>
        <v>1797</v>
      </c>
      <c r="F25" s="11">
        <f t="shared" si="0"/>
        <v>13945.696660820327</v>
      </c>
      <c r="G25" s="11">
        <f t="shared" si="8"/>
        <v>1943.1228548413583</v>
      </c>
      <c r="H25" s="11">
        <f t="shared" si="5"/>
        <v>3458.5132689071534</v>
      </c>
      <c r="I25" s="11">
        <f t="shared" si="6"/>
        <v>427.73244077556319</v>
      </c>
      <c r="J25" s="11">
        <f>'dpc-covid-19-ita-andamento-naz'!K16</f>
        <v>463</v>
      </c>
      <c r="K25" s="11">
        <f t="shared" si="4"/>
        <v>97</v>
      </c>
      <c r="L25" s="11">
        <f t="shared" si="1"/>
        <v>666.11258637586207</v>
      </c>
      <c r="M25" s="11">
        <f t="shared" si="9"/>
        <v>143.4242090233522</v>
      </c>
      <c r="N25" s="11">
        <f t="shared" si="2"/>
        <v>282.22681280471295</v>
      </c>
      <c r="O25" s="11">
        <f t="shared" si="3"/>
        <v>4.6216052419914888</v>
      </c>
      <c r="P25" s="1"/>
      <c r="Q25" s="2" t="s">
        <v>6</v>
      </c>
      <c r="R25" s="8">
        <f>TINV(0.05,dfd)</f>
        <v>2.0210753903062737</v>
      </c>
    </row>
    <row r="26" spans="2:18" x14ac:dyDescent="0.3">
      <c r="B26" s="20">
        <v>43900</v>
      </c>
      <c r="C26" s="4">
        <v>20</v>
      </c>
      <c r="D26" s="4">
        <f>'dpc-covid-19-ita-andamento-naz'!L17</f>
        <v>10149</v>
      </c>
      <c r="E26" s="4">
        <f t="shared" si="7"/>
        <v>977</v>
      </c>
      <c r="F26" s="11">
        <f t="shared" si="0"/>
        <v>16096.208205599167</v>
      </c>
      <c r="G26" s="11">
        <f t="shared" si="8"/>
        <v>2150.5115447788394</v>
      </c>
      <c r="H26" s="11">
        <f t="shared" si="5"/>
        <v>3665.9019588446345</v>
      </c>
      <c r="I26" s="11">
        <f t="shared" si="6"/>
        <v>635.12113071304429</v>
      </c>
      <c r="J26" s="11">
        <f>'dpc-covid-19-ita-andamento-naz'!K17</f>
        <v>631</v>
      </c>
      <c r="K26" s="11">
        <f t="shared" si="4"/>
        <v>168</v>
      </c>
      <c r="L26" s="11">
        <f t="shared" si="1"/>
        <v>837.58966799148948</v>
      </c>
      <c r="M26" s="11">
        <f t="shared" si="9"/>
        <v>171.47708161562741</v>
      </c>
      <c r="N26" s="11">
        <f t="shared" si="2"/>
        <v>310.27968539698816</v>
      </c>
      <c r="O26" s="11">
        <f t="shared" si="3"/>
        <v>32.674477834266696</v>
      </c>
      <c r="P26" s="1"/>
      <c r="Q26" s="2" t="s">
        <v>7</v>
      </c>
      <c r="R26" s="1">
        <f>Critical_td*SE_of_yd</f>
        <v>138.80260378136072</v>
      </c>
    </row>
    <row r="27" spans="2:18" x14ac:dyDescent="0.3">
      <c r="B27" s="10">
        <v>43901</v>
      </c>
      <c r="C27" s="4">
        <v>21</v>
      </c>
      <c r="D27" s="4">
        <f>'dpc-covid-19-ita-andamento-naz'!L18</f>
        <v>12462</v>
      </c>
      <c r="E27" s="4">
        <f t="shared" si="7"/>
        <v>2313</v>
      </c>
      <c r="F27" s="11">
        <f t="shared" si="0"/>
        <v>18460.862356246278</v>
      </c>
      <c r="G27" s="11">
        <f t="shared" si="8"/>
        <v>2364.6541506471112</v>
      </c>
      <c r="H27" s="11">
        <f t="shared" si="5"/>
        <v>3880.0445647129063</v>
      </c>
      <c r="I27" s="11">
        <f t="shared" si="6"/>
        <v>849.26373658131615</v>
      </c>
      <c r="J27" s="11">
        <f>'dpc-covid-19-ita-andamento-naz'!K18</f>
        <v>827</v>
      </c>
      <c r="K27" s="11">
        <f t="shared" si="4"/>
        <v>196</v>
      </c>
      <c r="L27" s="11">
        <f t="shared" si="1"/>
        <v>1039.9576237987947</v>
      </c>
      <c r="M27" s="11">
        <f t="shared" si="9"/>
        <v>202.36795580730518</v>
      </c>
      <c r="N27" s="11">
        <f t="shared" si="2"/>
        <v>341.17055958866592</v>
      </c>
      <c r="O27" s="11">
        <f t="shared" si="3"/>
        <v>63.565352025944463</v>
      </c>
      <c r="P27" s="1"/>
      <c r="Q27" s="27" t="s">
        <v>72</v>
      </c>
      <c r="R27" s="28">
        <f>Kd/(EXP(1)*wd)</f>
        <v>878.56161274490648</v>
      </c>
    </row>
    <row r="28" spans="2:18" x14ac:dyDescent="0.3">
      <c r="B28" s="20">
        <v>43902</v>
      </c>
      <c r="C28" s="4">
        <v>22</v>
      </c>
      <c r="D28" s="4">
        <f>'dpc-covid-19-ita-andamento-naz'!L19</f>
        <v>15113</v>
      </c>
      <c r="E28" s="4">
        <f t="shared" si="7"/>
        <v>2651</v>
      </c>
      <c r="F28" s="11">
        <f t="shared" si="0"/>
        <v>21044.920211450557</v>
      </c>
      <c r="G28" s="11">
        <f t="shared" si="8"/>
        <v>2584.0578552042789</v>
      </c>
      <c r="H28" s="11">
        <f t="shared" si="5"/>
        <v>4099.448269270074</v>
      </c>
      <c r="I28" s="11">
        <f t="shared" si="6"/>
        <v>1068.6674411384838</v>
      </c>
      <c r="J28" s="11">
        <f>'dpc-covid-19-ita-andamento-naz'!K19</f>
        <v>1016</v>
      </c>
      <c r="K28" s="11">
        <f t="shared" si="4"/>
        <v>189</v>
      </c>
      <c r="L28" s="11">
        <f t="shared" si="1"/>
        <v>1275.8647284758993</v>
      </c>
      <c r="M28" s="11">
        <f t="shared" si="9"/>
        <v>235.9071046771046</v>
      </c>
      <c r="N28" s="11">
        <f t="shared" si="2"/>
        <v>374.70970845846534</v>
      </c>
      <c r="O28" s="11">
        <f t="shared" si="3"/>
        <v>97.104500895743882</v>
      </c>
      <c r="P28" s="1"/>
      <c r="Q28" s="6"/>
    </row>
    <row r="29" spans="2:18" x14ac:dyDescent="0.3">
      <c r="B29" s="10">
        <v>43903</v>
      </c>
      <c r="C29" s="4">
        <v>23</v>
      </c>
      <c r="D29" s="4">
        <f>'dpc-covid-19-ita-andamento-naz'!L20</f>
        <v>17660</v>
      </c>
      <c r="E29" s="4">
        <f t="shared" si="7"/>
        <v>2547</v>
      </c>
      <c r="F29" s="11">
        <f t="shared" si="0"/>
        <v>23852.06303129271</v>
      </c>
      <c r="G29" s="11">
        <f t="shared" si="8"/>
        <v>2807.1428198421527</v>
      </c>
      <c r="H29" s="11">
        <f t="shared" si="5"/>
        <v>4322.5332339079478</v>
      </c>
      <c r="I29" s="11">
        <f t="shared" si="6"/>
        <v>1291.7524057763576</v>
      </c>
      <c r="J29" s="11">
        <f>'dpc-covid-19-ita-andamento-naz'!K20</f>
        <v>1266</v>
      </c>
      <c r="K29" s="11">
        <f t="shared" si="4"/>
        <v>250</v>
      </c>
      <c r="L29" s="11">
        <f t="shared" si="1"/>
        <v>1547.6953195019391</v>
      </c>
      <c r="M29" s="11">
        <f t="shared" si="9"/>
        <v>271.83059102603988</v>
      </c>
      <c r="N29" s="11">
        <f t="shared" si="2"/>
        <v>410.63319480740063</v>
      </c>
      <c r="O29" s="11">
        <f t="shared" si="3"/>
        <v>133.02798724467917</v>
      </c>
      <c r="P29" s="1"/>
    </row>
    <row r="30" spans="2:18" x14ac:dyDescent="0.3">
      <c r="B30" s="10">
        <v>43904</v>
      </c>
      <c r="C30" s="4">
        <v>24</v>
      </c>
      <c r="D30" s="4">
        <f>'dpc-covid-19-ita-andamento-naz'!L21</f>
        <v>21157</v>
      </c>
      <c r="E30" s="4">
        <f t="shared" si="7"/>
        <v>3497</v>
      </c>
      <c r="F30" s="11">
        <f t="shared" si="0"/>
        <v>26884.334867482892</v>
      </c>
      <c r="G30" s="11">
        <f t="shared" si="8"/>
        <v>3032.2718361901825</v>
      </c>
      <c r="H30" s="11">
        <f t="shared" si="5"/>
        <v>4547.6622502559776</v>
      </c>
      <c r="I30" s="11">
        <f t="shared" si="6"/>
        <v>1516.8814221243874</v>
      </c>
      <c r="J30" s="11">
        <f>'dpc-covid-19-ita-andamento-naz'!K21</f>
        <v>1441</v>
      </c>
      <c r="K30" s="11">
        <f t="shared" si="4"/>
        <v>175</v>
      </c>
      <c r="L30" s="11">
        <f t="shared" si="1"/>
        <v>1857.5027829913747</v>
      </c>
      <c r="M30" s="11">
        <f t="shared" si="9"/>
        <v>309.80746348943558</v>
      </c>
      <c r="N30" s="11">
        <f t="shared" si="2"/>
        <v>448.61006727079632</v>
      </c>
      <c r="O30" s="11">
        <f t="shared" si="3"/>
        <v>171.00485970807486</v>
      </c>
      <c r="P30" s="1"/>
    </row>
    <row r="31" spans="2:18" x14ac:dyDescent="0.3">
      <c r="B31" s="10">
        <v>43905</v>
      </c>
      <c r="C31" s="4">
        <v>25</v>
      </c>
      <c r="D31" s="4">
        <f>'dpc-covid-19-ita-andamento-naz'!L22</f>
        <v>24747</v>
      </c>
      <c r="E31" s="4">
        <f t="shared" si="7"/>
        <v>3590</v>
      </c>
      <c r="F31" s="11">
        <f t="shared" si="0"/>
        <v>30142.114903863108</v>
      </c>
      <c r="G31" s="11">
        <f t="shared" si="8"/>
        <v>3257.7800363802162</v>
      </c>
      <c r="H31" s="11">
        <f t="shared" si="5"/>
        <v>4773.1704504460113</v>
      </c>
      <c r="I31" s="11">
        <f t="shared" si="6"/>
        <v>1742.3896223144211</v>
      </c>
      <c r="J31" s="11">
        <f>'dpc-covid-19-ita-andamento-naz'!K22</f>
        <v>1809</v>
      </c>
      <c r="K31" s="11">
        <f t="shared" si="4"/>
        <v>368</v>
      </c>
      <c r="L31" s="11">
        <f t="shared" si="1"/>
        <v>2206.9523773518281</v>
      </c>
      <c r="M31" s="11">
        <f t="shared" si="9"/>
        <v>349.44959436045337</v>
      </c>
      <c r="N31" s="11">
        <f t="shared" si="2"/>
        <v>488.25219814181412</v>
      </c>
      <c r="O31" s="11">
        <f t="shared" si="3"/>
        <v>210.64699057909266</v>
      </c>
      <c r="P31" s="1"/>
    </row>
    <row r="32" spans="2:18" x14ac:dyDescent="0.3">
      <c r="B32" s="10">
        <v>43906</v>
      </c>
      <c r="C32" s="4">
        <v>26</v>
      </c>
      <c r="D32" s="4">
        <f>'dpc-covid-19-ita-andamento-naz'!L23</f>
        <v>27980</v>
      </c>
      <c r="E32" s="4">
        <f t="shared" si="7"/>
        <v>3233</v>
      </c>
      <c r="F32" s="11">
        <f t="shared" si="0"/>
        <v>33624.118716937701</v>
      </c>
      <c r="G32" s="11">
        <f t="shared" si="8"/>
        <v>3482.0038130745925</v>
      </c>
      <c r="H32" s="11">
        <f t="shared" si="5"/>
        <v>4997.3942271403876</v>
      </c>
      <c r="I32" s="11">
        <f t="shared" si="6"/>
        <v>1966.6133990087974</v>
      </c>
      <c r="J32" s="11">
        <f>'dpc-covid-19-ita-andamento-naz'!K23</f>
        <v>2158</v>
      </c>
      <c r="K32" s="11">
        <f t="shared" si="4"/>
        <v>349</v>
      </c>
      <c r="L32" s="11">
        <f t="shared" si="1"/>
        <v>2597.2758964921786</v>
      </c>
      <c r="M32" s="11">
        <f t="shared" si="9"/>
        <v>390.32351914035053</v>
      </c>
      <c r="N32" s="11">
        <f t="shared" si="2"/>
        <v>529.12612292171127</v>
      </c>
      <c r="O32" s="11">
        <f t="shared" si="3"/>
        <v>251.52091535898981</v>
      </c>
      <c r="P32" s="1"/>
    </row>
    <row r="33" spans="2:21" x14ac:dyDescent="0.3">
      <c r="B33" s="10">
        <v>43907</v>
      </c>
      <c r="C33" s="4">
        <v>27</v>
      </c>
      <c r="D33" s="4">
        <f>'dpc-covid-19-ita-andamento-naz'!L24</f>
        <v>31506</v>
      </c>
      <c r="E33" s="4">
        <f t="shared" si="7"/>
        <v>3526</v>
      </c>
      <c r="F33" s="11">
        <f t="shared" si="0"/>
        <v>37327.426922841078</v>
      </c>
      <c r="G33" s="11">
        <f t="shared" si="8"/>
        <v>3703.3082059033768</v>
      </c>
      <c r="H33" s="11">
        <f t="shared" si="5"/>
        <v>5218.6986199691719</v>
      </c>
      <c r="I33" s="11">
        <f t="shared" si="6"/>
        <v>2187.9177918375817</v>
      </c>
      <c r="J33" s="11">
        <f>'dpc-covid-19-ita-andamento-naz'!K24</f>
        <v>2503</v>
      </c>
      <c r="K33" s="11">
        <f t="shared" si="4"/>
        <v>345</v>
      </c>
      <c r="L33" s="11">
        <f t="shared" si="1"/>
        <v>3029.2394705280822</v>
      </c>
      <c r="M33" s="11">
        <f t="shared" si="9"/>
        <v>431.96357403590355</v>
      </c>
      <c r="N33" s="11">
        <f t="shared" si="2"/>
        <v>570.76617781726429</v>
      </c>
      <c r="O33" s="11">
        <f t="shared" si="3"/>
        <v>293.1609702545428</v>
      </c>
      <c r="P33" s="1"/>
    </row>
    <row r="34" spans="2:21" x14ac:dyDescent="0.3">
      <c r="B34" s="10">
        <v>43908</v>
      </c>
      <c r="C34" s="4">
        <v>28</v>
      </c>
      <c r="D34" s="4">
        <f>'dpc-covid-19-ita-andamento-naz'!L25</f>
        <v>35713</v>
      </c>
      <c r="E34" s="4">
        <f t="shared" si="7"/>
        <v>4207</v>
      </c>
      <c r="F34" s="11">
        <f t="shared" si="0"/>
        <v>41247.539056536858</v>
      </c>
      <c r="G34" s="11">
        <f t="shared" si="8"/>
        <v>3920.1121336957804</v>
      </c>
      <c r="H34" s="11">
        <f t="shared" si="5"/>
        <v>5435.5025477615754</v>
      </c>
      <c r="I34" s="11">
        <f t="shared" si="6"/>
        <v>2404.7217196299853</v>
      </c>
      <c r="J34" s="11">
        <f>'dpc-covid-19-ita-andamento-naz'!K25</f>
        <v>2978</v>
      </c>
      <c r="K34" s="11">
        <f t="shared" si="4"/>
        <v>475</v>
      </c>
      <c r="L34" s="11">
        <f t="shared" si="1"/>
        <v>3503.1250904832427</v>
      </c>
      <c r="M34" s="11">
        <f t="shared" si="9"/>
        <v>473.88561995516056</v>
      </c>
      <c r="N34" s="11">
        <f t="shared" si="2"/>
        <v>612.68822373652131</v>
      </c>
      <c r="O34" s="11">
        <f t="shared" si="3"/>
        <v>335.08301617379982</v>
      </c>
      <c r="U34" s="1"/>
    </row>
    <row r="35" spans="2:21" x14ac:dyDescent="0.3">
      <c r="B35" s="10">
        <v>43909</v>
      </c>
      <c r="C35" s="4">
        <v>29</v>
      </c>
      <c r="D35" s="4">
        <f>'dpc-covid-19-ita-andamento-naz'!L26</f>
        <v>41035</v>
      </c>
      <c r="E35" s="4">
        <f t="shared" si="7"/>
        <v>5322</v>
      </c>
      <c r="F35" s="11">
        <f t="shared" si="0"/>
        <v>45378.450040416203</v>
      </c>
      <c r="G35" s="11">
        <f t="shared" si="8"/>
        <v>4130.9109838793447</v>
      </c>
      <c r="H35" s="11">
        <f t="shared" si="5"/>
        <v>5646.3013979451398</v>
      </c>
      <c r="I35" s="11">
        <f t="shared" si="6"/>
        <v>2615.5205698135496</v>
      </c>
      <c r="J35" s="11">
        <f>'dpc-covid-19-ita-andamento-naz'!K26</f>
        <v>3405</v>
      </c>
      <c r="K35" s="11">
        <f t="shared" si="4"/>
        <v>427</v>
      </c>
      <c r="L35" s="11">
        <f t="shared" si="1"/>
        <v>4018.7257727893757</v>
      </c>
      <c r="M35" s="11">
        <f t="shared" si="9"/>
        <v>515.60068230613297</v>
      </c>
      <c r="N35" s="11">
        <f t="shared" si="2"/>
        <v>654.40328608749371</v>
      </c>
      <c r="O35" s="11">
        <f t="shared" si="3"/>
        <v>376.79807852477222</v>
      </c>
    </row>
    <row r="36" spans="2:21" x14ac:dyDescent="0.3">
      <c r="B36" s="10">
        <v>43910</v>
      </c>
      <c r="C36" s="4">
        <v>30</v>
      </c>
      <c r="D36" s="4">
        <f>'dpc-covid-19-ita-andamento-naz'!L27</f>
        <v>47021</v>
      </c>
      <c r="E36" s="4">
        <f t="shared" si="7"/>
        <v>5986</v>
      </c>
      <c r="F36" s="11">
        <f t="shared" si="0"/>
        <v>49712.746244926391</v>
      </c>
      <c r="G36" s="11">
        <f t="shared" si="8"/>
        <v>4334.2962045101885</v>
      </c>
      <c r="H36" s="11">
        <f t="shared" si="5"/>
        <v>5849.6866185759836</v>
      </c>
      <c r="I36" s="11">
        <f t="shared" si="6"/>
        <v>2818.9057904443935</v>
      </c>
      <c r="J36" s="11">
        <f>'dpc-covid-19-ita-andamento-naz'!K27</f>
        <v>4032</v>
      </c>
      <c r="K36" s="11">
        <f t="shared" si="4"/>
        <v>627</v>
      </c>
      <c r="L36" s="11">
        <f t="shared" si="1"/>
        <v>4575.3536872789373</v>
      </c>
      <c r="M36" s="11">
        <f t="shared" si="9"/>
        <v>556.62791448956159</v>
      </c>
      <c r="N36" s="11">
        <f t="shared" si="2"/>
        <v>695.43051827092233</v>
      </c>
      <c r="O36" s="11">
        <f t="shared" si="3"/>
        <v>417.82531070820085</v>
      </c>
    </row>
    <row r="37" spans="2:21" x14ac:dyDescent="0.3">
      <c r="B37" s="10">
        <v>43911</v>
      </c>
      <c r="C37" s="4">
        <v>31</v>
      </c>
      <c r="D37" s="4">
        <f>'dpc-covid-19-ita-andamento-naz'!L28</f>
        <v>53578</v>
      </c>
      <c r="E37" s="4">
        <f t="shared" si="7"/>
        <v>6557</v>
      </c>
      <c r="F37" s="11">
        <f t="shared" si="0"/>
        <v>54241.717919424285</v>
      </c>
      <c r="G37" s="11">
        <f t="shared" si="8"/>
        <v>4528.9716744978941</v>
      </c>
      <c r="H37" s="11">
        <f t="shared" si="5"/>
        <v>6044.3620885636892</v>
      </c>
      <c r="I37" s="11">
        <f t="shared" si="6"/>
        <v>3013.581260432099</v>
      </c>
      <c r="J37" s="11">
        <f>'dpc-covid-19-ita-andamento-naz'!K28</f>
        <v>4825</v>
      </c>
      <c r="K37" s="11">
        <f t="shared" si="4"/>
        <v>793</v>
      </c>
      <c r="L37" s="11">
        <f t="shared" si="1"/>
        <v>5171.8600848100905</v>
      </c>
      <c r="M37" s="11">
        <f t="shared" si="9"/>
        <v>596.5063975311532</v>
      </c>
      <c r="N37" s="11">
        <f t="shared" si="2"/>
        <v>735.30900131251394</v>
      </c>
      <c r="O37" s="11">
        <f t="shared" si="3"/>
        <v>457.70379374979245</v>
      </c>
    </row>
    <row r="38" spans="2:21" x14ac:dyDescent="0.3">
      <c r="B38" s="10">
        <v>43912</v>
      </c>
      <c r="C38" s="4">
        <v>32</v>
      </c>
      <c r="D38" s="4">
        <f>'dpc-covid-19-ita-andamento-naz'!L29</f>
        <v>59138</v>
      </c>
      <c r="E38" s="4">
        <f t="shared" si="7"/>
        <v>5560</v>
      </c>
      <c r="F38" s="11">
        <f t="shared" si="0"/>
        <v>58955.484668238605</v>
      </c>
      <c r="G38" s="11">
        <f t="shared" si="8"/>
        <v>4713.7667488143197</v>
      </c>
      <c r="H38" s="11">
        <f t="shared" si="5"/>
        <v>6229.1571628801148</v>
      </c>
      <c r="I38" s="11">
        <f t="shared" si="6"/>
        <v>3198.3763347485246</v>
      </c>
      <c r="J38" s="11">
        <f>'dpc-covid-19-ita-andamento-naz'!K29</f>
        <v>5476</v>
      </c>
      <c r="K38" s="11">
        <f t="shared" si="4"/>
        <v>651</v>
      </c>
      <c r="L38" s="11">
        <f t="shared" si="1"/>
        <v>5806.6654918660497</v>
      </c>
      <c r="M38" s="11">
        <f t="shared" si="9"/>
        <v>634.80540705595922</v>
      </c>
      <c r="N38" s="11">
        <f t="shared" si="2"/>
        <v>773.60801083731997</v>
      </c>
      <c r="O38" s="11">
        <f t="shared" si="3"/>
        <v>496.00280327459848</v>
      </c>
    </row>
    <row r="39" spans="2:21" x14ac:dyDescent="0.3">
      <c r="B39" s="20">
        <v>43913</v>
      </c>
      <c r="C39" s="4">
        <v>33</v>
      </c>
      <c r="D39" s="4">
        <f>'dpc-covid-19-ita-andamento-naz'!L30</f>
        <v>63927</v>
      </c>
      <c r="E39" s="4">
        <f t="shared" si="7"/>
        <v>4789</v>
      </c>
      <c r="F39" s="11">
        <f t="shared" ref="F39:F70" si="10">Kn*EXP(-EXP(-($C39-t0n)/wn))</f>
        <v>63843.130652425403</v>
      </c>
      <c r="G39" s="11">
        <f t="shared" si="8"/>
        <v>4887.6459841867982</v>
      </c>
      <c r="H39" s="11">
        <f t="shared" si="5"/>
        <v>6403.0363982525932</v>
      </c>
      <c r="I39" s="11">
        <f t="shared" si="6"/>
        <v>3372.2555701210031</v>
      </c>
      <c r="J39" s="11">
        <f>'dpc-covid-19-ita-andamento-naz'!K30</f>
        <v>6077</v>
      </c>
      <c r="K39" s="11">
        <f t="shared" si="4"/>
        <v>601</v>
      </c>
      <c r="L39" s="11">
        <f t="shared" ref="L39:L70" si="11">Kd*EXP(-EXP(-($C39-t0d)/wd))</f>
        <v>6477.7983930189293</v>
      </c>
      <c r="M39" s="11">
        <f t="shared" si="9"/>
        <v>671.13290115287964</v>
      </c>
      <c r="N39" s="11">
        <f t="shared" si="2"/>
        <v>809.93550493424038</v>
      </c>
      <c r="O39" s="11">
        <f t="shared" si="3"/>
        <v>532.3302973715189</v>
      </c>
    </row>
    <row r="40" spans="2:21" x14ac:dyDescent="0.3">
      <c r="B40" s="10">
        <v>43914</v>
      </c>
      <c r="C40" s="4">
        <v>34</v>
      </c>
      <c r="D40" s="4">
        <f>'dpc-covid-19-ita-andamento-naz'!L31</f>
        <v>69176</v>
      </c>
      <c r="E40" s="4">
        <f t="shared" si="7"/>
        <v>5249</v>
      </c>
      <c r="F40" s="11">
        <f t="shared" si="10"/>
        <v>68892.846296967618</v>
      </c>
      <c r="G40" s="11">
        <f t="shared" si="8"/>
        <v>5049.7156445422152</v>
      </c>
      <c r="H40" s="11">
        <f t="shared" si="5"/>
        <v>6565.1060586080102</v>
      </c>
      <c r="I40" s="11">
        <f t="shared" si="6"/>
        <v>3534.3252304764201</v>
      </c>
      <c r="J40" s="11">
        <f>'dpc-covid-19-ita-andamento-naz'!K31</f>
        <v>6820</v>
      </c>
      <c r="K40" s="11">
        <f t="shared" si="4"/>
        <v>743</v>
      </c>
      <c r="L40" s="11">
        <f t="shared" si="11"/>
        <v>7182.9404928455688</v>
      </c>
      <c r="M40" s="11">
        <f t="shared" si="9"/>
        <v>705.14209982663942</v>
      </c>
      <c r="N40" s="11">
        <f t="shared" si="2"/>
        <v>843.94470360800017</v>
      </c>
      <c r="O40" s="11">
        <f t="shared" si="3"/>
        <v>566.33949604527868</v>
      </c>
    </row>
    <row r="41" spans="2:21" x14ac:dyDescent="0.3">
      <c r="B41" s="10">
        <v>43915</v>
      </c>
      <c r="C41" s="4">
        <v>35</v>
      </c>
      <c r="D41" s="4">
        <f>'dpc-covid-19-ita-andamento-naz'!L32</f>
        <v>74386</v>
      </c>
      <c r="E41" s="4">
        <f t="shared" si="7"/>
        <v>5210</v>
      </c>
      <c r="F41" s="11">
        <f t="shared" si="10"/>
        <v>74092.073459918669</v>
      </c>
      <c r="G41" s="11">
        <f t="shared" si="8"/>
        <v>5199.2271629510506</v>
      </c>
      <c r="H41" s="11">
        <f t="shared" si="5"/>
        <v>6714.6175770168456</v>
      </c>
      <c r="I41" s="11">
        <f t="shared" si="6"/>
        <v>3683.8367488852555</v>
      </c>
      <c r="J41" s="11">
        <f>'dpc-covid-19-ita-andamento-naz'!K32</f>
        <v>7503</v>
      </c>
      <c r="K41" s="11">
        <f t="shared" si="4"/>
        <v>683</v>
      </c>
      <c r="L41" s="11">
        <f t="shared" si="11"/>
        <v>7919.4766249252025</v>
      </c>
      <c r="M41" s="11">
        <f t="shared" si="9"/>
        <v>736.53613207963372</v>
      </c>
      <c r="N41" s="11">
        <f t="shared" si="2"/>
        <v>875.33873586099446</v>
      </c>
      <c r="O41" s="11">
        <f t="shared" si="3"/>
        <v>597.73352829827297</v>
      </c>
    </row>
    <row r="42" spans="2:21" x14ac:dyDescent="0.3">
      <c r="B42" s="10">
        <v>43916</v>
      </c>
      <c r="C42" s="4">
        <v>36</v>
      </c>
      <c r="D42" s="4">
        <f>'dpc-covid-19-ita-andamento-naz'!L33</f>
        <v>80539</v>
      </c>
      <c r="E42" s="4">
        <f t="shared" si="7"/>
        <v>6153</v>
      </c>
      <c r="F42" s="11">
        <f t="shared" si="10"/>
        <v>79427.651257566729</v>
      </c>
      <c r="G42" s="11">
        <f t="shared" si="8"/>
        <v>5335.5777976480604</v>
      </c>
      <c r="H42" s="11">
        <f t="shared" si="5"/>
        <v>6850.9682117138555</v>
      </c>
      <c r="I42" s="11">
        <f t="shared" si="6"/>
        <v>3820.1873835822653</v>
      </c>
      <c r="J42" s="11">
        <f>'dpc-covid-19-ita-andamento-naz'!K33</f>
        <v>8165</v>
      </c>
      <c r="K42" s="11">
        <f t="shared" si="4"/>
        <v>662</v>
      </c>
      <c r="L42" s="11">
        <f t="shared" si="11"/>
        <v>8684.5474407488055</v>
      </c>
      <c r="M42" s="11">
        <f t="shared" si="9"/>
        <v>765.07081582360297</v>
      </c>
      <c r="N42" s="11">
        <f t="shared" si="2"/>
        <v>903.87341960496371</v>
      </c>
      <c r="O42" s="11">
        <f t="shared" si="3"/>
        <v>626.26821204224223</v>
      </c>
    </row>
    <row r="43" spans="2:21" x14ac:dyDescent="0.3">
      <c r="B43" s="10">
        <v>43917</v>
      </c>
      <c r="C43" s="4">
        <v>37</v>
      </c>
      <c r="D43" s="4">
        <f>'dpc-covid-19-ita-andamento-naz'!L34</f>
        <v>86498</v>
      </c>
      <c r="E43" s="4">
        <f t="shared" si="7"/>
        <v>5959</v>
      </c>
      <c r="F43" s="11">
        <f t="shared" si="10"/>
        <v>84885.960021854131</v>
      </c>
      <c r="G43" s="11">
        <f t="shared" si="8"/>
        <v>5458.3087642874016</v>
      </c>
      <c r="H43" s="11">
        <f t="shared" si="5"/>
        <v>6973.6991783531967</v>
      </c>
      <c r="I43" s="11">
        <f t="shared" si="6"/>
        <v>3942.9183502216065</v>
      </c>
      <c r="J43" s="11">
        <f>'dpc-covid-19-ita-andamento-naz'!K34</f>
        <v>9134</v>
      </c>
      <c r="K43" s="11">
        <f t="shared" si="4"/>
        <v>969</v>
      </c>
      <c r="L43" s="11">
        <f t="shared" si="11"/>
        <v>9475.1031472229788</v>
      </c>
      <c r="M43" s="11">
        <f t="shared" si="9"/>
        <v>790.55570647417335</v>
      </c>
      <c r="N43" s="11">
        <f t="shared" si="2"/>
        <v>929.35831025553409</v>
      </c>
      <c r="O43" s="11">
        <f t="shared" si="3"/>
        <v>651.7531026928126</v>
      </c>
    </row>
    <row r="44" spans="2:21" x14ac:dyDescent="0.3">
      <c r="B44" s="10">
        <v>43918</v>
      </c>
      <c r="C44" s="4">
        <v>38</v>
      </c>
      <c r="D44" s="4">
        <f>'dpc-covid-19-ita-andamento-naz'!L35</f>
        <v>92472</v>
      </c>
      <c r="E44" s="4">
        <f t="shared" si="7"/>
        <v>5974</v>
      </c>
      <c r="F44" s="11">
        <f t="shared" si="10"/>
        <v>90453.061177801734</v>
      </c>
      <c r="G44" s="11">
        <f t="shared" si="8"/>
        <v>5567.1011559476028</v>
      </c>
      <c r="H44" s="11">
        <f t="shared" si="5"/>
        <v>7082.4915700133979</v>
      </c>
      <c r="I44" s="11">
        <f t="shared" si="6"/>
        <v>4051.7107418818077</v>
      </c>
      <c r="J44" s="11">
        <f>'dpc-covid-19-ita-andamento-naz'!K35</f>
        <v>10023</v>
      </c>
      <c r="K44" s="11">
        <f t="shared" si="4"/>
        <v>889</v>
      </c>
      <c r="L44" s="11">
        <f t="shared" si="11"/>
        <v>10287.956748895747</v>
      </c>
      <c r="M44" s="11">
        <f t="shared" si="9"/>
        <v>812.85360167276849</v>
      </c>
      <c r="N44" s="11">
        <f t="shared" si="2"/>
        <v>951.65620545412924</v>
      </c>
      <c r="O44" s="11">
        <f t="shared" si="3"/>
        <v>674.05099789140775</v>
      </c>
    </row>
    <row r="45" spans="2:21" x14ac:dyDescent="0.3">
      <c r="B45" s="10">
        <v>43919</v>
      </c>
      <c r="C45" s="4">
        <v>39</v>
      </c>
      <c r="D45" s="4">
        <f>'dpc-covid-19-ita-andamento-naz'!L36</f>
        <v>97689</v>
      </c>
      <c r="E45" s="4">
        <f t="shared" si="7"/>
        <v>5217</v>
      </c>
      <c r="F45" s="11">
        <f t="shared" si="10"/>
        <v>96114.83115580678</v>
      </c>
      <c r="G45" s="11">
        <f t="shared" si="8"/>
        <v>5661.7699780050461</v>
      </c>
      <c r="H45" s="11">
        <f>G45+CIn</f>
        <v>7177.1603920708412</v>
      </c>
      <c r="I45" s="11">
        <f>MAX(G45-CIn,0)</f>
        <v>4146.3795639392511</v>
      </c>
      <c r="J45" s="11">
        <f>'dpc-covid-19-ita-andamento-naz'!K36</f>
        <v>10779</v>
      </c>
      <c r="K45" s="11">
        <f t="shared" si="4"/>
        <v>756</v>
      </c>
      <c r="L45" s="11">
        <f t="shared" si="11"/>
        <v>11119.835471833747</v>
      </c>
      <c r="M45" s="11">
        <f t="shared" si="9"/>
        <v>831.87872293799956</v>
      </c>
      <c r="N45" s="11">
        <f t="shared" si="2"/>
        <v>970.6813267193603</v>
      </c>
      <c r="O45" s="11">
        <f t="shared" si="3"/>
        <v>693.07611915663881</v>
      </c>
    </row>
    <row r="46" spans="2:21" x14ac:dyDescent="0.3">
      <c r="B46" s="10">
        <v>43920</v>
      </c>
      <c r="C46" s="4">
        <v>40</v>
      </c>
      <c r="D46" s="4">
        <f>'dpc-covid-19-ita-andamento-naz'!L37</f>
        <v>101739</v>
      </c>
      <c r="E46" s="4">
        <f t="shared" si="7"/>
        <v>4050</v>
      </c>
      <c r="F46" s="11">
        <f t="shared" si="10"/>
        <v>101857.08778440033</v>
      </c>
      <c r="G46" s="11">
        <f t="shared" si="8"/>
        <v>5742.2566285935463</v>
      </c>
      <c r="H46" s="11">
        <f>G46+CIn</f>
        <v>7257.6470426593414</v>
      </c>
      <c r="I46" s="11">
        <f>MAX(G46-CIn,0)</f>
        <v>4226.8662145277513</v>
      </c>
      <c r="J46" s="11">
        <f>'dpc-covid-19-ita-andamento-naz'!K37</f>
        <v>11591</v>
      </c>
      <c r="K46" s="11">
        <f t="shared" si="4"/>
        <v>812</v>
      </c>
      <c r="L46" s="11">
        <f t="shared" si="11"/>
        <v>11967.429283823143</v>
      </c>
      <c r="M46" s="11">
        <f t="shared" si="9"/>
        <v>847.59381198939627</v>
      </c>
      <c r="N46" s="11">
        <f t="shared" si="2"/>
        <v>986.39641577075702</v>
      </c>
      <c r="O46" s="11">
        <f t="shared" si="3"/>
        <v>708.79120820803553</v>
      </c>
    </row>
    <row r="47" spans="2:21" x14ac:dyDescent="0.3">
      <c r="B47" s="10">
        <v>43921</v>
      </c>
      <c r="C47" s="4">
        <v>41</v>
      </c>
      <c r="D47" s="4">
        <f>'dpc-covid-19-ita-andamento-naz'!L38</f>
        <v>105792</v>
      </c>
      <c r="E47" s="4">
        <f t="shared" si="7"/>
        <v>4053</v>
      </c>
      <c r="F47" s="11">
        <f t="shared" si="10"/>
        <v>107665.70793326267</v>
      </c>
      <c r="G47" s="11">
        <f t="shared" si="8"/>
        <v>5808.6201488623483</v>
      </c>
      <c r="H47" s="11">
        <f>G47+CIn</f>
        <v>7324.0105629281434</v>
      </c>
      <c r="I47" s="11">
        <f>MAX(G47-CIn,0)</f>
        <v>4293.2297347965532</v>
      </c>
      <c r="J47" s="11">
        <f>'dpc-covid-19-ita-andamento-naz'!K38</f>
        <v>12428</v>
      </c>
      <c r="K47" s="11">
        <f t="shared" si="4"/>
        <v>837</v>
      </c>
      <c r="L47" s="11">
        <f t="shared" si="11"/>
        <v>12827.435666269559</v>
      </c>
      <c r="M47" s="11">
        <f t="shared" si="9"/>
        <v>860.00638244641596</v>
      </c>
      <c r="N47" s="11">
        <f t="shared" ref="N47:N48" si="12">M47+CId</f>
        <v>998.8089862277767</v>
      </c>
      <c r="O47" s="11">
        <f t="shared" ref="O47:O48" si="13">MAX(M47-CId,0)</f>
        <v>721.20377866505521</v>
      </c>
    </row>
    <row r="48" spans="2:21" x14ac:dyDescent="0.3">
      <c r="B48" s="10">
        <v>43922</v>
      </c>
      <c r="C48" s="4">
        <v>42</v>
      </c>
      <c r="D48" s="4">
        <f>'dpc-covid-19-ita-andamento-naz'!L39</f>
        <v>110574</v>
      </c>
      <c r="E48" s="4">
        <f t="shared" si="7"/>
        <v>4782</v>
      </c>
      <c r="F48" s="11">
        <f t="shared" si="10"/>
        <v>113526.73548583608</v>
      </c>
      <c r="G48" s="11">
        <f t="shared" si="8"/>
        <v>5861.0275525734032</v>
      </c>
      <c r="H48" s="11">
        <f>G48+CIn</f>
        <v>7376.4179666391983</v>
      </c>
      <c r="I48" s="11">
        <f>MAX(G48-CIn,0)</f>
        <v>4345.6371385076081</v>
      </c>
      <c r="J48" s="11">
        <f>'dpc-covid-19-ita-andamento-naz'!K39</f>
        <v>13155</v>
      </c>
      <c r="K48" s="11">
        <f t="shared" si="4"/>
        <v>727</v>
      </c>
      <c r="L48" s="11">
        <f t="shared" si="11"/>
        <v>13696.600025587612</v>
      </c>
      <c r="M48" s="11">
        <f t="shared" si="9"/>
        <v>869.16435931805245</v>
      </c>
      <c r="N48" s="11">
        <f t="shared" ref="N48:N49" si="14">M48+CId</f>
        <v>1007.9669630994132</v>
      </c>
      <c r="O48" s="11">
        <f t="shared" ref="O48:O49" si="15">MAX(M48-CId,0)</f>
        <v>730.3617555366917</v>
      </c>
    </row>
    <row r="49" spans="2:15" x14ac:dyDescent="0.3">
      <c r="B49" s="10">
        <v>43923</v>
      </c>
      <c r="C49" s="4">
        <v>43</v>
      </c>
      <c r="D49" s="4">
        <f>'dpc-covid-19-ita-andamento-naz'!L40</f>
        <v>115242</v>
      </c>
      <c r="E49" s="4">
        <f t="shared" si="7"/>
        <v>4668</v>
      </c>
      <c r="F49" s="11">
        <f t="shared" si="10"/>
        <v>119426.47900945508</v>
      </c>
      <c r="G49" s="11">
        <f t="shared" si="8"/>
        <v>5899.7435236190067</v>
      </c>
      <c r="H49" s="11">
        <f>G49+CIn</f>
        <v>7415.1339376848018</v>
      </c>
      <c r="I49" s="11">
        <f>MAX(G49-CIn,0)</f>
        <v>4384.3531095532117</v>
      </c>
      <c r="J49" s="11">
        <f>'dpc-covid-19-ita-andamento-naz'!K40</f>
        <v>13915</v>
      </c>
      <c r="K49" s="11">
        <f t="shared" si="4"/>
        <v>760</v>
      </c>
      <c r="L49" s="11">
        <f t="shared" si="11"/>
        <v>14571.751347522582</v>
      </c>
      <c r="M49" s="11">
        <f t="shared" si="9"/>
        <v>875.15132193497084</v>
      </c>
      <c r="N49" s="11">
        <f t="shared" si="14"/>
        <v>1013.9539257163316</v>
      </c>
      <c r="O49" s="11">
        <f t="shared" si="15"/>
        <v>736.34871815361009</v>
      </c>
    </row>
    <row r="50" spans="2:15" x14ac:dyDescent="0.3">
      <c r="B50" s="10">
        <v>43924</v>
      </c>
      <c r="C50" s="4">
        <v>44</v>
      </c>
      <c r="E50" s="4"/>
      <c r="F50" s="11">
        <f t="shared" si="10"/>
        <v>125351.59875399823</v>
      </c>
      <c r="G50" s="11">
        <f t="shared" si="8"/>
        <v>5925.1197445431462</v>
      </c>
      <c r="K50" s="11"/>
      <c r="L50" s="11">
        <f t="shared" si="11"/>
        <v>15449.832890877064</v>
      </c>
      <c r="M50" s="11">
        <f t="shared" si="9"/>
        <v>878.08154335448125</v>
      </c>
    </row>
    <row r="51" spans="2:15" x14ac:dyDescent="0.3">
      <c r="B51" s="10">
        <v>43925</v>
      </c>
      <c r="C51" s="4">
        <v>45</v>
      </c>
      <c r="E51" s="4"/>
      <c r="F51" s="11">
        <f t="shared" si="10"/>
        <v>131289.1828447055</v>
      </c>
      <c r="G51" s="11">
        <f t="shared" si="8"/>
        <v>5937.5840907072707</v>
      </c>
      <c r="K51" s="11"/>
      <c r="L51" s="11">
        <f t="shared" si="11"/>
        <v>16327.927884003147</v>
      </c>
      <c r="M51" s="11">
        <f t="shared" si="9"/>
        <v>878.09499312608386</v>
      </c>
    </row>
    <row r="52" spans="2:15" x14ac:dyDescent="0.3">
      <c r="B52" s="10">
        <v>43926</v>
      </c>
      <c r="C52" s="4">
        <v>46</v>
      </c>
      <c r="E52" s="4"/>
      <c r="F52" s="11">
        <f t="shared" si="10"/>
        <v>137226.81273943203</v>
      </c>
      <c r="G52" s="11">
        <f t="shared" si="8"/>
        <v>5937.6298947265313</v>
      </c>
      <c r="K52" s="11"/>
      <c r="L52" s="11">
        <f t="shared" si="11"/>
        <v>17203.28032662272</v>
      </c>
      <c r="M52" s="11">
        <f t="shared" si="9"/>
        <v>875.35244261957268</v>
      </c>
    </row>
    <row r="53" spans="2:15" x14ac:dyDescent="0.3">
      <c r="B53" s="10">
        <v>43927</v>
      </c>
      <c r="C53" s="4">
        <v>47</v>
      </c>
      <c r="E53" s="4"/>
      <c r="F53" s="11">
        <f t="shared" si="10"/>
        <v>143152.61819482726</v>
      </c>
      <c r="G53" s="11">
        <f t="shared" si="8"/>
        <v>5925.8054553952243</v>
      </c>
      <c r="K53" s="11"/>
      <c r="L53" s="11">
        <f t="shared" si="11"/>
        <v>18073.311111107687</v>
      </c>
      <c r="M53" s="11">
        <f t="shared" si="9"/>
        <v>870.03078448496672</v>
      </c>
    </row>
    <row r="54" spans="2:15" x14ac:dyDescent="0.3">
      <c r="B54" s="10">
        <v>43928</v>
      </c>
      <c r="C54" s="4">
        <v>48</v>
      </c>
      <c r="E54" s="4"/>
      <c r="F54" s="11">
        <f t="shared" si="10"/>
        <v>149055.32213029952</v>
      </c>
      <c r="G54" s="11">
        <f t="shared" si="8"/>
        <v>5902.7039354722656</v>
      </c>
      <c r="K54" s="11"/>
      <c r="L54" s="11">
        <f t="shared" si="11"/>
        <v>18935.629762553257</v>
      </c>
      <c r="M54" s="11">
        <f t="shared" si="9"/>
        <v>862.31865144557014</v>
      </c>
    </row>
    <row r="55" spans="2:15" x14ac:dyDescent="0.3">
      <c r="B55" s="10">
        <v>43929</v>
      </c>
      <c r="C55" s="4">
        <v>49</v>
      </c>
      <c r="E55" s="4"/>
      <c r="F55" s="11">
        <f t="shared" si="10"/>
        <v>154924.27589446466</v>
      </c>
      <c r="G55" s="11">
        <f t="shared" si="8"/>
        <v>5868.9537641651405</v>
      </c>
      <c r="K55" s="11"/>
      <c r="L55" s="11">
        <f t="shared" si="11"/>
        <v>19788.042157937405</v>
      </c>
      <c r="M55" s="11">
        <f t="shared" si="9"/>
        <v>852.41239538414811</v>
      </c>
    </row>
    <row r="56" spans="2:15" x14ac:dyDescent="0.3">
      <c r="B56" s="10">
        <v>43930</v>
      </c>
      <c r="C56" s="4">
        <v>50</v>
      </c>
      <c r="E56" s="4"/>
      <c r="F56" s="11">
        <f t="shared" si="10"/>
        <v>160749.48552795741</v>
      </c>
      <c r="G56" s="11">
        <f t="shared" si="8"/>
        <v>5825.2096334927483</v>
      </c>
      <c r="K56" s="11"/>
      <c r="L56" s="11">
        <f t="shared" si="11"/>
        <v>20628.55462405473</v>
      </c>
      <c r="M56" s="11">
        <f t="shared" si="9"/>
        <v>840.51246611732495</v>
      </c>
    </row>
    <row r="57" spans="2:15" x14ac:dyDescent="0.3">
      <c r="B57" s="10">
        <v>43931</v>
      </c>
      <c r="C57" s="4">
        <v>51</v>
      </c>
      <c r="E57" s="4"/>
      <c r="F57" s="11">
        <f t="shared" si="10"/>
        <v>166521.6296812784</v>
      </c>
      <c r="G57" s="11">
        <f t="shared" si="8"/>
        <v>5772.1441533209872</v>
      </c>
      <c r="K57" s="11"/>
      <c r="L57" s="11">
        <f t="shared" si="11"/>
        <v>21455.374834712038</v>
      </c>
      <c r="M57" s="11">
        <f t="shared" si="9"/>
        <v>826.82021065730805</v>
      </c>
    </row>
    <row r="58" spans="2:15" x14ac:dyDescent="0.3">
      <c r="B58" s="10">
        <v>43932</v>
      </c>
      <c r="C58" s="4">
        <v>52</v>
      </c>
      <c r="E58" s="4"/>
      <c r="F58" s="11">
        <f t="shared" si="10"/>
        <v>172232.06988926855</v>
      </c>
      <c r="G58" s="11">
        <f t="shared" si="8"/>
        <v>5710.4402079901483</v>
      </c>
      <c r="K58" s="11"/>
      <c r="L58" s="11">
        <f t="shared" si="11"/>
        <v>22266.90993292673</v>
      </c>
      <c r="M58" s="11">
        <f t="shared" si="9"/>
        <v>811.53509821469197</v>
      </c>
    </row>
    <row r="59" spans="2:15" x14ac:dyDescent="0.3">
      <c r="B59" s="10">
        <v>43933</v>
      </c>
      <c r="C59" s="4">
        <v>53</v>
      </c>
      <c r="E59" s="4"/>
      <c r="F59" s="11">
        <f t="shared" si="10"/>
        <v>177872.85392748151</v>
      </c>
      <c r="G59" s="11">
        <f t="shared" si="8"/>
        <v>5640.7840382129652</v>
      </c>
      <c r="K59" s="11"/>
      <c r="L59" s="11">
        <f t="shared" si="11"/>
        <v>23061.762296555196</v>
      </c>
      <c r="M59" s="11">
        <f t="shared" si="9"/>
        <v>794.85236362846626</v>
      </c>
    </row>
    <row r="60" spans="2:15" x14ac:dyDescent="0.3">
      <c r="B60" s="10">
        <v>43934</v>
      </c>
      <c r="C60" s="4">
        <v>54</v>
      </c>
      <c r="E60" s="4"/>
      <c r="F60" s="11">
        <f t="shared" si="10"/>
        <v>183436.71298281394</v>
      </c>
      <c r="G60" s="11">
        <f t="shared" si="8"/>
        <v>5563.859055332432</v>
      </c>
      <c r="K60" s="11"/>
      <c r="L60" s="11">
        <f t="shared" si="11"/>
        <v>23838.723348685329</v>
      </c>
      <c r="M60" s="11">
        <f t="shared" si="9"/>
        <v>776.96105213013288</v>
      </c>
    </row>
    <row r="61" spans="2:15" x14ac:dyDescent="0.3">
      <c r="B61" s="10">
        <v>43935</v>
      </c>
      <c r="C61" s="4">
        <v>55</v>
      </c>
      <c r="E61" s="4"/>
      <c r="F61" s="11">
        <f t="shared" si="10"/>
        <v>188917.0533638426</v>
      </c>
      <c r="G61" s="11">
        <f t="shared" si="8"/>
        <v>5480.3403810286545</v>
      </c>
      <c r="K61" s="11"/>
      <c r="L61" s="11">
        <f t="shared" si="11"/>
        <v>24596.765789782228</v>
      </c>
      <c r="M61" s="11">
        <f t="shared" si="9"/>
        <v>758.04244109689898</v>
      </c>
    </row>
    <row r="62" spans="2:15" x14ac:dyDescent="0.3">
      <c r="B62" s="10">
        <v>43936</v>
      </c>
      <c r="C62" s="4">
        <v>56</v>
      </c>
      <c r="E62" s="4"/>
      <c r="F62" s="11">
        <f t="shared" si="10"/>
        <v>194307.94345786213</v>
      </c>
      <c r="G62" s="11">
        <f t="shared" si="8"/>
        <v>5390.8900940195308</v>
      </c>
      <c r="K62" s="11"/>
      <c r="L62" s="11">
        <f t="shared" si="11"/>
        <v>25335.034599201997</v>
      </c>
      <c r="M62" s="11">
        <f t="shared" si="9"/>
        <v>738.26880941976924</v>
      </c>
    </row>
    <row r="63" spans="2:15" x14ac:dyDescent="0.3">
      <c r="B63" s="10">
        <v>43937</v>
      </c>
      <c r="C63" s="4">
        <v>57</v>
      </c>
      <c r="E63" s="4"/>
      <c r="F63" s="11">
        <f t="shared" si="10"/>
        <v>199604.09661391814</v>
      </c>
      <c r="G63" s="11">
        <f t="shared" si="8"/>
        <v>5296.1531560560106</v>
      </c>
      <c r="K63" s="11"/>
      <c r="L63" s="11">
        <f t="shared" si="11"/>
        <v>26052.837121185636</v>
      </c>
      <c r="M63" s="11">
        <f t="shared" si="9"/>
        <v>717.80252198363814</v>
      </c>
    </row>
    <row r="64" spans="2:15" x14ac:dyDescent="0.3">
      <c r="B64" s="10">
        <v>43938</v>
      </c>
      <c r="C64" s="4">
        <v>58</v>
      </c>
      <c r="E64" s="4"/>
      <c r="F64" s="11">
        <f t="shared" si="10"/>
        <v>204800.850596273</v>
      </c>
      <c r="G64" s="11">
        <f t="shared" si="8"/>
        <v>5196.7539823548577</v>
      </c>
      <c r="K64" s="11"/>
      <c r="L64" s="11">
        <f t="shared" si="11"/>
        <v>26749.632516396679</v>
      </c>
      <c r="M64" s="11">
        <f t="shared" si="9"/>
        <v>696.7953952110438</v>
      </c>
    </row>
    <row r="65" spans="2:13" x14ac:dyDescent="0.3">
      <c r="B65" s="10">
        <v>43939</v>
      </c>
      <c r="C65" s="4">
        <v>59</v>
      </c>
      <c r="E65" s="4"/>
      <c r="F65" s="11">
        <f t="shared" si="10"/>
        <v>209894.14421260459</v>
      </c>
      <c r="G65" s="11">
        <f t="shared" si="8"/>
        <v>5093.2936163315899</v>
      </c>
      <c r="K65" s="11"/>
      <c r="L65" s="11">
        <f t="shared" si="11"/>
        <v>27425.02082575002</v>
      </c>
      <c r="M65" s="11">
        <f t="shared" si="9"/>
        <v>675.38830935334045</v>
      </c>
    </row>
    <row r="66" spans="2:13" x14ac:dyDescent="0.3">
      <c r="B66" s="10">
        <v>43940</v>
      </c>
      <c r="C66" s="4">
        <v>60</v>
      </c>
      <c r="E66" s="4"/>
      <c r="F66" s="11">
        <f t="shared" si="10"/>
        <v>214880.49167747775</v>
      </c>
      <c r="G66" s="11">
        <f t="shared" si="8"/>
        <v>4986.3474648731644</v>
      </c>
      <c r="K66" s="11"/>
      <c r="L66" s="11">
        <f t="shared" si="11"/>
        <v>28078.731859696742</v>
      </c>
      <c r="M66" s="11">
        <f t="shared" si="9"/>
        <v>653.71103394672173</v>
      </c>
    </row>
    <row r="67" spans="2:13" x14ac:dyDescent="0.3">
      <c r="B67" s="10">
        <v>43941</v>
      </c>
      <c r="C67" s="4">
        <v>61</v>
      </c>
      <c r="E67" s="4"/>
      <c r="F67" s="11">
        <f t="shared" si="10"/>
        <v>219756.95522566969</v>
      </c>
      <c r="G67" s="11">
        <f t="shared" si="8"/>
        <v>4876.4635481919395</v>
      </c>
      <c r="K67" s="11"/>
      <c r="L67" s="11">
        <f t="shared" si="11"/>
        <v>28710.614094033594</v>
      </c>
      <c r="M67" s="11">
        <f t="shared" si="9"/>
        <v>631.88223433685198</v>
      </c>
    </row>
    <row r="68" spans="2:13" x14ac:dyDescent="0.3">
      <c r="B68" s="10">
        <v>43942</v>
      </c>
      <c r="C68" s="4">
        <v>62</v>
      </c>
      <c r="E68" s="4"/>
      <c r="F68" s="11">
        <f t="shared" si="10"/>
        <v>224521.11644299634</v>
      </c>
      <c r="G68" s="11">
        <f t="shared" si="8"/>
        <v>4764.1612173266476</v>
      </c>
      <c r="K68" s="11"/>
      <c r="L68" s="11">
        <f t="shared" si="11"/>
        <v>29320.623723233082</v>
      </c>
      <c r="M68" s="11">
        <f t="shared" si="9"/>
        <v>610.0096291994887</v>
      </c>
    </row>
    <row r="69" spans="2:13" x14ac:dyDescent="0.3">
      <c r="B69" s="10">
        <v>43943</v>
      </c>
      <c r="C69" s="4">
        <v>63</v>
      </c>
      <c r="E69" s="4"/>
      <c r="F69" s="11">
        <f t="shared" si="10"/>
        <v>229171.04673539073</v>
      </c>
      <c r="G69" s="11">
        <f t="shared" si="8"/>
        <v>4649.9302923943906</v>
      </c>
      <c r="K69" s="11"/>
      <c r="L69" s="11">
        <f t="shared" si="11"/>
        <v>29908.813994598037</v>
      </c>
      <c r="M69" s="11">
        <f t="shared" si="9"/>
        <v>588.19027136495424</v>
      </c>
    </row>
    <row r="70" spans="2:13" x14ac:dyDescent="0.3">
      <c r="B70" s="10">
        <v>43944</v>
      </c>
      <c r="C70" s="4">
        <v>64</v>
      </c>
      <c r="E70" s="4"/>
      <c r="F70" s="11">
        <f t="shared" si="10"/>
        <v>233705.27731095362</v>
      </c>
      <c r="G70" s="11">
        <f t="shared" si="8"/>
        <v>4534.2305755628913</v>
      </c>
      <c r="K70" s="11"/>
      <c r="L70" s="11">
        <f t="shared" si="11"/>
        <v>30475.324921437517</v>
      </c>
      <c r="M70" s="11">
        <f t="shared" si="9"/>
        <v>566.51092683948082</v>
      </c>
    </row>
    <row r="71" spans="2:13" x14ac:dyDescent="0.3">
      <c r="B71" s="10">
        <v>43945</v>
      </c>
      <c r="C71" s="4">
        <v>65</v>
      </c>
      <c r="E71" s="4"/>
      <c r="F71" s="11">
        <f t="shared" ref="F71:F102" si="16">Kn*EXP(-EXP(-($C71-t0n)/wn))</f>
        <v>238122.76900519198</v>
      </c>
      <c r="G71" s="11">
        <f t="shared" si="8"/>
        <v>4417.491694238357</v>
      </c>
    </row>
    <row r="72" spans="2:13" x14ac:dyDescent="0.3">
      <c r="B72" s="10">
        <v>43946</v>
      </c>
      <c r="C72" s="4">
        <v>66</v>
      </c>
      <c r="E72" s="4"/>
      <c r="F72" s="11">
        <f t="shared" si="16"/>
        <v>242422.88223718744</v>
      </c>
      <c r="G72" s="11">
        <f t="shared" si="8"/>
        <v>4300.1132319954631</v>
      </c>
    </row>
    <row r="73" spans="2:13" x14ac:dyDescent="0.3">
      <c r="B73" s="10">
        <v>43947</v>
      </c>
      <c r="C73" s="4">
        <v>67</v>
      </c>
      <c r="E73" s="4"/>
      <c r="F73" s="11">
        <f t="shared" si="16"/>
        <v>246605.34734437277</v>
      </c>
      <c r="G73" s="11">
        <f t="shared" si="8"/>
        <v>4182.4651071853295</v>
      </c>
    </row>
    <row r="74" spans="2:13" x14ac:dyDescent="0.3">
      <c r="B74" s="10">
        <v>43948</v>
      </c>
      <c r="C74" s="4">
        <v>68</v>
      </c>
      <c r="E74" s="4"/>
      <c r="F74" s="11">
        <f t="shared" si="16"/>
        <v>250670.23550619112</v>
      </c>
      <c r="G74" s="11">
        <f t="shared" si="8"/>
        <v>4064.8881618183514</v>
      </c>
    </row>
    <row r="75" spans="2:13" x14ac:dyDescent="0.3">
      <c r="B75" s="10">
        <v>43949</v>
      </c>
      <c r="C75" s="4">
        <v>69</v>
      </c>
      <c r="E75" s="4"/>
      <c r="F75" s="11">
        <f t="shared" si="16"/>
        <v>254617.93043233897</v>
      </c>
      <c r="G75" s="11">
        <f t="shared" si="8"/>
        <v>3947.6949261478439</v>
      </c>
    </row>
    <row r="76" spans="2:13" x14ac:dyDescent="0.3">
      <c r="B76" s="10">
        <v>43950</v>
      </c>
      <c r="C76" s="4">
        <v>70</v>
      </c>
      <c r="E76" s="4"/>
      <c r="F76" s="11">
        <f t="shared" si="16"/>
        <v>258449.10095962195</v>
      </c>
      <c r="G76" s="11">
        <f t="shared" si="8"/>
        <v>3831.1705272829859</v>
      </c>
    </row>
    <row r="77" spans="2:13" x14ac:dyDescent="0.3">
      <c r="B77" s="10">
        <v>43951</v>
      </c>
      <c r="C77" s="4">
        <v>71</v>
      </c>
      <c r="E77" s="4"/>
      <c r="F77" s="11">
        <f t="shared" si="16"/>
        <v>262164.67467269191</v>
      </c>
      <c r="G77" s="11">
        <f t="shared" ref="G77:G130" si="17">F77-F76</f>
        <v>3715.5737130699563</v>
      </c>
    </row>
    <row r="78" spans="2:13" x14ac:dyDescent="0.3">
      <c r="B78" s="10">
        <v>43952</v>
      </c>
      <c r="C78" s="4">
        <v>72</v>
      </c>
      <c r="E78" s="4"/>
      <c r="F78" s="11">
        <f t="shared" si="16"/>
        <v>265765.81263804669</v>
      </c>
      <c r="G78" s="11">
        <f t="shared" si="17"/>
        <v>3601.1379653547774</v>
      </c>
    </row>
    <row r="79" spans="2:13" x14ac:dyDescent="0.3">
      <c r="B79" s="10">
        <v>43953</v>
      </c>
      <c r="C79" s="4">
        <v>73</v>
      </c>
      <c r="E79" s="4"/>
      <c r="F79" s="11">
        <f t="shared" si="16"/>
        <v>269253.88531756232</v>
      </c>
      <c r="G79" s="11">
        <f t="shared" si="17"/>
        <v>3488.072679515637</v>
      </c>
    </row>
    <row r="80" spans="2:13" x14ac:dyDescent="0.3">
      <c r="B80" s="10">
        <v>43954</v>
      </c>
      <c r="C80" s="4">
        <v>74</v>
      </c>
      <c r="E80" s="4"/>
      <c r="F80" s="11">
        <f t="shared" si="16"/>
        <v>272630.44970738242</v>
      </c>
      <c r="G80" s="11">
        <f t="shared" si="17"/>
        <v>3376.5643898200942</v>
      </c>
    </row>
    <row r="81" spans="2:7" x14ac:dyDescent="0.3">
      <c r="B81" s="10">
        <v>43955</v>
      </c>
      <c r="C81" s="4">
        <v>75</v>
      </c>
      <c r="E81" s="4"/>
      <c r="F81" s="11">
        <f t="shared" si="16"/>
        <v>275897.22773005394</v>
      </c>
      <c r="G81" s="11">
        <f t="shared" si="17"/>
        <v>3266.7780226715258</v>
      </c>
    </row>
    <row r="82" spans="2:7" x14ac:dyDescent="0.3">
      <c r="B82" s="10">
        <v>43956</v>
      </c>
      <c r="C82" s="4">
        <v>76</v>
      </c>
      <c r="E82" s="4"/>
      <c r="F82" s="11">
        <f t="shared" si="16"/>
        <v>279056.08589222626</v>
      </c>
      <c r="G82" s="11">
        <f t="shared" si="17"/>
        <v>3158.8581621723133</v>
      </c>
    </row>
    <row r="83" spans="2:7" x14ac:dyDescent="0.3">
      <c r="B83" s="10">
        <v>43957</v>
      </c>
      <c r="C83" s="4">
        <v>77</v>
      </c>
      <c r="E83" s="4"/>
      <c r="F83" s="11">
        <f t="shared" si="16"/>
        <v>282109.01620683534</v>
      </c>
      <c r="G83" s="11">
        <f t="shared" si="17"/>
        <v>3052.9303146090824</v>
      </c>
    </row>
    <row r="84" spans="2:7" x14ac:dyDescent="0.3">
      <c r="B84" s="10">
        <v>43958</v>
      </c>
      <c r="C84" s="4">
        <v>78</v>
      </c>
      <c r="E84" s="4"/>
      <c r="F84" s="11">
        <f t="shared" si="16"/>
        <v>285058.11836731475</v>
      </c>
      <c r="G84" s="11">
        <f t="shared" si="17"/>
        <v>2949.1021604794078</v>
      </c>
    </row>
    <row r="85" spans="2:7" x14ac:dyDescent="0.3">
      <c r="B85" s="10">
        <v>43959</v>
      </c>
      <c r="C85" s="4">
        <v>79</v>
      </c>
      <c r="E85" s="4"/>
      <c r="F85" s="11">
        <f t="shared" si="16"/>
        <v>287905.58315182151</v>
      </c>
      <c r="G85" s="11">
        <f t="shared" si="17"/>
        <v>2847.4647845067666</v>
      </c>
    </row>
    <row r="86" spans="2:7" x14ac:dyDescent="0.3">
      <c r="B86" s="10">
        <v>43960</v>
      </c>
      <c r="C86" s="4">
        <v>80</v>
      </c>
      <c r="E86" s="4"/>
      <c r="F86" s="11">
        <f t="shared" si="16"/>
        <v>290653.67702757701</v>
      </c>
      <c r="G86" s="11">
        <f t="shared" si="17"/>
        <v>2748.0938757554977</v>
      </c>
    </row>
    <row r="87" spans="2:7" x14ac:dyDescent="0.3">
      <c r="B87" s="10">
        <v>43961</v>
      </c>
      <c r="C87" s="4">
        <v>81</v>
      </c>
      <c r="E87" s="4"/>
      <c r="F87" s="11">
        <f t="shared" si="16"/>
        <v>293304.72791901685</v>
      </c>
      <c r="G87" s="11">
        <f t="shared" si="17"/>
        <v>2651.0508914398379</v>
      </c>
    </row>
    <row r="88" spans="2:7" x14ac:dyDescent="0.3">
      <c r="B88" s="10">
        <v>43962</v>
      </c>
      <c r="C88" s="4">
        <v>82</v>
      </c>
      <c r="E88" s="4"/>
      <c r="F88" s="11">
        <f t="shared" si="16"/>
        <v>295861.11209837551</v>
      </c>
      <c r="G88" s="11">
        <f t="shared" si="17"/>
        <v>2556.3841793586616</v>
      </c>
    </row>
    <row r="89" spans="2:7" x14ac:dyDescent="0.3">
      <c r="B89" s="10">
        <v>43963</v>
      </c>
      <c r="C89" s="4">
        <v>83</v>
      </c>
      <c r="E89" s="4"/>
      <c r="F89" s="11">
        <f t="shared" si="16"/>
        <v>298325.24215343269</v>
      </c>
      <c r="G89" s="11">
        <f t="shared" si="17"/>
        <v>2464.1300550571759</v>
      </c>
    </row>
    <row r="90" spans="2:7" x14ac:dyDescent="0.3">
      <c r="B90" s="10">
        <v>43964</v>
      </c>
      <c r="C90" s="4">
        <v>84</v>
      </c>
      <c r="E90" s="4"/>
      <c r="F90" s="11">
        <f t="shared" si="16"/>
        <v>300699.5559842888</v>
      </c>
      <c r="G90" s="11">
        <f t="shared" si="17"/>
        <v>2374.3138308561174</v>
      </c>
    </row>
    <row r="91" spans="2:7" x14ac:dyDescent="0.3">
      <c r="B91" s="10">
        <v>43965</v>
      </c>
      <c r="C91" s="4">
        <v>85</v>
      </c>
      <c r="E91" s="4"/>
      <c r="F91" s="11">
        <f t="shared" si="16"/>
        <v>302986.5067790756</v>
      </c>
      <c r="G91" s="11">
        <f t="shared" si="17"/>
        <v>2286.9507947867969</v>
      </c>
    </row>
    <row r="92" spans="2:7" x14ac:dyDescent="0.3">
      <c r="B92" s="10">
        <v>43966</v>
      </c>
      <c r="C92" s="4">
        <v>86</v>
      </c>
      <c r="E92" s="4"/>
      <c r="F92" s="11">
        <f t="shared" si="16"/>
        <v>305188.55391732912</v>
      </c>
      <c r="G92" s="11">
        <f t="shared" si="17"/>
        <v>2202.0471382535179</v>
      </c>
    </row>
    <row r="93" spans="2:7" x14ac:dyDescent="0.3">
      <c r="B93" s="10">
        <v>43967</v>
      </c>
      <c r="C93" s="4">
        <v>87</v>
      </c>
      <c r="E93" s="4"/>
      <c r="F93" s="11">
        <f t="shared" si="16"/>
        <v>307308.15474923939</v>
      </c>
      <c r="G93" s="11">
        <f t="shared" si="17"/>
        <v>2119.6008319102693</v>
      </c>
    </row>
    <row r="94" spans="2:7" x14ac:dyDescent="0.3">
      <c r="B94" s="10">
        <v>43968</v>
      </c>
      <c r="C94" s="4">
        <v>88</v>
      </c>
      <c r="E94" s="4"/>
      <c r="F94" s="11">
        <f t="shared" si="16"/>
        <v>309347.75719904603</v>
      </c>
      <c r="G94" s="11">
        <f t="shared" si="17"/>
        <v>2039.6024498066399</v>
      </c>
    </row>
    <row r="95" spans="2:7" x14ac:dyDescent="0.3">
      <c r="B95" s="10">
        <v>43969</v>
      </c>
      <c r="C95" s="4">
        <v>89</v>
      </c>
      <c r="E95" s="4"/>
      <c r="F95" s="11">
        <f t="shared" si="16"/>
        <v>311309.79314138013</v>
      </c>
      <c r="G95" s="11">
        <f t="shared" si="17"/>
        <v>1962.0359423340997</v>
      </c>
    </row>
    <row r="96" spans="2:7" x14ac:dyDescent="0.3">
      <c r="B96" s="10">
        <v>43970</v>
      </c>
      <c r="C96" s="4">
        <v>90</v>
      </c>
      <c r="E96" s="4"/>
      <c r="F96" s="11">
        <f t="shared" si="16"/>
        <v>313196.67250027769</v>
      </c>
      <c r="G96" s="11">
        <f t="shared" si="17"/>
        <v>1886.8793588975677</v>
      </c>
    </row>
    <row r="97" spans="2:7" x14ac:dyDescent="0.3">
      <c r="B97" s="10">
        <v>43971</v>
      </c>
      <c r="C97" s="4">
        <v>91</v>
      </c>
      <c r="E97" s="4"/>
      <c r="F97" s="11">
        <f t="shared" si="16"/>
        <v>315010.77802183549</v>
      </c>
      <c r="G97" s="11">
        <f t="shared" si="17"/>
        <v>1814.1055215577944</v>
      </c>
    </row>
    <row r="98" spans="2:7" x14ac:dyDescent="0.3">
      <c r="B98" s="10">
        <v>43972</v>
      </c>
      <c r="C98" s="4">
        <v>92</v>
      </c>
      <c r="E98" s="4"/>
      <c r="F98" s="11">
        <f t="shared" si="16"/>
        <v>316754.46067298477</v>
      </c>
      <c r="G98" s="11">
        <f t="shared" si="17"/>
        <v>1743.6826511492836</v>
      </c>
    </row>
    <row r="99" spans="2:7" x14ac:dyDescent="0.3">
      <c r="B99" s="10">
        <v>43973</v>
      </c>
      <c r="C99" s="4">
        <v>93</v>
      </c>
      <c r="E99" s="4"/>
      <c r="F99" s="11">
        <f t="shared" si="16"/>
        <v>318430.03562056017</v>
      </c>
      <c r="G99" s="11">
        <f t="shared" si="17"/>
        <v>1675.5749475753983</v>
      </c>
    </row>
    <row r="100" spans="2:7" x14ac:dyDescent="0.3">
      <c r="B100" s="10">
        <v>43974</v>
      </c>
      <c r="C100" s="4">
        <v>94</v>
      </c>
      <c r="E100" s="4"/>
      <c r="F100" s="11">
        <f t="shared" si="16"/>
        <v>320039.77874669776</v>
      </c>
      <c r="G100" s="11">
        <f t="shared" si="17"/>
        <v>1609.7431261375896</v>
      </c>
    </row>
    <row r="101" spans="2:7" x14ac:dyDescent="0.3">
      <c r="B101" s="10">
        <v>43975</v>
      </c>
      <c r="C101" s="4">
        <v>95</v>
      </c>
      <c r="E101" s="4"/>
      <c r="F101" s="11">
        <f t="shared" si="16"/>
        <v>321585.92365855968</v>
      </c>
      <c r="G101" s="11">
        <f t="shared" si="17"/>
        <v>1546.1449118619203</v>
      </c>
    </row>
    <row r="102" spans="2:7" x14ac:dyDescent="0.3">
      <c r="B102" s="10">
        <v>43976</v>
      </c>
      <c r="C102" s="4">
        <v>96</v>
      </c>
      <c r="E102" s="4"/>
      <c r="F102" s="11">
        <f t="shared" si="16"/>
        <v>323070.6591524168</v>
      </c>
      <c r="G102" s="11">
        <f t="shared" si="17"/>
        <v>1484.7354938571225</v>
      </c>
    </row>
    <row r="103" spans="2:7" x14ac:dyDescent="0.3">
      <c r="B103" s="10">
        <v>43977</v>
      </c>
      <c r="C103" s="4">
        <v>97</v>
      </c>
      <c r="E103" s="4"/>
      <c r="F103" s="11">
        <f t="shared" ref="F103:F130" si="18">Kn*EXP(-EXP(-($C103-t0n)/wn))</f>
        <v>324496.12709419668</v>
      </c>
      <c r="G103" s="11">
        <f t="shared" si="17"/>
        <v>1425.4679417798761</v>
      </c>
    </row>
    <row r="104" spans="2:7" x14ac:dyDescent="0.3">
      <c r="B104" s="10">
        <v>43978</v>
      </c>
      <c r="C104" s="4">
        <v>98</v>
      </c>
      <c r="E104" s="4"/>
      <c r="F104" s="11">
        <f t="shared" si="18"/>
        <v>325864.42068069469</v>
      </c>
      <c r="G104" s="11">
        <f t="shared" si="17"/>
        <v>1368.29358649801</v>
      </c>
    </row>
    <row r="105" spans="2:7" x14ac:dyDescent="0.3">
      <c r="B105" s="10">
        <v>43979</v>
      </c>
      <c r="C105" s="4">
        <v>99</v>
      </c>
      <c r="E105" s="4"/>
      <c r="F105" s="11">
        <f t="shared" si="18"/>
        <v>327177.58304772311</v>
      </c>
      <c r="G105" s="11">
        <f t="shared" si="17"/>
        <v>1313.1623670284171</v>
      </c>
    </row>
    <row r="106" spans="2:7" x14ac:dyDescent="0.3">
      <c r="B106" s="10">
        <v>43980</v>
      </c>
      <c r="C106" s="4">
        <v>100</v>
      </c>
      <c r="E106" s="4"/>
      <c r="F106" s="11">
        <f t="shared" si="18"/>
        <v>328437.60619353014</v>
      </c>
      <c r="G106" s="11">
        <f t="shared" si="17"/>
        <v>1260.0231458070339</v>
      </c>
    </row>
    <row r="107" spans="2:7" x14ac:dyDescent="0.3">
      <c r="B107" s="10">
        <v>43981</v>
      </c>
      <c r="C107" s="4">
        <v>101</v>
      </c>
      <c r="E107" s="4"/>
      <c r="F107" s="11">
        <f t="shared" si="18"/>
        <v>329646.43018782919</v>
      </c>
      <c r="G107" s="11">
        <f t="shared" si="17"/>
        <v>1208.8239942990476</v>
      </c>
    </row>
    <row r="108" spans="2:7" x14ac:dyDescent="0.3">
      <c r="B108" s="10">
        <v>43982</v>
      </c>
      <c r="C108" s="4">
        <v>102</v>
      </c>
      <c r="E108" s="4"/>
      <c r="F108" s="11">
        <f t="shared" si="18"/>
        <v>330805.94263873651</v>
      </c>
      <c r="G108" s="11">
        <f t="shared" si="17"/>
        <v>1159.5124509073212</v>
      </c>
    </row>
    <row r="109" spans="2:7" x14ac:dyDescent="0.3">
      <c r="B109" s="10">
        <v>43983</v>
      </c>
      <c r="C109" s="4">
        <v>103</v>
      </c>
      <c r="E109" s="4"/>
      <c r="F109" s="11">
        <f t="shared" si="18"/>
        <v>331917.97839180892</v>
      </c>
      <c r="G109" s="11">
        <f t="shared" si="17"/>
        <v>1112.0357530724141</v>
      </c>
    </row>
    <row r="110" spans="2:7" x14ac:dyDescent="0.3">
      <c r="B110" s="10">
        <v>43984</v>
      </c>
      <c r="C110" s="4">
        <v>104</v>
      </c>
      <c r="E110" s="4"/>
      <c r="F110" s="11">
        <f t="shared" si="18"/>
        <v>332984.31943719479</v>
      </c>
      <c r="G110" s="11">
        <f t="shared" si="17"/>
        <v>1066.3410453858669</v>
      </c>
    </row>
    <row r="111" spans="2:7" x14ac:dyDescent="0.3">
      <c r="B111" s="10">
        <v>43985</v>
      </c>
      <c r="C111" s="4">
        <v>105</v>
      </c>
      <c r="E111" s="4"/>
      <c r="F111" s="11">
        <f t="shared" si="18"/>
        <v>334006.69500265719</v>
      </c>
      <c r="G111" s="11">
        <f t="shared" si="17"/>
        <v>1022.3755654623965</v>
      </c>
    </row>
    <row r="112" spans="2:7" x14ac:dyDescent="0.3">
      <c r="B112" s="10">
        <v>43986</v>
      </c>
      <c r="C112" s="4">
        <v>106</v>
      </c>
      <c r="E112" s="4"/>
      <c r="F112" s="11">
        <f t="shared" si="18"/>
        <v>334986.78181189491</v>
      </c>
      <c r="G112" s="11">
        <f t="shared" si="17"/>
        <v>980.08680923772044</v>
      </c>
    </row>
    <row r="113" spans="2:7" x14ac:dyDescent="0.3">
      <c r="B113" s="10">
        <v>43987</v>
      </c>
      <c r="C113" s="4">
        <v>107</v>
      </c>
      <c r="E113" s="4"/>
      <c r="F113" s="11">
        <f t="shared" si="18"/>
        <v>335926.20448916865</v>
      </c>
      <c r="G113" s="11">
        <f t="shared" si="17"/>
        <v>939.42267727374565</v>
      </c>
    </row>
    <row r="114" spans="2:7" x14ac:dyDescent="0.3">
      <c r="B114" s="10">
        <v>43988</v>
      </c>
      <c r="C114" s="4">
        <v>108</v>
      </c>
      <c r="E114" s="4"/>
      <c r="F114" s="11">
        <f t="shared" si="18"/>
        <v>336826.5360927424</v>
      </c>
      <c r="G114" s="11">
        <f t="shared" si="17"/>
        <v>900.33160357375164</v>
      </c>
    </row>
    <row r="115" spans="2:7" x14ac:dyDescent="0.3">
      <c r="B115" s="10">
        <v>43989</v>
      </c>
      <c r="C115" s="4">
        <v>109</v>
      </c>
      <c r="E115" s="4"/>
      <c r="F115" s="11">
        <f t="shared" si="18"/>
        <v>337689.29876106442</v>
      </c>
      <c r="G115" s="11">
        <f t="shared" si="17"/>
        <v>862.76266832201509</v>
      </c>
    </row>
    <row r="116" spans="2:7" x14ac:dyDescent="0.3">
      <c r="B116" s="10">
        <v>43990</v>
      </c>
      <c r="C116" s="4">
        <v>110</v>
      </c>
      <c r="E116" s="4"/>
      <c r="F116" s="11">
        <f t="shared" si="18"/>
        <v>338515.96445694816</v>
      </c>
      <c r="G116" s="11">
        <f t="shared" si="17"/>
        <v>826.66569588374114</v>
      </c>
    </row>
    <row r="117" spans="2:7" x14ac:dyDescent="0.3">
      <c r="B117" s="10">
        <v>43991</v>
      </c>
      <c r="C117" s="4">
        <v>111</v>
      </c>
      <c r="E117" s="4"/>
      <c r="F117" s="11">
        <f t="shared" si="18"/>
        <v>339307.9557962658</v>
      </c>
      <c r="G117" s="11">
        <f t="shared" si="17"/>
        <v>791.99133931763936</v>
      </c>
    </row>
    <row r="118" spans="2:7" x14ac:dyDescent="0.3">
      <c r="B118" s="10">
        <v>43992</v>
      </c>
      <c r="C118" s="4">
        <v>112</v>
      </c>
      <c r="E118" s="4"/>
      <c r="F118" s="11">
        <f t="shared" si="18"/>
        <v>340066.64694884088</v>
      </c>
      <c r="G118" s="11">
        <f t="shared" si="17"/>
        <v>758.69115257507656</v>
      </c>
    </row>
    <row r="119" spans="2:7" x14ac:dyDescent="0.3">
      <c r="B119" s="10">
        <v>43993</v>
      </c>
      <c r="C119" s="4">
        <v>113</v>
      </c>
      <c r="E119" s="4"/>
      <c r="F119" s="11">
        <f t="shared" si="18"/>
        <v>340793.3646003239</v>
      </c>
      <c r="G119" s="11">
        <f t="shared" si="17"/>
        <v>726.71765148302075</v>
      </c>
    </row>
    <row r="120" spans="2:7" x14ac:dyDescent="0.3">
      <c r="B120" s="10">
        <v>43994</v>
      </c>
      <c r="C120" s="4">
        <v>114</v>
      </c>
      <c r="E120" s="4"/>
      <c r="F120" s="11">
        <f t="shared" si="18"/>
        <v>341489.38896485692</v>
      </c>
      <c r="G120" s="11">
        <f t="shared" si="17"/>
        <v>696.02436453301925</v>
      </c>
    </row>
    <row r="121" spans="2:7" x14ac:dyDescent="0.3">
      <c r="B121" s="10">
        <v>43995</v>
      </c>
      <c r="C121" s="4">
        <v>115</v>
      </c>
      <c r="E121" s="4"/>
      <c r="F121" s="11">
        <f t="shared" si="18"/>
        <v>342155.95483928581</v>
      </c>
      <c r="G121" s="11">
        <f t="shared" si="17"/>
        <v>666.56587442889577</v>
      </c>
    </row>
    <row r="122" spans="2:7" x14ac:dyDescent="0.3">
      <c r="B122" s="10">
        <v>43996</v>
      </c>
      <c r="C122" s="4">
        <v>116</v>
      </c>
      <c r="E122" s="4"/>
      <c r="F122" s="11">
        <f t="shared" si="18"/>
        <v>342794.25269056193</v>
      </c>
      <c r="G122" s="11">
        <f t="shared" si="17"/>
        <v>638.29785127611831</v>
      </c>
    </row>
    <row r="123" spans="2:7" x14ac:dyDescent="0.3">
      <c r="B123" s="10">
        <v>43997</v>
      </c>
      <c r="C123" s="4">
        <v>117</v>
      </c>
      <c r="E123" s="4"/>
      <c r="F123" s="11">
        <f t="shared" si="18"/>
        <v>343405.4297687948</v>
      </c>
      <c r="G123" s="11">
        <f t="shared" si="17"/>
        <v>611.17707823286764</v>
      </c>
    </row>
    <row r="124" spans="2:7" x14ac:dyDescent="0.3">
      <c r="B124" s="10">
        <v>43998</v>
      </c>
      <c r="C124" s="4">
        <v>118</v>
      </c>
      <c r="E124" s="4"/>
      <c r="F124" s="11">
        <f t="shared" si="18"/>
        <v>343990.5912391732</v>
      </c>
      <c r="G124" s="11">
        <f t="shared" si="17"/>
        <v>585.16147037839983</v>
      </c>
    </row>
    <row r="125" spans="2:7" x14ac:dyDescent="0.3">
      <c r="B125" s="10">
        <v>43999</v>
      </c>
      <c r="C125" s="4">
        <v>119</v>
      </c>
      <c r="E125" s="4"/>
      <c r="F125" s="11">
        <f t="shared" si="18"/>
        <v>344550.80132667418</v>
      </c>
      <c r="G125" s="11">
        <f t="shared" si="17"/>
        <v>560.21008750097826</v>
      </c>
    </row>
    <row r="126" spans="2:7" x14ac:dyDescent="0.3">
      <c r="B126" s="10">
        <v>44000</v>
      </c>
      <c r="C126" s="4">
        <v>120</v>
      </c>
      <c r="E126" s="4"/>
      <c r="F126" s="11">
        <f t="shared" si="18"/>
        <v>345087.08446812106</v>
      </c>
      <c r="G126" s="11">
        <f t="shared" si="17"/>
        <v>536.28314144688193</v>
      </c>
    </row>
    <row r="127" spans="2:7" x14ac:dyDescent="0.3">
      <c r="B127" s="10">
        <v>44001</v>
      </c>
      <c r="C127" s="4">
        <v>121</v>
      </c>
      <c r="E127" s="4"/>
      <c r="F127" s="11">
        <f t="shared" si="18"/>
        <v>345600.42646674742</v>
      </c>
      <c r="G127" s="11">
        <f t="shared" si="17"/>
        <v>513.3419986263616</v>
      </c>
    </row>
    <row r="128" spans="2:7" x14ac:dyDescent="0.3">
      <c r="B128" s="10">
        <v>44002</v>
      </c>
      <c r="C128" s="4">
        <v>122</v>
      </c>
      <c r="E128" s="4"/>
      <c r="F128" s="11">
        <f t="shared" si="18"/>
        <v>346091.77564496623</v>
      </c>
      <c r="G128" s="11">
        <f t="shared" si="17"/>
        <v>491.34917821880663</v>
      </c>
    </row>
    <row r="129" spans="2:7" x14ac:dyDescent="0.3">
      <c r="B129" s="10">
        <v>44003</v>
      </c>
      <c r="C129" s="4">
        <v>123</v>
      </c>
      <c r="E129" s="4"/>
      <c r="F129" s="11">
        <f t="shared" si="18"/>
        <v>346562.04399154341</v>
      </c>
      <c r="G129" s="11">
        <f t="shared" si="17"/>
        <v>470.26834657718427</v>
      </c>
    </row>
    <row r="130" spans="2:7" x14ac:dyDescent="0.3">
      <c r="B130" s="10">
        <v>44004</v>
      </c>
      <c r="C130" s="4">
        <v>124</v>
      </c>
      <c r="E130" s="4"/>
      <c r="F130" s="11">
        <f t="shared" si="18"/>
        <v>347012.10829983337</v>
      </c>
      <c r="G130" s="11">
        <f t="shared" si="17"/>
        <v>450.06430828996236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48</vt:i4>
      </vt:variant>
    </vt:vector>
  </HeadingPairs>
  <TitlesOfParts>
    <vt:vector size="51" baseType="lpstr">
      <vt:lpstr>dpc-covid-19-ita-andamento-naz</vt:lpstr>
      <vt:lpstr>Cumul_ confirmed - Gompertz fit</vt:lpstr>
      <vt:lpstr>New_ confirmed - Gompertz fit</vt:lpstr>
      <vt:lpstr>CI</vt:lpstr>
      <vt:lpstr>CId</vt:lpstr>
      <vt:lpstr>CIh</vt:lpstr>
      <vt:lpstr>CIn</vt:lpstr>
      <vt:lpstr>Critical_t</vt:lpstr>
      <vt:lpstr>Critical_td</vt:lpstr>
      <vt:lpstr>Critical_th</vt:lpstr>
      <vt:lpstr>Critical_tn</vt:lpstr>
      <vt:lpstr>D_End</vt:lpstr>
      <vt:lpstr>D_Start</vt:lpstr>
      <vt:lpstr>df</vt:lpstr>
      <vt:lpstr>dfd</vt:lpstr>
      <vt:lpstr>dfh</vt:lpstr>
      <vt:lpstr>dfn</vt:lpstr>
      <vt:lpstr>E_End</vt:lpstr>
      <vt:lpstr>E_Start</vt:lpstr>
      <vt:lpstr>H_End</vt:lpstr>
      <vt:lpstr>H_Start</vt:lpstr>
      <vt:lpstr>I_End</vt:lpstr>
      <vt:lpstr>I_Start</vt:lpstr>
      <vt:lpstr>K</vt:lpstr>
      <vt:lpstr>K_end</vt:lpstr>
      <vt:lpstr>K_start</vt:lpstr>
      <vt:lpstr>Kd</vt:lpstr>
      <vt:lpstr>Kh</vt:lpstr>
      <vt:lpstr>Kn</vt:lpstr>
      <vt:lpstr>M_end</vt:lpstr>
      <vt:lpstr>M_start</vt:lpstr>
      <vt:lpstr>Mean_of_y</vt:lpstr>
      <vt:lpstr>Mean_of_yd</vt:lpstr>
      <vt:lpstr>Mean_of_yh</vt:lpstr>
      <vt:lpstr>Mean_of_yn</vt:lpstr>
      <vt:lpstr>RSQ</vt:lpstr>
      <vt:lpstr>RSQd</vt:lpstr>
      <vt:lpstr>RSQh</vt:lpstr>
      <vt:lpstr>RSQn</vt:lpstr>
      <vt:lpstr>SE_of_y</vt:lpstr>
      <vt:lpstr>SE_of_yd</vt:lpstr>
      <vt:lpstr>SE_of_yh</vt:lpstr>
      <vt:lpstr>SE_of_yn</vt:lpstr>
      <vt:lpstr>t0</vt:lpstr>
      <vt:lpstr>t0d</vt:lpstr>
      <vt:lpstr>t0h</vt:lpstr>
      <vt:lpstr>t0n</vt:lpstr>
      <vt:lpstr>w</vt:lpstr>
      <vt:lpstr>wd</vt:lpstr>
      <vt:lpstr>wh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2020-04-02T21:21:24Z</dcterms:modified>
</cp:coreProperties>
</file>