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239511AF-CD4D-4FFB-A984-B7BCCD67B70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pc-covid19-ita-andamento-naz" sheetId="18" r:id="rId1"/>
    <sheet name="Cumul_confirmed - Power law fit" sheetId="12" r:id="rId2"/>
    <sheet name="New_confirmed - Power law fit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Power law fit'!$N$15</definedName>
    <definedName name="CId">'New_confirmed - Power law fit'!$R$27</definedName>
    <definedName name="CIh">'Cumul_confirmed - Power law fit'!$N$26</definedName>
    <definedName name="CIn">'New_confirmed - Power law fit'!$R$15</definedName>
    <definedName name="Critical_t">'Cumul_confirmed - Power law fit'!$N$14</definedName>
    <definedName name="Critical_td">'New_confirmed - Power law fit'!$R$26</definedName>
    <definedName name="Critical_th">'Cumul_confirmed - Power law fit'!$N$25</definedName>
    <definedName name="Critical_tn">'New_confirmed - Power law fit'!$R$14</definedName>
    <definedName name="DatiEsterni_1" localSheetId="0" hidden="1">'dpc-covid19-ita-andamento-naz'!$A$1:$O$40</definedName>
    <definedName name="DatiEsterni_2" localSheetId="0" hidden="1">'dpc-covid19-ita-andamento-naz'!#REF!</definedName>
    <definedName name="df">'Cumul_confirmed - Power law fit'!$N$11</definedName>
    <definedName name="dfd">'New_confirmed - Power law fit'!$R$23</definedName>
    <definedName name="dfh">'Cumul_confirmed - Power law fit'!$N$22</definedName>
    <definedName name="dfn">'New_confirmed - Power law fit'!$R$11</definedName>
    <definedName name="dpc_covid19_ita_andamento_nazionale_1" localSheetId="1" hidden="1">'Cumul_confirmed - Power law fit'!#REF!</definedName>
    <definedName name="K">'Cumul_confirmed - Power law fit'!$N$7</definedName>
    <definedName name="K_end">'New_confirmed - Power law fit'!$Q$48</definedName>
    <definedName name="K_start">'New_confirmed - Power law fit'!$Q$7</definedName>
    <definedName name="Kd">'New_confirmed - Power law fit'!$R$19</definedName>
    <definedName name="Kh">'Cumul_confirmed - Power law fit'!$N$18</definedName>
    <definedName name="Kn">'New_confirmed - Power law fit'!$R$7</definedName>
    <definedName name="M_end">'New_confirmed - Power law fit'!$S$47</definedName>
    <definedName name="M_start">'New_confirmed - Power law fit'!$S$7</definedName>
    <definedName name="Mean_of_y">'Cumul_confirmed - Power law fit'!$N$10</definedName>
    <definedName name="Mean_of_yd">'New_confirmed - Power law fit'!$R$22</definedName>
    <definedName name="Mean_of_yh">'Cumul_confirmed - Power law fit'!$N$21</definedName>
    <definedName name="Mean_of_yn">'New_confirmed - Power law fit'!$R$10</definedName>
    <definedName name="RSQ">'Cumul_confirmed - Power law fit'!$N$13</definedName>
    <definedName name="RSQd">'New_confirmed - Power law fit'!$R$25</definedName>
    <definedName name="RSQh">'Cumul_confirmed - Power law fit'!$N$24</definedName>
    <definedName name="RSQn">'New_confirmed - Power law fit'!$R$13</definedName>
    <definedName name="SE_of_y">'Cumul_confirmed - Power law fit'!$N$12</definedName>
    <definedName name="SE_of_yd">'New_confirmed - Power law fit'!$R$24</definedName>
    <definedName name="SE_of_yh">'Cumul_confirmed - Power law fit'!$N$23</definedName>
    <definedName name="SE_of_yn">'New_confirmed - Power law fit'!$R$12</definedName>
    <definedName name="solver_adj" localSheetId="1" hidden="1">'Cumul_confirmed - Power law fit'!$N$19,'Cumul_confirmed - Power law fit'!$N$20</definedName>
    <definedName name="solver_adj" localSheetId="2" hidden="1">'New_confirmed - Power law fit'!$R$8,'New_confirmed - Power law fit'!$R$9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Power law fit'!$N$8</definedName>
    <definedName name="solver_lhs1" localSheetId="2" hidden="1">'New_confirmed - Power law fit'!$R$8</definedName>
    <definedName name="solver_lhs2" localSheetId="1" hidden="1">'Cumul_confirmed - Power law fit'!$N$8</definedName>
    <definedName name="solver_lhs2" localSheetId="2" hidden="1">'New_confirmed - Power law fit'!$R$8</definedName>
    <definedName name="solver_lhs3" localSheetId="1" hidden="1">'Cumul_confirmed - Power law fit'!$N$9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Power law fit'!$N$24</definedName>
    <definedName name="solver_opt" localSheetId="2" hidden="1">'New_confirmed - Power law fit'!$R$13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Power law fit'!$N$8</definedName>
    <definedName name="t0d">'New_confirmed - Power law fit'!$R$20</definedName>
    <definedName name="t0h">'Cumul_confirmed - Power law fit'!$N$19</definedName>
    <definedName name="t0n">'New_confirmed - Power law fit'!$R$8</definedName>
    <definedName name="w">'Cumul_confirmed - Power law fit'!$N$9</definedName>
    <definedName name="wd">'New_confirmed - Power law fit'!$R$21</definedName>
    <definedName name="wh">'Cumul_confirmed - Power law fit'!$N$20</definedName>
    <definedName name="wn">'New_confirmed - Power law fit'!$R$9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3" i="19" l="1"/>
  <c r="R22" i="19"/>
  <c r="R11" i="19"/>
  <c r="R10" i="19"/>
  <c r="K47" i="19"/>
  <c r="K48" i="19"/>
  <c r="K49" i="19"/>
  <c r="J47" i="19"/>
  <c r="J48" i="19"/>
  <c r="J49" i="19"/>
  <c r="E48" i="19"/>
  <c r="E49" i="19"/>
  <c r="D47" i="19"/>
  <c r="D48" i="19"/>
  <c r="D49" i="19"/>
  <c r="N22" i="12" l="1"/>
  <c r="N21" i="12"/>
  <c r="N11" i="12"/>
  <c r="N10" i="12"/>
  <c r="H47" i="12"/>
  <c r="H48" i="12"/>
  <c r="H49" i="12"/>
  <c r="D47" i="12"/>
  <c r="D48" i="12"/>
  <c r="D49" i="12"/>
  <c r="M70" i="19" l="1"/>
  <c r="L70" i="19"/>
  <c r="G70" i="19"/>
  <c r="F70" i="19"/>
  <c r="M69" i="19"/>
  <c r="L69" i="19"/>
  <c r="G69" i="19"/>
  <c r="F69" i="19"/>
  <c r="M68" i="19"/>
  <c r="L68" i="19"/>
  <c r="G68" i="19"/>
  <c r="F68" i="19"/>
  <c r="M67" i="19"/>
  <c r="L67" i="19"/>
  <c r="G67" i="19"/>
  <c r="F67" i="19"/>
  <c r="M66" i="19"/>
  <c r="L66" i="19"/>
  <c r="G66" i="19"/>
  <c r="F66" i="19"/>
  <c r="M65" i="19"/>
  <c r="L65" i="19"/>
  <c r="G65" i="19"/>
  <c r="F65" i="19"/>
  <c r="M64" i="19"/>
  <c r="L64" i="19"/>
  <c r="G64" i="19"/>
  <c r="F64" i="19"/>
  <c r="M63" i="19"/>
  <c r="L63" i="19"/>
  <c r="G63" i="19"/>
  <c r="F63" i="19"/>
  <c r="M62" i="19"/>
  <c r="L62" i="19"/>
  <c r="G62" i="19"/>
  <c r="F62" i="19"/>
  <c r="M61" i="19"/>
  <c r="L61" i="19"/>
  <c r="G61" i="19"/>
  <c r="F61" i="19"/>
  <c r="M60" i="19"/>
  <c r="L60" i="19"/>
  <c r="G60" i="19"/>
  <c r="F60" i="19"/>
  <c r="M59" i="19"/>
  <c r="L59" i="19"/>
  <c r="G59" i="19"/>
  <c r="F59" i="19"/>
  <c r="M58" i="19"/>
  <c r="L58" i="19"/>
  <c r="G58" i="19"/>
  <c r="F58" i="19"/>
  <c r="M57" i="19"/>
  <c r="L57" i="19"/>
  <c r="G57" i="19"/>
  <c r="F57" i="19"/>
  <c r="M56" i="19"/>
  <c r="L56" i="19"/>
  <c r="G56" i="19"/>
  <c r="F56" i="19"/>
  <c r="M55" i="19"/>
  <c r="L55" i="19"/>
  <c r="G55" i="19"/>
  <c r="F55" i="19"/>
  <c r="M54" i="19"/>
  <c r="L54" i="19"/>
  <c r="G54" i="19"/>
  <c r="F54" i="19"/>
  <c r="M53" i="19"/>
  <c r="L53" i="19"/>
  <c r="G53" i="19"/>
  <c r="F53" i="19"/>
  <c r="M52" i="19"/>
  <c r="L52" i="19"/>
  <c r="G52" i="19"/>
  <c r="F52" i="19"/>
  <c r="M51" i="19"/>
  <c r="L51" i="19"/>
  <c r="G51" i="19"/>
  <c r="F51" i="19"/>
  <c r="M50" i="19"/>
  <c r="L50" i="19"/>
  <c r="G50" i="19"/>
  <c r="F50" i="19"/>
  <c r="M49" i="19"/>
  <c r="L49" i="19"/>
  <c r="G49" i="19"/>
  <c r="F49" i="19"/>
  <c r="M48" i="19"/>
  <c r="L48" i="19"/>
  <c r="G48" i="19"/>
  <c r="F48" i="19"/>
  <c r="M47" i="19"/>
  <c r="L47" i="19"/>
  <c r="G47" i="19"/>
  <c r="F47" i="19"/>
  <c r="M46" i="19"/>
  <c r="L46" i="19"/>
  <c r="J46" i="19"/>
  <c r="G46" i="19"/>
  <c r="F46" i="19"/>
  <c r="D46" i="19"/>
  <c r="M45" i="19"/>
  <c r="L45" i="19"/>
  <c r="J45" i="19"/>
  <c r="G45" i="19"/>
  <c r="F45" i="19"/>
  <c r="D45" i="19"/>
  <c r="M44" i="19"/>
  <c r="L44" i="19"/>
  <c r="J44" i="19"/>
  <c r="G44" i="19"/>
  <c r="F44" i="19"/>
  <c r="D44" i="19"/>
  <c r="M43" i="19"/>
  <c r="L43" i="19"/>
  <c r="J43" i="19"/>
  <c r="G43" i="19"/>
  <c r="F43" i="19"/>
  <c r="D43" i="19"/>
  <c r="M42" i="19"/>
  <c r="L42" i="19"/>
  <c r="J42" i="19"/>
  <c r="G42" i="19"/>
  <c r="F42" i="19"/>
  <c r="D42" i="19"/>
  <c r="E42" i="19" s="1"/>
  <c r="M41" i="19"/>
  <c r="L41" i="19"/>
  <c r="J41" i="19"/>
  <c r="G41" i="19"/>
  <c r="F41" i="19"/>
  <c r="D41" i="19"/>
  <c r="M40" i="19"/>
  <c r="L40" i="19"/>
  <c r="J40" i="19"/>
  <c r="G40" i="19"/>
  <c r="F40" i="19"/>
  <c r="D40" i="19"/>
  <c r="E40" i="19" s="1"/>
  <c r="M39" i="19"/>
  <c r="L39" i="19"/>
  <c r="J39" i="19"/>
  <c r="G39" i="19"/>
  <c r="F39" i="19"/>
  <c r="D39" i="19"/>
  <c r="M38" i="19"/>
  <c r="L38" i="19"/>
  <c r="J38" i="19"/>
  <c r="G38" i="19"/>
  <c r="F38" i="19"/>
  <c r="D38" i="19"/>
  <c r="E38" i="19" s="1"/>
  <c r="M37" i="19"/>
  <c r="L37" i="19"/>
  <c r="J37" i="19"/>
  <c r="G37" i="19"/>
  <c r="F37" i="19"/>
  <c r="D37" i="19"/>
  <c r="M36" i="19"/>
  <c r="L36" i="19"/>
  <c r="J36" i="19"/>
  <c r="G36" i="19"/>
  <c r="F36" i="19"/>
  <c r="D36" i="19"/>
  <c r="E36" i="19" s="1"/>
  <c r="M35" i="19"/>
  <c r="L35" i="19"/>
  <c r="J35" i="19"/>
  <c r="G35" i="19"/>
  <c r="F35" i="19"/>
  <c r="D35" i="19"/>
  <c r="M34" i="19"/>
  <c r="L34" i="19"/>
  <c r="J34" i="19"/>
  <c r="G34" i="19"/>
  <c r="F34" i="19"/>
  <c r="D34" i="19"/>
  <c r="E34" i="19" s="1"/>
  <c r="M33" i="19"/>
  <c r="L33" i="19"/>
  <c r="J33" i="19"/>
  <c r="G33" i="19"/>
  <c r="F33" i="19"/>
  <c r="D33" i="19"/>
  <c r="M32" i="19"/>
  <c r="L32" i="19"/>
  <c r="J32" i="19"/>
  <c r="G32" i="19"/>
  <c r="F32" i="19"/>
  <c r="D32" i="19"/>
  <c r="E32" i="19" s="1"/>
  <c r="M31" i="19"/>
  <c r="L31" i="19"/>
  <c r="J31" i="19"/>
  <c r="G31" i="19"/>
  <c r="F31" i="19"/>
  <c r="D31" i="19"/>
  <c r="M30" i="19"/>
  <c r="L30" i="19"/>
  <c r="J30" i="19"/>
  <c r="G30" i="19"/>
  <c r="F30" i="19"/>
  <c r="D30" i="19"/>
  <c r="E30" i="19" s="1"/>
  <c r="R29" i="19"/>
  <c r="M29" i="19"/>
  <c r="L29" i="19"/>
  <c r="J29" i="19"/>
  <c r="G29" i="19"/>
  <c r="F29" i="19"/>
  <c r="D29" i="19"/>
  <c r="E29" i="19" s="1"/>
  <c r="R28" i="19"/>
  <c r="M28" i="19"/>
  <c r="L28" i="19"/>
  <c r="J28" i="19"/>
  <c r="K29" i="19" s="1"/>
  <c r="G28" i="19"/>
  <c r="F28" i="19"/>
  <c r="D28" i="19"/>
  <c r="E28" i="19" s="1"/>
  <c r="M27" i="19"/>
  <c r="L27" i="19"/>
  <c r="J27" i="19"/>
  <c r="G27" i="19"/>
  <c r="F27" i="19"/>
  <c r="D27" i="19"/>
  <c r="E27" i="19" s="1"/>
  <c r="M26" i="19"/>
  <c r="L26" i="19"/>
  <c r="J26" i="19"/>
  <c r="K26" i="19" s="1"/>
  <c r="G26" i="19"/>
  <c r="F26" i="19"/>
  <c r="D26" i="19"/>
  <c r="M25" i="19"/>
  <c r="L25" i="19"/>
  <c r="J25" i="19"/>
  <c r="G25" i="19"/>
  <c r="F25" i="19"/>
  <c r="D25" i="19"/>
  <c r="E25" i="19" s="1"/>
  <c r="M24" i="19"/>
  <c r="L24" i="19"/>
  <c r="J24" i="19"/>
  <c r="K24" i="19" s="1"/>
  <c r="G24" i="19"/>
  <c r="F24" i="19"/>
  <c r="D24" i="19"/>
  <c r="M23" i="19"/>
  <c r="L23" i="19"/>
  <c r="J23" i="19"/>
  <c r="G23" i="19"/>
  <c r="F23" i="19"/>
  <c r="D23" i="19"/>
  <c r="E23" i="19" s="1"/>
  <c r="M22" i="19"/>
  <c r="L22" i="19"/>
  <c r="J22" i="19"/>
  <c r="K22" i="19" s="1"/>
  <c r="G22" i="19"/>
  <c r="F22" i="19"/>
  <c r="D22" i="19"/>
  <c r="M21" i="19"/>
  <c r="L21" i="19"/>
  <c r="J21" i="19"/>
  <c r="G21" i="19"/>
  <c r="F21" i="19"/>
  <c r="D21" i="19"/>
  <c r="E21" i="19" s="1"/>
  <c r="M20" i="19"/>
  <c r="L20" i="19"/>
  <c r="J20" i="19"/>
  <c r="K20" i="19" s="1"/>
  <c r="G20" i="19"/>
  <c r="F20" i="19"/>
  <c r="D20" i="19"/>
  <c r="M19" i="19"/>
  <c r="L19" i="19"/>
  <c r="J19" i="19"/>
  <c r="G19" i="19"/>
  <c r="F19" i="19"/>
  <c r="D19" i="19"/>
  <c r="E19" i="19" s="1"/>
  <c r="M18" i="19"/>
  <c r="L18" i="19"/>
  <c r="J18" i="19"/>
  <c r="K18" i="19" s="1"/>
  <c r="G18" i="19"/>
  <c r="F18" i="19"/>
  <c r="D18" i="19"/>
  <c r="R17" i="19"/>
  <c r="M17" i="19"/>
  <c r="L17" i="19"/>
  <c r="J17" i="19"/>
  <c r="G17" i="19"/>
  <c r="F17" i="19"/>
  <c r="D17" i="19"/>
  <c r="R16" i="19"/>
  <c r="M16" i="19"/>
  <c r="L16" i="19"/>
  <c r="J16" i="19"/>
  <c r="G16" i="19"/>
  <c r="F16" i="19"/>
  <c r="D16" i="19"/>
  <c r="M15" i="19"/>
  <c r="L15" i="19"/>
  <c r="J15" i="19"/>
  <c r="G15" i="19"/>
  <c r="F15" i="19"/>
  <c r="D15" i="19"/>
  <c r="M14" i="19"/>
  <c r="L14" i="19"/>
  <c r="J14" i="19"/>
  <c r="G14" i="19"/>
  <c r="F14" i="19"/>
  <c r="D14" i="19"/>
  <c r="E14" i="19" s="1"/>
  <c r="M13" i="19"/>
  <c r="L13" i="19"/>
  <c r="J13" i="19"/>
  <c r="K13" i="19" s="1"/>
  <c r="G13" i="19"/>
  <c r="F13" i="19"/>
  <c r="D13" i="19"/>
  <c r="M12" i="19"/>
  <c r="L12" i="19"/>
  <c r="J12" i="19"/>
  <c r="G12" i="19"/>
  <c r="F12" i="19"/>
  <c r="D12" i="19"/>
  <c r="M11" i="19"/>
  <c r="L11" i="19"/>
  <c r="J11" i="19"/>
  <c r="K11" i="19" s="1"/>
  <c r="G11" i="19"/>
  <c r="F11" i="19"/>
  <c r="D11" i="19"/>
  <c r="E11" i="19" s="1"/>
  <c r="M10" i="19"/>
  <c r="L10" i="19"/>
  <c r="K10" i="19"/>
  <c r="G10" i="19"/>
  <c r="F10" i="19"/>
  <c r="E10" i="19"/>
  <c r="M9" i="19"/>
  <c r="L9" i="19"/>
  <c r="K9" i="19"/>
  <c r="G9" i="19"/>
  <c r="F9" i="19"/>
  <c r="E9" i="19"/>
  <c r="M8" i="19"/>
  <c r="L8" i="19"/>
  <c r="K8" i="19"/>
  <c r="G8" i="19"/>
  <c r="F8" i="19"/>
  <c r="E8" i="19"/>
  <c r="M7" i="19"/>
  <c r="L7" i="19"/>
  <c r="K7" i="19"/>
  <c r="G7" i="19"/>
  <c r="F7" i="19"/>
  <c r="E7" i="19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I48" i="12"/>
  <c r="E48" i="12"/>
  <c r="I47" i="12"/>
  <c r="E47" i="12"/>
  <c r="I46" i="12"/>
  <c r="H46" i="12"/>
  <c r="E46" i="12"/>
  <c r="D46" i="12"/>
  <c r="I45" i="12"/>
  <c r="H45" i="12"/>
  <c r="E45" i="12"/>
  <c r="D45" i="12"/>
  <c r="I44" i="12"/>
  <c r="H44" i="12"/>
  <c r="E44" i="12"/>
  <c r="D44" i="12"/>
  <c r="I43" i="12"/>
  <c r="H43" i="12"/>
  <c r="E43" i="12"/>
  <c r="D43" i="12"/>
  <c r="I42" i="12"/>
  <c r="H42" i="12"/>
  <c r="E42" i="12"/>
  <c r="D42" i="12"/>
  <c r="I41" i="12"/>
  <c r="H41" i="12"/>
  <c r="E41" i="12"/>
  <c r="D41" i="12"/>
  <c r="I40" i="12"/>
  <c r="H40" i="12"/>
  <c r="E40" i="12"/>
  <c r="D40" i="12"/>
  <c r="I39" i="12"/>
  <c r="H39" i="12"/>
  <c r="E39" i="12"/>
  <c r="D39" i="12"/>
  <c r="I38" i="12"/>
  <c r="H38" i="12"/>
  <c r="E38" i="12"/>
  <c r="D38" i="12"/>
  <c r="I37" i="12"/>
  <c r="H37" i="12"/>
  <c r="E37" i="12"/>
  <c r="D37" i="12"/>
  <c r="I36" i="12"/>
  <c r="H36" i="12"/>
  <c r="E36" i="12"/>
  <c r="D36" i="12"/>
  <c r="I35" i="12"/>
  <c r="H35" i="12"/>
  <c r="E35" i="12"/>
  <c r="D35" i="12"/>
  <c r="I34" i="12"/>
  <c r="H34" i="12"/>
  <c r="E34" i="12"/>
  <c r="D34" i="12"/>
  <c r="I33" i="12"/>
  <c r="H33" i="12"/>
  <c r="E33" i="12"/>
  <c r="D33" i="12"/>
  <c r="I32" i="12"/>
  <c r="H32" i="12"/>
  <c r="E32" i="12"/>
  <c r="D32" i="12"/>
  <c r="I31" i="12"/>
  <c r="H31" i="12"/>
  <c r="E31" i="12"/>
  <c r="D31" i="12"/>
  <c r="I30" i="12"/>
  <c r="H30" i="12"/>
  <c r="E30" i="12"/>
  <c r="D30" i="12"/>
  <c r="I29" i="12"/>
  <c r="H29" i="12"/>
  <c r="E29" i="12"/>
  <c r="D29" i="12"/>
  <c r="I28" i="12"/>
  <c r="H28" i="12"/>
  <c r="E28" i="12"/>
  <c r="D28" i="12"/>
  <c r="N27" i="12"/>
  <c r="I27" i="12"/>
  <c r="H27" i="12"/>
  <c r="E27" i="12"/>
  <c r="D27" i="12"/>
  <c r="I26" i="12"/>
  <c r="H26" i="12"/>
  <c r="E26" i="12"/>
  <c r="D26" i="12"/>
  <c r="I25" i="12"/>
  <c r="H25" i="12"/>
  <c r="E25" i="12"/>
  <c r="D25" i="12"/>
  <c r="I24" i="12"/>
  <c r="H24" i="12"/>
  <c r="E24" i="12"/>
  <c r="D24" i="12"/>
  <c r="I23" i="12"/>
  <c r="H23" i="12"/>
  <c r="E23" i="12"/>
  <c r="D23" i="12"/>
  <c r="I22" i="12"/>
  <c r="H22" i="12"/>
  <c r="E22" i="12"/>
  <c r="D22" i="12"/>
  <c r="I21" i="12"/>
  <c r="H21" i="12"/>
  <c r="E21" i="12"/>
  <c r="D21" i="12"/>
  <c r="I20" i="12"/>
  <c r="H20" i="12"/>
  <c r="E20" i="12"/>
  <c r="D20" i="12"/>
  <c r="I19" i="12"/>
  <c r="H19" i="12"/>
  <c r="E19" i="12"/>
  <c r="D19" i="12"/>
  <c r="I18" i="12"/>
  <c r="H18" i="12"/>
  <c r="E18" i="12"/>
  <c r="D18" i="12"/>
  <c r="I17" i="12"/>
  <c r="H17" i="12"/>
  <c r="E17" i="12"/>
  <c r="D17" i="12"/>
  <c r="N16" i="12"/>
  <c r="I16" i="12"/>
  <c r="H16" i="12"/>
  <c r="E16" i="12"/>
  <c r="D16" i="12"/>
  <c r="I15" i="12"/>
  <c r="H15" i="12"/>
  <c r="E15" i="12"/>
  <c r="D15" i="12"/>
  <c r="I14" i="12"/>
  <c r="H14" i="12"/>
  <c r="E14" i="12"/>
  <c r="D14" i="12"/>
  <c r="I13" i="12"/>
  <c r="H13" i="12"/>
  <c r="E13" i="12"/>
  <c r="D13" i="12"/>
  <c r="I12" i="12"/>
  <c r="H12" i="12"/>
  <c r="E12" i="12"/>
  <c r="D12" i="12"/>
  <c r="I11" i="12"/>
  <c r="H11" i="12"/>
  <c r="E11" i="12"/>
  <c r="D11" i="12"/>
  <c r="I10" i="12"/>
  <c r="E10" i="12"/>
  <c r="I9" i="12"/>
  <c r="E9" i="12"/>
  <c r="I8" i="12"/>
  <c r="E8" i="12"/>
  <c r="I7" i="12"/>
  <c r="E7" i="12"/>
  <c r="R13" i="19" l="1" a="1"/>
  <c r="R13" i="19" s="1"/>
  <c r="R12" i="19" a="1"/>
  <c r="R12" i="19" s="1"/>
  <c r="R25" i="19" a="1"/>
  <c r="R25" i="19" s="1"/>
  <c r="R24" i="19" a="1"/>
  <c r="R24" i="19" s="1"/>
  <c r="N24" i="12" a="1"/>
  <c r="N24" i="12" s="1"/>
  <c r="N23" i="12" a="1"/>
  <c r="N23" i="12" s="1"/>
  <c r="N12" i="12" a="1"/>
  <c r="N12" i="12" s="1"/>
  <c r="N13" i="12" a="1"/>
  <c r="N13" i="12" s="1"/>
  <c r="E12" i="19"/>
  <c r="E44" i="19"/>
  <c r="E46" i="19"/>
  <c r="E15" i="19"/>
  <c r="E17" i="19"/>
  <c r="K30" i="19"/>
  <c r="K32" i="19"/>
  <c r="K34" i="19"/>
  <c r="K36" i="19"/>
  <c r="K38" i="19"/>
  <c r="K40" i="19"/>
  <c r="K42" i="19"/>
  <c r="K44" i="19"/>
  <c r="K46" i="19"/>
  <c r="N14" i="12"/>
  <c r="K21" i="19"/>
  <c r="E16" i="19"/>
  <c r="K23" i="19"/>
  <c r="K19" i="19"/>
  <c r="K12" i="19"/>
  <c r="K25" i="19"/>
  <c r="E31" i="19"/>
  <c r="E33" i="19"/>
  <c r="E35" i="19"/>
  <c r="E37" i="19"/>
  <c r="E39" i="19"/>
  <c r="E41" i="19"/>
  <c r="E43" i="19"/>
  <c r="E45" i="19"/>
  <c r="E47" i="19"/>
  <c r="K15" i="19"/>
  <c r="K17" i="19"/>
  <c r="E18" i="19"/>
  <c r="E20" i="19"/>
  <c r="E22" i="19"/>
  <c r="E24" i="19"/>
  <c r="E13" i="19"/>
  <c r="E26" i="19"/>
  <c r="K31" i="19"/>
  <c r="K33" i="19"/>
  <c r="K35" i="19"/>
  <c r="K37" i="19"/>
  <c r="K39" i="19"/>
  <c r="K41" i="19"/>
  <c r="K43" i="19"/>
  <c r="K45" i="19"/>
  <c r="N25" i="12"/>
  <c r="K27" i="19"/>
  <c r="K14" i="19"/>
  <c r="K28" i="19"/>
  <c r="K16" i="19"/>
  <c r="R14" i="19" l="1"/>
  <c r="N26" i="12"/>
  <c r="N15" i="12"/>
  <c r="J48" i="12" l="1"/>
  <c r="K48" i="12"/>
  <c r="J49" i="12"/>
  <c r="K49" i="12"/>
  <c r="F49" i="12"/>
  <c r="G49" i="12"/>
  <c r="F35" i="12"/>
  <c r="G29" i="12"/>
  <c r="G32" i="12"/>
  <c r="G30" i="12"/>
  <c r="F43" i="12"/>
  <c r="F25" i="12"/>
  <c r="G19" i="12"/>
  <c r="G45" i="12"/>
  <c r="F18" i="12"/>
  <c r="F13" i="12"/>
  <c r="G28" i="12"/>
  <c r="G22" i="12"/>
  <c r="G15" i="12"/>
  <c r="F40" i="12"/>
  <c r="G25" i="12"/>
  <c r="G35" i="12"/>
  <c r="G31" i="12"/>
  <c r="F32" i="12"/>
  <c r="G39" i="12"/>
  <c r="F37" i="12"/>
  <c r="F24" i="12"/>
  <c r="G38" i="12"/>
  <c r="F26" i="12"/>
  <c r="F29" i="12"/>
  <c r="G16" i="12"/>
  <c r="F34" i="12"/>
  <c r="G10" i="12"/>
  <c r="G41" i="12"/>
  <c r="F8" i="12"/>
  <c r="G26" i="12"/>
  <c r="G48" i="12"/>
  <c r="G13" i="12"/>
  <c r="G34" i="12"/>
  <c r="F11" i="12"/>
  <c r="G12" i="12"/>
  <c r="F19" i="12"/>
  <c r="F27" i="12"/>
  <c r="G47" i="12"/>
  <c r="G21" i="12"/>
  <c r="F16" i="12"/>
  <c r="F31" i="12"/>
  <c r="F22" i="12"/>
  <c r="F10" i="12"/>
  <c r="G9" i="12"/>
  <c r="G14" i="12"/>
  <c r="F7" i="12"/>
  <c r="G17" i="12"/>
  <c r="F36" i="12"/>
  <c r="G8" i="12"/>
  <c r="G36" i="12"/>
  <c r="F46" i="12"/>
  <c r="F39" i="12"/>
  <c r="G44" i="12"/>
  <c r="G18" i="12"/>
  <c r="F15" i="12"/>
  <c r="G24" i="12"/>
  <c r="G11" i="12"/>
  <c r="F30" i="12"/>
  <c r="F47" i="12"/>
  <c r="F14" i="12"/>
  <c r="G20" i="12"/>
  <c r="F33" i="12"/>
  <c r="F44" i="12"/>
  <c r="G42" i="12"/>
  <c r="G46" i="12"/>
  <c r="F17" i="12"/>
  <c r="F23" i="12"/>
  <c r="F41" i="12"/>
  <c r="G43" i="12"/>
  <c r="F20" i="12"/>
  <c r="G27" i="12"/>
  <c r="F38" i="12"/>
  <c r="G33" i="12"/>
  <c r="G40" i="12"/>
  <c r="F28" i="12"/>
  <c r="G23" i="12"/>
  <c r="F42" i="12"/>
  <c r="G7" i="12"/>
  <c r="F9" i="12"/>
  <c r="G37" i="12"/>
  <c r="F12" i="12"/>
  <c r="F45" i="12"/>
  <c r="F21" i="12"/>
  <c r="F48" i="12"/>
  <c r="K41" i="12"/>
  <c r="J28" i="12"/>
  <c r="J19" i="12"/>
  <c r="J37" i="12"/>
  <c r="K9" i="12"/>
  <c r="K18" i="12"/>
  <c r="J20" i="12"/>
  <c r="K23" i="12"/>
  <c r="K16" i="12"/>
  <c r="J15" i="12"/>
  <c r="K8" i="12"/>
  <c r="K46" i="12"/>
  <c r="K28" i="12"/>
  <c r="K14" i="12"/>
  <c r="K10" i="12"/>
  <c r="K25" i="12"/>
  <c r="K40" i="12"/>
  <c r="K13" i="12"/>
  <c r="J14" i="12"/>
  <c r="K15" i="12"/>
  <c r="J34" i="12"/>
  <c r="J40" i="12"/>
  <c r="J12" i="12"/>
  <c r="K45" i="12"/>
  <c r="K7" i="12"/>
  <c r="J41" i="12"/>
  <c r="J9" i="12"/>
  <c r="K20" i="12"/>
  <c r="K31" i="12"/>
  <c r="J38" i="12"/>
  <c r="J25" i="12"/>
  <c r="K32" i="12"/>
  <c r="J42" i="12"/>
  <c r="K47" i="12"/>
  <c r="J32" i="12"/>
  <c r="J31" i="12"/>
  <c r="J39" i="12"/>
  <c r="K44" i="12"/>
  <c r="J27" i="12"/>
  <c r="J16" i="12"/>
  <c r="J33" i="12"/>
  <c r="K21" i="12"/>
  <c r="J11" i="12"/>
  <c r="K27" i="12"/>
  <c r="K39" i="12"/>
  <c r="J46" i="12"/>
  <c r="K37" i="12"/>
  <c r="J13" i="12"/>
  <c r="J44" i="12"/>
  <c r="J10" i="12"/>
  <c r="K22" i="12"/>
  <c r="J17" i="12"/>
  <c r="K30" i="12"/>
  <c r="K34" i="12"/>
  <c r="J26" i="12"/>
  <c r="K24" i="12"/>
  <c r="J23" i="12"/>
  <c r="J8" i="12"/>
  <c r="K42" i="12"/>
  <c r="J22" i="12"/>
  <c r="J7" i="12"/>
  <c r="J21" i="12"/>
  <c r="K19" i="12"/>
  <c r="J24" i="12"/>
  <c r="J29" i="12"/>
  <c r="K11" i="12"/>
  <c r="K29" i="12"/>
  <c r="K17" i="12"/>
  <c r="J30" i="12"/>
  <c r="J18" i="12"/>
  <c r="K35" i="12"/>
  <c r="J47" i="12"/>
  <c r="K38" i="12"/>
  <c r="K26" i="12"/>
  <c r="K43" i="12"/>
  <c r="K36" i="12"/>
  <c r="J45" i="12"/>
  <c r="J36" i="12"/>
  <c r="K12" i="12"/>
  <c r="J35" i="12"/>
  <c r="J43" i="12"/>
  <c r="K33" i="12"/>
  <c r="R15" i="19"/>
  <c r="R26" i="19"/>
  <c r="R27" i="19" s="1"/>
  <c r="N48" i="19" l="1"/>
  <c r="O49" i="19"/>
  <c r="O48" i="19"/>
  <c r="N49" i="19"/>
  <c r="H48" i="19"/>
  <c r="I48" i="19"/>
  <c r="H49" i="19"/>
  <c r="I49" i="19"/>
  <c r="I23" i="19"/>
  <c r="H41" i="19"/>
  <c r="H39" i="19"/>
  <c r="H20" i="19"/>
  <c r="I37" i="19"/>
  <c r="H16" i="19"/>
  <c r="H8" i="19"/>
  <c r="I39" i="19"/>
  <c r="I24" i="19"/>
  <c r="H9" i="19"/>
  <c r="H18" i="19"/>
  <c r="H40" i="19"/>
  <c r="I15" i="19"/>
  <c r="H10" i="19"/>
  <c r="H27" i="19"/>
  <c r="H15" i="19"/>
  <c r="H24" i="19"/>
  <c r="I46" i="19"/>
  <c r="H38" i="19"/>
  <c r="I32" i="19"/>
  <c r="I16" i="19"/>
  <c r="I13" i="19"/>
  <c r="H7" i="19"/>
  <c r="I21" i="19"/>
  <c r="H36" i="19"/>
  <c r="H25" i="19"/>
  <c r="I8" i="19"/>
  <c r="H47" i="19"/>
  <c r="I29" i="19"/>
  <c r="I35" i="19"/>
  <c r="I18" i="19"/>
  <c r="H33" i="19"/>
  <c r="H13" i="19"/>
  <c r="H28" i="19"/>
  <c r="H44" i="19"/>
  <c r="H32" i="19"/>
  <c r="I41" i="19"/>
  <c r="I27" i="19"/>
  <c r="H21" i="19"/>
  <c r="H31" i="19"/>
  <c r="H23" i="19"/>
  <c r="I11" i="19"/>
  <c r="I9" i="19"/>
  <c r="I47" i="19"/>
  <c r="I33" i="19"/>
  <c r="I28" i="19"/>
  <c r="I22" i="19"/>
  <c r="I45" i="19"/>
  <c r="H37" i="19"/>
  <c r="I34" i="19"/>
  <c r="H11" i="19"/>
  <c r="I44" i="19"/>
  <c r="I14" i="19"/>
  <c r="I36" i="19"/>
  <c r="I10" i="19"/>
  <c r="I20" i="19"/>
  <c r="H35" i="19"/>
  <c r="I31" i="19"/>
  <c r="I12" i="19"/>
  <c r="H45" i="19"/>
  <c r="H26" i="19"/>
  <c r="I26" i="19"/>
  <c r="H22" i="19"/>
  <c r="H29" i="19"/>
  <c r="H43" i="19"/>
  <c r="H14" i="19"/>
  <c r="H42" i="19"/>
  <c r="H30" i="19"/>
  <c r="I38" i="19"/>
  <c r="I42" i="19"/>
  <c r="H12" i="19"/>
  <c r="I7" i="19"/>
  <c r="H19" i="19"/>
  <c r="I40" i="19"/>
  <c r="I25" i="19"/>
  <c r="I19" i="19"/>
  <c r="H46" i="19"/>
  <c r="H34" i="19"/>
  <c r="I43" i="19"/>
  <c r="H17" i="19"/>
  <c r="I30" i="19"/>
  <c r="I17" i="19"/>
  <c r="O24" i="19"/>
  <c r="O10" i="19"/>
  <c r="N24" i="19"/>
  <c r="O23" i="19"/>
  <c r="O47" i="19"/>
  <c r="O45" i="19"/>
  <c r="O43" i="19"/>
  <c r="O41" i="19"/>
  <c r="O39" i="19"/>
  <c r="O37" i="19"/>
  <c r="O34" i="19"/>
  <c r="O32" i="19"/>
  <c r="O30" i="19"/>
  <c r="N10" i="19"/>
  <c r="O46" i="19"/>
  <c r="O44" i="19"/>
  <c r="O42" i="19"/>
  <c r="O40" i="19"/>
  <c r="O38" i="19"/>
  <c r="O36" i="19"/>
  <c r="O33" i="19"/>
  <c r="O31" i="19"/>
  <c r="N17" i="19"/>
  <c r="O16" i="19"/>
  <c r="O17" i="19"/>
  <c r="O35" i="19"/>
  <c r="N47" i="19"/>
  <c r="N46" i="19"/>
  <c r="N45" i="19"/>
  <c r="O28" i="19"/>
  <c r="O14" i="19"/>
  <c r="O7" i="19"/>
  <c r="N28" i="19"/>
  <c r="O27" i="19"/>
  <c r="N14" i="19"/>
  <c r="N7" i="19"/>
  <c r="O26" i="19"/>
  <c r="O13" i="19"/>
  <c r="O8" i="19"/>
  <c r="N26" i="19"/>
  <c r="N13" i="19"/>
  <c r="N8" i="19"/>
  <c r="N25" i="19"/>
  <c r="N12" i="19"/>
  <c r="O11" i="19"/>
  <c r="N9" i="19"/>
  <c r="N39" i="19"/>
  <c r="O20" i="19"/>
  <c r="O15" i="19"/>
  <c r="N42" i="19"/>
  <c r="N41" i="19"/>
  <c r="O22" i="19"/>
  <c r="N44" i="19"/>
  <c r="O12" i="19"/>
  <c r="N43" i="19"/>
  <c r="O25" i="19"/>
  <c r="N22" i="19"/>
  <c r="N37" i="19"/>
  <c r="N27" i="19"/>
  <c r="N21" i="19"/>
  <c r="N20" i="19"/>
  <c r="N33" i="19"/>
  <c r="N36" i="19"/>
  <c r="O18" i="19"/>
  <c r="O29" i="19"/>
  <c r="O19" i="19"/>
  <c r="N15" i="19"/>
  <c r="N18" i="19"/>
  <c r="N29" i="19"/>
  <c r="N19" i="19"/>
  <c r="N30" i="19"/>
  <c r="O21" i="19"/>
  <c r="N32" i="19"/>
  <c r="N31" i="19"/>
  <c r="O9" i="19"/>
  <c r="N34" i="19"/>
  <c r="N11" i="19"/>
  <c r="N16" i="19"/>
  <c r="N40" i="19"/>
  <c r="N35" i="19"/>
  <c r="N38" i="19"/>
  <c r="N2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11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11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0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<sst xmlns="http://schemas.openxmlformats.org/spreadsheetml/2006/main" count="214" uniqueCount="74">
  <si>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</si>
  <si>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</si>
  <si>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</si>
  <si>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</si>
  <si>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</si>
  <si>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</si>
  <si>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</si>
  <si>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</si>
  <si>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</si>
  <si>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</si>
  <si>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</si>
  <si>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</si>
  <si>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</si>
  <si>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</si>
  <si>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</si>
  <si>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</si>
  <si>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</si>
  <si>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</si>
  <si>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</si>
  <si>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</si>
  <si>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</si>
  <si>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</si>
  <si>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</si>
  <si>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</si>
  <si>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</si>
  <si>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</si>
  <si>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</si>
  <si>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</si>
  <si>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</si>
  <si>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</si>
  <si>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</si>
  <si>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</si>
  <si>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</si>
  <si>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</si>
  <si>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</si>
  <si>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</si>
  <si>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</si>
  <si>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</si>
  <si>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</si>
  <si>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</si>
  <si>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</si>
  <si>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</si>
  <si>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</si>
  <si>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</si>
  <si>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</si>
  <si>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</si>
  <si>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</si>
  <si>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</si>
  <si>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</si>
  <si>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</si>
  <si>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</si>
  <si>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</si>
  <si>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</si>
  <si>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</si>
  <si>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</si>
  <si>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</si>
  <si>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</si>
  <si>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</si>
  <si>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</si>
  <si>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</si>
  <si>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New_fit</t>
  </si>
  <si>
    <t>C_Upper CI</t>
  </si>
  <si>
    <t>C_Lower CI</t>
  </si>
  <si>
    <t>Cum_deaths</t>
  </si>
  <si>
    <t>New deaths</t>
  </si>
  <si>
    <t>Cum_D_fit</t>
  </si>
  <si>
    <t>New_D_fit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</si>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</sst>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4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164" fontId="0" fillId="2" borderId="0" xfId="0" applyNumberFormat="1" applyFont="1" applyFill="1"/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Power law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>
                  <c:v>229</c:v>
                </c:pt>
                <c:pt idx="5">
                  <c:v>322</c:v>
                </c:pt>
                <c:pt idx="6">
                  <c:v>400</c:v>
                </c:pt>
                <c:pt idx="7">
                  <c:v>650</c:v>
                </c:pt>
                <c:pt idx="8">
                  <c:v>888</c:v>
                </c:pt>
                <c:pt idx="9">
                  <c:v>1128</c:v>
                </c:pt>
                <c:pt idx="10">
                  <c:v>1694</c:v>
                </c:pt>
                <c:pt idx="11">
                  <c:v>2036</c:v>
                </c:pt>
                <c:pt idx="12">
                  <c:v>2502</c:v>
                </c:pt>
                <c:pt idx="13">
                  <c:v>3089</c:v>
                </c:pt>
                <c:pt idx="14">
                  <c:v>3858</c:v>
                </c:pt>
                <c:pt idx="15">
                  <c:v>4636</c:v>
                </c:pt>
                <c:pt idx="16">
                  <c:v>5883</c:v>
                </c:pt>
                <c:pt idx="17">
                  <c:v>7375</c:v>
                </c:pt>
                <c:pt idx="18">
                  <c:v>9172</c:v>
                </c:pt>
                <c:pt idx="19">
                  <c:v>10149</c:v>
                </c:pt>
                <c:pt idx="20">
                  <c:v>12462</c:v>
                </c:pt>
                <c:pt idx="21">
                  <c:v>15113</c:v>
                </c:pt>
                <c:pt idx="22">
                  <c:v>17660</c:v>
                </c:pt>
                <c:pt idx="23">
                  <c:v>21157</c:v>
                </c:pt>
                <c:pt idx="24">
                  <c:v>24747</c:v>
                </c:pt>
                <c:pt idx="25">
                  <c:v>27980</c:v>
                </c:pt>
                <c:pt idx="26">
                  <c:v>31506</c:v>
                </c:pt>
                <c:pt idx="27">
                  <c:v>35713</c:v>
                </c:pt>
                <c:pt idx="28">
                  <c:v>41035</c:v>
                </c:pt>
                <c:pt idx="29">
                  <c:v>47021</c:v>
                </c:pt>
                <c:pt idx="30">
                  <c:v>53578</c:v>
                </c:pt>
                <c:pt idx="31">
                  <c:v>59138</c:v>
                </c:pt>
                <c:pt idx="32">
                  <c:v>63927</c:v>
                </c:pt>
                <c:pt idx="33">
                  <c:v>69176</c:v>
                </c:pt>
                <c:pt idx="34">
                  <c:v>74386</c:v>
                </c:pt>
                <c:pt idx="35">
                  <c:v>80539</c:v>
                </c:pt>
                <c:pt idx="36">
                  <c:v>86498</c:v>
                </c:pt>
                <c:pt idx="37">
                  <c:v>92472</c:v>
                </c:pt>
                <c:pt idx="38">
                  <c:v>97689</c:v>
                </c:pt>
                <c:pt idx="39">
                  <c:v>101739</c:v>
                </c:pt>
                <c:pt idx="40">
                  <c:v>105792</c:v>
                </c:pt>
                <c:pt idx="41">
                  <c:v>110574</c:v>
                </c:pt>
                <c:pt idx="42">
                  <c:v>115242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Power law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fit'!$E$7:$E$70</c:f>
              <c:numCache>
                <c:formatCode>General</c:formatCode>
                <c:ptCount val="64"/>
                <c:pt idx="0">
                  <c:v>9.0480196388339536E-7</c:v>
                </c:pt>
                <c:pt idx="1">
                  <c:v>3.724668150061863E-4</c:v>
                </c:pt>
                <c:pt idx="2">
                  <c:v>1.1544890356527523E-2</c:v>
                </c:pt>
                <c:pt idx="3">
                  <c:v>0.12415100728276238</c:v>
                </c:pt>
                <c:pt idx="4">
                  <c:v>0.74766057420581422</c:v>
                </c:pt>
                <c:pt idx="5">
                  <c:v>3.1208781779866261</c:v>
                </c:pt>
                <c:pt idx="6">
                  <c:v>10.117649514221963</c:v>
                </c:pt>
                <c:pt idx="7">
                  <c:v>27.265351341556475</c:v>
                </c:pt>
                <c:pt idx="8">
                  <c:v>63.811840708227002</c:v>
                </c:pt>
                <c:pt idx="9">
                  <c:v>133.64313669797852</c:v>
                </c:pt>
                <c:pt idx="10">
                  <c:v>255.87031217941995</c:v>
                </c:pt>
                <c:pt idx="11">
                  <c:v>454.95682639902401</c:v>
                </c:pt>
                <c:pt idx="12">
                  <c:v>760.32871397379995</c:v>
                </c:pt>
                <c:pt idx="13">
                  <c:v>1205.4827283981756</c:v>
                </c:pt>
                <c:pt idx="14">
                  <c:v>1826.6691879737648</c:v>
                </c:pt>
                <c:pt idx="15">
                  <c:v>2661.2696809179938</c:v>
                </c:pt>
                <c:pt idx="16">
                  <c:v>3746.0125702262262</c:v>
                </c:pt>
                <c:pt idx="17">
                  <c:v>5115.172658627469</c:v>
                </c:pt>
                <c:pt idx="18">
                  <c:v>6798.888987498116</c:v>
                </c:pt>
                <c:pt idx="19">
                  <c:v>8821.7111896107017</c:v>
                </c:pt>
                <c:pt idx="20">
                  <c:v>11201.454871158108</c:v>
                </c:pt>
                <c:pt idx="21">
                  <c:v>13948.414443874794</c:v>
                </c:pt>
                <c:pt idx="22">
                  <c:v>17064.951091201725</c:v>
                </c:pt>
                <c:pt idx="23">
                  <c:v>20545.446575936119</c:v>
                </c:pt>
                <c:pt idx="24">
                  <c:v>24376.591863011941</c:v>
                </c:pt>
                <c:pt idx="25">
                  <c:v>28537.96368530011</c:v>
                </c:pt>
                <c:pt idx="26">
                  <c:v>33002.832203596772</c:v>
                </c:pt>
                <c:pt idx="27">
                  <c:v>37739.138306883113</c:v>
                </c:pt>
                <c:pt idx="28">
                  <c:v>42710.579064727492</c:v>
                </c:pt>
                <c:pt idx="29">
                  <c:v>47877.743426238179</c:v>
                </c:pt>
                <c:pt idx="30">
                  <c:v>53199.246470456557</c:v>
                </c:pt>
                <c:pt idx="31">
                  <c:v>58632.81841441345</c:v>
                </c:pt>
                <c:pt idx="32">
                  <c:v>64136.313348587173</c:v>
                </c:pt>
                <c:pt idx="33">
                  <c:v>69668.611606509585</c:v>
                </c:pt>
                <c:pt idx="34">
                  <c:v>75190.398248655125</c:v>
                </c:pt>
                <c:pt idx="35">
                  <c:v>80664.807961964558</c:v>
                </c:pt>
                <c:pt idx="36">
                  <c:v>86057.933492463853</c:v>
                </c:pt>
                <c:pt idx="37">
                  <c:v>91339.200403306866</c:v>
                </c:pt>
                <c:pt idx="38">
                  <c:v>96481.615443348041</c:v>
                </c:pt>
                <c:pt idx="39">
                  <c:v>101461.89915463101</c:v>
                </c:pt>
                <c:pt idx="40">
                  <c:v>106260.51562643335</c:v>
                </c:pt>
                <c:pt idx="41">
                  <c:v>110861.6136388536</c:v>
                </c:pt>
                <c:pt idx="42">
                  <c:v>115252.89396978942</c:v>
                </c:pt>
                <c:pt idx="43">
                  <c:v>119425.41751183612</c:v>
                </c:pt>
                <c:pt idx="44">
                  <c:v>123373.36820397525</c:v>
                </c:pt>
                <c:pt idx="45">
                  <c:v>127093.78376145898</c:v>
                </c:pt>
                <c:pt idx="46">
                  <c:v>130586.26590688007</c:v>
                </c:pt>
                <c:pt idx="47">
                  <c:v>133852.68037064082</c:v>
                </c:pt>
                <c:pt idx="48">
                  <c:v>136896.85542725641</c:v>
                </c:pt>
                <c:pt idx="49">
                  <c:v>139724.28623540699</c:v>
                </c:pt>
                <c:pt idx="50">
                  <c:v>142341.85080851489</c:v>
                </c:pt>
                <c:pt idx="51">
                  <c:v>144757.54209838228</c:v>
                </c:pt>
                <c:pt idx="52">
                  <c:v>146980.21945380548</c:v>
                </c:pt>
                <c:pt idx="53">
                  <c:v>149019.38163496662</c:v>
                </c:pt>
                <c:pt idx="54">
                  <c:v>150884.96262979749</c:v>
                </c:pt>
                <c:pt idx="55">
                  <c:v>152587.15073040235</c:v>
                </c:pt>
                <c:pt idx="56">
                  <c:v>154136.23068065188</c:v>
                </c:pt>
                <c:pt idx="57">
                  <c:v>155542.44819104546</c:v>
                </c:pt>
                <c:pt idx="58">
                  <c:v>156815.89572212417</c:v>
                </c:pt>
                <c:pt idx="59">
                  <c:v>157966.41814986651</c:v>
                </c:pt>
                <c:pt idx="60">
                  <c:v>159003.53673172163</c:v>
                </c:pt>
                <c:pt idx="61">
                  <c:v>159936.3896763738</c:v>
                </c:pt>
                <c:pt idx="62">
                  <c:v>160773.68757064303</c:v>
                </c:pt>
                <c:pt idx="63">
                  <c:v>161523.68192065132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Power law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fit'!$F$7:$F$70</c:f>
              <c:numCache>
                <c:formatCode>0</c:formatCode>
                <c:ptCount val="64"/>
                <c:pt idx="0">
                  <c:v>2387.5241790010277</c:v>
                </c:pt>
                <c:pt idx="1">
                  <c:v>2387.5245505630405</c:v>
                </c:pt>
                <c:pt idx="2">
                  <c:v>2387.5357229865822</c:v>
                </c:pt>
                <c:pt idx="3">
                  <c:v>2387.6483291035083</c:v>
                </c:pt>
                <c:pt idx="4">
                  <c:v>2388.2718386704314</c:v>
                </c:pt>
                <c:pt idx="5">
                  <c:v>2390.645056274212</c:v>
                </c:pt>
                <c:pt idx="6">
                  <c:v>2397.6418276104473</c:v>
                </c:pt>
                <c:pt idx="7">
                  <c:v>2414.7895294377822</c:v>
                </c:pt>
                <c:pt idx="8">
                  <c:v>2451.3360188044526</c:v>
                </c:pt>
                <c:pt idx="9">
                  <c:v>2521.1673147942042</c:v>
                </c:pt>
                <c:pt idx="10">
                  <c:v>2643.3944902756457</c:v>
                </c:pt>
                <c:pt idx="11">
                  <c:v>2842.4810044952496</c:v>
                </c:pt>
                <c:pt idx="12">
                  <c:v>3147.8528920700255</c:v>
                </c:pt>
                <c:pt idx="13">
                  <c:v>3593.0069064944009</c:v>
                </c:pt>
                <c:pt idx="14">
                  <c:v>4214.1933660699906</c:v>
                </c:pt>
                <c:pt idx="15">
                  <c:v>5048.7938590142194</c:v>
                </c:pt>
                <c:pt idx="16">
                  <c:v>6133.5367483224518</c:v>
                </c:pt>
                <c:pt idx="17">
                  <c:v>7502.696836723695</c:v>
                </c:pt>
                <c:pt idx="18">
                  <c:v>9186.413165594342</c:v>
                </c:pt>
                <c:pt idx="19">
                  <c:v>11209.235367706928</c:v>
                </c:pt>
                <c:pt idx="20">
                  <c:v>13588.979049254334</c:v>
                </c:pt>
                <c:pt idx="21">
                  <c:v>16335.93862197102</c:v>
                </c:pt>
                <c:pt idx="22">
                  <c:v>19452.475269297949</c:v>
                </c:pt>
                <c:pt idx="23">
                  <c:v>22932.970754032343</c:v>
                </c:pt>
                <c:pt idx="24">
                  <c:v>26764.116041108166</c:v>
                </c:pt>
                <c:pt idx="25">
                  <c:v>30925.487863396334</c:v>
                </c:pt>
                <c:pt idx="26">
                  <c:v>35390.356381692996</c:v>
                </c:pt>
                <c:pt idx="27">
                  <c:v>40126.662484979337</c:v>
                </c:pt>
                <c:pt idx="28">
                  <c:v>45098.103242823716</c:v>
                </c:pt>
                <c:pt idx="29">
                  <c:v>50265.267604334404</c:v>
                </c:pt>
                <c:pt idx="30">
                  <c:v>55586.770648552781</c:v>
                </c:pt>
                <c:pt idx="31">
                  <c:v>61020.342592509674</c:v>
                </c:pt>
                <c:pt idx="32">
                  <c:v>66523.837526683405</c:v>
                </c:pt>
                <c:pt idx="33">
                  <c:v>72056.135784605809</c:v>
                </c:pt>
                <c:pt idx="34">
                  <c:v>77577.922426751349</c:v>
                </c:pt>
                <c:pt idx="35">
                  <c:v>83052.332140060782</c:v>
                </c:pt>
                <c:pt idx="36">
                  <c:v>88445.457670560078</c:v>
                </c:pt>
                <c:pt idx="37">
                  <c:v>93726.72458140309</c:v>
                </c:pt>
                <c:pt idx="38">
                  <c:v>98869.139621444265</c:v>
                </c:pt>
                <c:pt idx="39">
                  <c:v>103849.42333272724</c:v>
                </c:pt>
                <c:pt idx="40">
                  <c:v>108648.03980452957</c:v>
                </c:pt>
                <c:pt idx="41">
                  <c:v>113249.13781694982</c:v>
                </c:pt>
                <c:pt idx="42">
                  <c:v>117640.41814788565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Power law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273.74550282176824</c:v>
                </c:pt>
                <c:pt idx="16">
                  <c:v>1358.4883921300006</c:v>
                </c:pt>
                <c:pt idx="17">
                  <c:v>2727.6484805312434</c:v>
                </c:pt>
                <c:pt idx="18">
                  <c:v>4411.3648094018899</c:v>
                </c:pt>
                <c:pt idx="19">
                  <c:v>6434.1870115144757</c:v>
                </c:pt>
                <c:pt idx="20">
                  <c:v>8813.9306930618823</c:v>
                </c:pt>
                <c:pt idx="21">
                  <c:v>11560.890265778567</c:v>
                </c:pt>
                <c:pt idx="22">
                  <c:v>14677.426913105499</c:v>
                </c:pt>
                <c:pt idx="23">
                  <c:v>18157.922397839895</c:v>
                </c:pt>
                <c:pt idx="24">
                  <c:v>21989.067684915717</c:v>
                </c:pt>
                <c:pt idx="25">
                  <c:v>26150.439507203886</c:v>
                </c:pt>
                <c:pt idx="26">
                  <c:v>30615.308025500548</c:v>
                </c:pt>
                <c:pt idx="27">
                  <c:v>35351.614128786889</c:v>
                </c:pt>
                <c:pt idx="28">
                  <c:v>40323.054886631267</c:v>
                </c:pt>
                <c:pt idx="29">
                  <c:v>45490.219248141955</c:v>
                </c:pt>
                <c:pt idx="30">
                  <c:v>50811.722292360333</c:v>
                </c:pt>
                <c:pt idx="31">
                  <c:v>56245.294236317226</c:v>
                </c:pt>
                <c:pt idx="32">
                  <c:v>61748.789170490949</c:v>
                </c:pt>
                <c:pt idx="33">
                  <c:v>67281.087428413361</c:v>
                </c:pt>
                <c:pt idx="34">
                  <c:v>72802.874070558901</c:v>
                </c:pt>
                <c:pt idx="35">
                  <c:v>78277.283783868334</c:v>
                </c:pt>
                <c:pt idx="36">
                  <c:v>83670.409314367629</c:v>
                </c:pt>
                <c:pt idx="37">
                  <c:v>88951.676225210642</c:v>
                </c:pt>
                <c:pt idx="38">
                  <c:v>94094.091265251816</c:v>
                </c:pt>
                <c:pt idx="39">
                  <c:v>99074.374976534789</c:v>
                </c:pt>
                <c:pt idx="40">
                  <c:v>103872.99144833712</c:v>
                </c:pt>
                <c:pt idx="41">
                  <c:v>108474.08946075737</c:v>
                </c:pt>
                <c:pt idx="42">
                  <c:v>112865.3697916932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'Cumul_confirmed - Power law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Power law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 formatCode="0">
                  <c:v>7</c:v>
                </c:pt>
                <c:pt idx="5" formatCode="0">
                  <c:v>10</c:v>
                </c:pt>
                <c:pt idx="6" formatCode="0">
                  <c:v>12</c:v>
                </c:pt>
                <c:pt idx="7" formatCode="0">
                  <c:v>17</c:v>
                </c:pt>
                <c:pt idx="8" formatCode="0">
                  <c:v>21</c:v>
                </c:pt>
                <c:pt idx="9" formatCode="0">
                  <c:v>29</c:v>
                </c:pt>
                <c:pt idx="10" formatCode="0">
                  <c:v>34</c:v>
                </c:pt>
                <c:pt idx="11" formatCode="0">
                  <c:v>52</c:v>
                </c:pt>
                <c:pt idx="12" formatCode="0">
                  <c:v>79</c:v>
                </c:pt>
                <c:pt idx="13" formatCode="0">
                  <c:v>107</c:v>
                </c:pt>
                <c:pt idx="14" formatCode="0">
                  <c:v>148</c:v>
                </c:pt>
                <c:pt idx="15" formatCode="0">
                  <c:v>197</c:v>
                </c:pt>
                <c:pt idx="16" formatCode="0">
                  <c:v>233</c:v>
                </c:pt>
                <c:pt idx="17" formatCode="0">
                  <c:v>366</c:v>
                </c:pt>
                <c:pt idx="18" formatCode="0">
                  <c:v>463</c:v>
                </c:pt>
                <c:pt idx="19" formatCode="0">
                  <c:v>631</c:v>
                </c:pt>
                <c:pt idx="20" formatCode="0">
                  <c:v>827</c:v>
                </c:pt>
                <c:pt idx="21" formatCode="0">
                  <c:v>1016</c:v>
                </c:pt>
                <c:pt idx="22" formatCode="0">
                  <c:v>1266</c:v>
                </c:pt>
                <c:pt idx="23" formatCode="0">
                  <c:v>1441</c:v>
                </c:pt>
                <c:pt idx="24" formatCode="0">
                  <c:v>1809</c:v>
                </c:pt>
                <c:pt idx="25" formatCode="0">
                  <c:v>2158</c:v>
                </c:pt>
                <c:pt idx="26" formatCode="0">
                  <c:v>2503</c:v>
                </c:pt>
                <c:pt idx="27" formatCode="0">
                  <c:v>2978</c:v>
                </c:pt>
                <c:pt idx="28" formatCode="0">
                  <c:v>3405</c:v>
                </c:pt>
                <c:pt idx="29" formatCode="0">
                  <c:v>4032</c:v>
                </c:pt>
                <c:pt idx="30" formatCode="0">
                  <c:v>4825</c:v>
                </c:pt>
                <c:pt idx="31" formatCode="0">
                  <c:v>5476</c:v>
                </c:pt>
                <c:pt idx="32" formatCode="0">
                  <c:v>6077</c:v>
                </c:pt>
                <c:pt idx="33" formatCode="0">
                  <c:v>6820</c:v>
                </c:pt>
                <c:pt idx="34" formatCode="0">
                  <c:v>7503</c:v>
                </c:pt>
                <c:pt idx="35" formatCode="0">
                  <c:v>8165</c:v>
                </c:pt>
                <c:pt idx="36" formatCode="0">
                  <c:v>9134</c:v>
                </c:pt>
                <c:pt idx="37" formatCode="0">
                  <c:v>10023</c:v>
                </c:pt>
                <c:pt idx="38" formatCode="0">
                  <c:v>10779</c:v>
                </c:pt>
                <c:pt idx="39" formatCode="0">
                  <c:v>11591</c:v>
                </c:pt>
                <c:pt idx="40" formatCode="0">
                  <c:v>12428</c:v>
                </c:pt>
                <c:pt idx="41" formatCode="0">
                  <c:v>13155</c:v>
                </c:pt>
                <c:pt idx="42" formatCode="0">
                  <c:v>13915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Power law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fit'!$I$7:$I$70</c:f>
              <c:numCache>
                <c:formatCode>General</c:formatCode>
                <c:ptCount val="64"/>
                <c:pt idx="0">
                  <c:v>2.7337176731667208E-7</c:v>
                </c:pt>
                <c:pt idx="1">
                  <c:v>6.4096129373139105E-5</c:v>
                </c:pt>
                <c:pt idx="2">
                  <c:v>1.4702966158456629E-3</c:v>
                </c:pt>
                <c:pt idx="3">
                  <c:v>1.3023782208814862E-2</c:v>
                </c:pt>
                <c:pt idx="4">
                  <c:v>6.8500367569942766E-2</c:v>
                </c:pt>
                <c:pt idx="5">
                  <c:v>0.25912443675143226</c:v>
                </c:pt>
                <c:pt idx="6">
                  <c:v>0.78088232608451169</c:v>
                </c:pt>
                <c:pt idx="7">
                  <c:v>1.9926448041364195</c:v>
                </c:pt>
                <c:pt idx="8">
                  <c:v>4.4785649387783595</c:v>
                </c:pt>
                <c:pt idx="9">
                  <c:v>9.1072597635718946</c:v>
                </c:pt>
                <c:pt idx="10">
                  <c:v>17.08066755455831</c:v>
                </c:pt>
                <c:pt idx="11">
                  <c:v>29.966810928227702</c:v>
                </c:pt>
                <c:pt idx="12">
                  <c:v>49.712575739799057</c:v>
                </c:pt>
                <c:pt idx="13">
                  <c:v>78.63467507752388</c:v>
                </c:pt>
                <c:pt idx="14">
                  <c:v>119.38892982049771</c:v>
                </c:pt>
                <c:pt idx="15">
                  <c:v>174.91967664916905</c:v>
                </c:pt>
                <c:pt idx="16">
                  <c:v>248.39240767811464</c:v>
                </c:pt>
                <c:pt idx="17">
                  <c:v>343.11361622773876</c:v>
                </c:pt>
                <c:pt idx="18">
                  <c:v>462.44228307303405</c:v>
                </c:pt>
                <c:pt idx="19">
                  <c:v>609.69753203859761</c:v>
                </c:pt>
                <c:pt idx="20">
                  <c:v>788.06677716765967</c:v>
                </c:pt>
                <c:pt idx="21">
                  <c:v>1000.5182478708707</c:v>
                </c:pt>
                <c:pt idx="22">
                  <c:v>1249.7211852310752</c:v>
                </c:pt>
                <c:pt idx="23">
                  <c:v>1537.9763180711896</c:v>
                </c:pt>
                <c:pt idx="24">
                  <c:v>1867.1585085323197</c:v>
                </c:pt>
                <c:pt idx="25">
                  <c:v>2238.6727501754958</c:v>
                </c:pt>
                <c:pt idx="26">
                  <c:v>2653.4240424498817</c:v>
                </c:pt>
                <c:pt idx="27">
                  <c:v>3111.8010787446037</c:v>
                </c:pt>
                <c:pt idx="28">
                  <c:v>3613.6731867693657</c:v>
                </c:pt>
                <c:pt idx="29">
                  <c:v>4158.3995573151133</c:v>
                </c:pt>
                <c:pt idx="30">
                  <c:v>4744.8494916733089</c:v>
                </c:pt>
                <c:pt idx="31">
                  <c:v>5371.4321852908524</c:v>
                </c:pt>
                <c:pt idx="32">
                  <c:v>6036.1344381463496</c:v>
                </c:pt>
                <c:pt idx="33">
                  <c:v>6736.5646309991798</c:v>
                </c:pt>
                <c:pt idx="34">
                  <c:v>7470.0013198789229</c:v>
                </c:pt>
                <c:pt idx="35">
                  <c:v>8233.4448672285162</c:v>
                </c:pt>
                <c:pt idx="36">
                  <c:v>9023.6706354132311</c:v>
                </c:pt>
                <c:pt idx="37">
                  <c:v>9837.2824059122067</c:v>
                </c:pt>
                <c:pt idx="38">
                  <c:v>10670.764845437536</c:v>
                </c:pt>
                <c:pt idx="39">
                  <c:v>11520.534009673471</c:v>
                </c:pt>
                <c:pt idx="40">
                  <c:v>12382.98504877031</c:v>
                </c:pt>
                <c:pt idx="41">
                  <c:v>13254.536449946771</c:v>
                </c:pt>
                <c:pt idx="42">
                  <c:v>14131.670316603775</c:v>
                </c:pt>
                <c:pt idx="43">
                  <c:v>15010.968336469452</c:v>
                </c:pt>
                <c:pt idx="44">
                  <c:v>15889.143230797265</c:v>
                </c:pt>
                <c:pt idx="45">
                  <c:v>16763.065600790167</c:v>
                </c:pt>
                <c:pt idx="46">
                  <c:v>17629.786195300298</c:v>
                </c:pt>
                <c:pt idx="47">
                  <c:v>18486.553715210393</c:v>
                </c:pt>
                <c:pt idx="48">
                  <c:v>19330.828345038506</c:v>
                </c:pt>
                <c:pt idx="49">
                  <c:v>20160.291261946473</c:v>
                </c:pt>
                <c:pt idx="50">
                  <c:v>20972.850417515561</c:v>
                </c:pt>
                <c:pt idx="51">
                  <c:v>21766.642919637674</c:v>
                </c:pt>
                <c:pt idx="52">
                  <c:v>22540.034362052262</c:v>
                </c:pt>
                <c:pt idx="53">
                  <c:v>23291.615458901801</c:v>
                </c:pt>
                <c:pt idx="54">
                  <c:v>24020.19634265063</c:v>
                </c:pt>
                <c:pt idx="55">
                  <c:v>24724.798877254289</c:v>
                </c:pt>
                <c:pt idx="56">
                  <c:v>25404.647325945738</c:v>
                </c:pt>
                <c:pt idx="57">
                  <c:v>26059.15769569574</c:v>
                </c:pt>
                <c:pt idx="58">
                  <c:v>26687.926059473379</c:v>
                </c:pt>
                <c:pt idx="59">
                  <c:v>27290.716133922306</c:v>
                </c:pt>
                <c:pt idx="60">
                  <c:v>27867.446364898005</c:v>
                </c:pt>
                <c:pt idx="61">
                  <c:v>28418.176747276557</c:v>
                </c:pt>
                <c:pt idx="62">
                  <c:v>28943.095579219691</c:v>
                </c:pt>
                <c:pt idx="63">
                  <c:v>29442.506325222792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6-4915-A43B-0A60333EECA0}"/>
            </c:ext>
          </c:extLst>
        </c:ser>
        <c:ser>
          <c:idx val="6"/>
          <c:order val="6"/>
          <c:tx>
            <c:strRef>
              <c:f>'Cumul_confirmed - Power law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fit'!$J$7:$J$70</c:f>
              <c:numCache>
                <c:formatCode>0</c:formatCode>
                <c:ptCount val="64"/>
                <c:pt idx="0">
                  <c:v>167.33586812149082</c:v>
                </c:pt>
                <c:pt idx="1">
                  <c:v>167.33593194424841</c:v>
                </c:pt>
                <c:pt idx="2">
                  <c:v>167.3373381447349</c:v>
                </c:pt>
                <c:pt idx="3">
                  <c:v>167.34889163032787</c:v>
                </c:pt>
                <c:pt idx="4">
                  <c:v>167.404368215689</c:v>
                </c:pt>
                <c:pt idx="5">
                  <c:v>167.59499228487047</c:v>
                </c:pt>
                <c:pt idx="6">
                  <c:v>168.11675017420356</c:v>
                </c:pt>
                <c:pt idx="7">
                  <c:v>169.32851265225548</c:v>
                </c:pt>
                <c:pt idx="8">
                  <c:v>171.81443278689741</c:v>
                </c:pt>
                <c:pt idx="9">
                  <c:v>176.44312761169095</c:v>
                </c:pt>
                <c:pt idx="10">
                  <c:v>184.41653540267737</c:v>
                </c:pt>
                <c:pt idx="11">
                  <c:v>197.30267877634674</c:v>
                </c:pt>
                <c:pt idx="12">
                  <c:v>217.04844358791811</c:v>
                </c:pt>
                <c:pt idx="13">
                  <c:v>245.97054292564292</c:v>
                </c:pt>
                <c:pt idx="14">
                  <c:v>286.72479766861676</c:v>
                </c:pt>
                <c:pt idx="15">
                  <c:v>342.2555444972881</c:v>
                </c:pt>
                <c:pt idx="16">
                  <c:v>415.72827552623369</c:v>
                </c:pt>
                <c:pt idx="17">
                  <c:v>510.44948407585781</c:v>
                </c:pt>
                <c:pt idx="18">
                  <c:v>629.77815092115316</c:v>
                </c:pt>
                <c:pt idx="19">
                  <c:v>777.03339988671667</c:v>
                </c:pt>
                <c:pt idx="20">
                  <c:v>955.40264501577872</c:v>
                </c:pt>
                <c:pt idx="21">
                  <c:v>1167.8541157189898</c:v>
                </c:pt>
                <c:pt idx="22">
                  <c:v>1417.0570530791942</c:v>
                </c:pt>
                <c:pt idx="23">
                  <c:v>1705.3121859193086</c:v>
                </c:pt>
                <c:pt idx="24">
                  <c:v>2034.4943763804388</c:v>
                </c:pt>
                <c:pt idx="25">
                  <c:v>2406.0086180236149</c:v>
                </c:pt>
                <c:pt idx="26">
                  <c:v>2820.7599102980007</c:v>
                </c:pt>
                <c:pt idx="27">
                  <c:v>3279.1369465927228</c:v>
                </c:pt>
                <c:pt idx="28">
                  <c:v>3781.0090546174847</c:v>
                </c:pt>
                <c:pt idx="29">
                  <c:v>4325.7354251632323</c:v>
                </c:pt>
                <c:pt idx="30">
                  <c:v>4912.1853595214279</c:v>
                </c:pt>
                <c:pt idx="31">
                  <c:v>5538.7680531389715</c:v>
                </c:pt>
                <c:pt idx="32">
                  <c:v>6203.4703059944686</c:v>
                </c:pt>
                <c:pt idx="33">
                  <c:v>6903.9004988472989</c:v>
                </c:pt>
                <c:pt idx="34">
                  <c:v>7637.337187727042</c:v>
                </c:pt>
                <c:pt idx="35">
                  <c:v>8400.7807350766343</c:v>
                </c:pt>
                <c:pt idx="36">
                  <c:v>9191.0065032613493</c:v>
                </c:pt>
                <c:pt idx="37">
                  <c:v>10004.618273760327</c:v>
                </c:pt>
                <c:pt idx="38">
                  <c:v>10838.100713285654</c:v>
                </c:pt>
                <c:pt idx="39">
                  <c:v>11687.869877521589</c:v>
                </c:pt>
                <c:pt idx="40">
                  <c:v>12550.320916618428</c:v>
                </c:pt>
                <c:pt idx="41">
                  <c:v>13421.872317794889</c:v>
                </c:pt>
                <c:pt idx="42">
                  <c:v>14299.006184451893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6-4915-A43B-0A60333EECA0}"/>
            </c:ext>
          </c:extLst>
        </c:ser>
        <c:ser>
          <c:idx val="7"/>
          <c:order val="7"/>
          <c:tx>
            <c:strRef>
              <c:f>'Cumul_confirmed - Power law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7.5838088010499973</c:v>
                </c:pt>
                <c:pt idx="16">
                  <c:v>81.056539829995586</c:v>
                </c:pt>
                <c:pt idx="17">
                  <c:v>175.77774837961971</c:v>
                </c:pt>
                <c:pt idx="18">
                  <c:v>295.106415224915</c:v>
                </c:pt>
                <c:pt idx="19">
                  <c:v>442.36166419047856</c:v>
                </c:pt>
                <c:pt idx="20">
                  <c:v>620.73090931954061</c:v>
                </c:pt>
                <c:pt idx="21">
                  <c:v>833.18238002275166</c:v>
                </c:pt>
                <c:pt idx="22">
                  <c:v>1082.3853173829561</c:v>
                </c:pt>
                <c:pt idx="23">
                  <c:v>1370.6404502230705</c:v>
                </c:pt>
                <c:pt idx="24">
                  <c:v>1699.8226406842007</c:v>
                </c:pt>
                <c:pt idx="25">
                  <c:v>2071.3368823273768</c:v>
                </c:pt>
                <c:pt idx="26">
                  <c:v>2486.0881746017626</c:v>
                </c:pt>
                <c:pt idx="27">
                  <c:v>2944.4652108964847</c:v>
                </c:pt>
                <c:pt idx="28">
                  <c:v>3446.3373189212466</c:v>
                </c:pt>
                <c:pt idx="29">
                  <c:v>3991.0636894669942</c:v>
                </c:pt>
                <c:pt idx="30">
                  <c:v>4577.5136238251898</c:v>
                </c:pt>
                <c:pt idx="31">
                  <c:v>5204.0963174427334</c:v>
                </c:pt>
                <c:pt idx="32">
                  <c:v>5868.7985702982305</c:v>
                </c:pt>
                <c:pt idx="33">
                  <c:v>6569.2287631510608</c:v>
                </c:pt>
                <c:pt idx="34">
                  <c:v>7302.6654520308039</c:v>
                </c:pt>
                <c:pt idx="35">
                  <c:v>8066.1089993803971</c:v>
                </c:pt>
                <c:pt idx="36">
                  <c:v>8856.334767565113</c:v>
                </c:pt>
                <c:pt idx="37">
                  <c:v>9669.9465380640868</c:v>
                </c:pt>
                <c:pt idx="38">
                  <c:v>10503.428977589418</c:v>
                </c:pt>
                <c:pt idx="39">
                  <c:v>11353.198141825353</c:v>
                </c:pt>
                <c:pt idx="40">
                  <c:v>12215.649180922192</c:v>
                </c:pt>
                <c:pt idx="41">
                  <c:v>13087.200582098652</c:v>
                </c:pt>
                <c:pt idx="42">
                  <c:v>13964.334448755657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 and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Power law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fit'!$E$7:$E$70</c:f>
              <c:numCache>
                <c:formatCode>0</c:formatCode>
                <c:ptCount val="64"/>
                <c:pt idx="0">
                  <c:v>3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  <c:pt idx="41">
                  <c:v>4782</c:v>
                </c:pt>
                <c:pt idx="42">
                  <c:v>4668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Power law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fit'!$G$7:$G$70</c:f>
              <c:numCache>
                <c:formatCode>0,000,000,000</c:formatCode>
                <c:ptCount val="64"/>
                <c:pt idx="0">
                  <c:v>6.0760980022814897E-6</c:v>
                </c:pt>
                <c:pt idx="1">
                  <c:v>1.2276368733962855E-3</c:v>
                </c:pt>
                <c:pt idx="2">
                  <c:v>2.4913078635694204E-2</c:v>
                </c:pt>
                <c:pt idx="3">
                  <c:v>0.19730903711419548</c:v>
                </c:pt>
                <c:pt idx="4">
                  <c:v>0.93315937936996396</c:v>
                </c:pt>
                <c:pt idx="5">
                  <c:v>3.1851973803881286</c:v>
                </c:pt>
                <c:pt idx="6">
                  <c:v>8.6812145789488326</c:v>
                </c:pt>
                <c:pt idx="7">
                  <c:v>20.0672483994034</c:v>
                </c:pt>
                <c:pt idx="8">
                  <c:v>40.903231567744456</c:v>
                </c:pt>
                <c:pt idx="9">
                  <c:v>75.496805081091907</c:v>
                </c:pt>
                <c:pt idx="10">
                  <c:v>128.59697959619263</c:v>
                </c:pt>
                <c:pt idx="11">
                  <c:v>204.99392734122785</c:v>
                </c:pt>
                <c:pt idx="12">
                  <c:v>309.08223031750242</c:v>
                </c:pt>
                <c:pt idx="13">
                  <c:v>444.44398752103399</c:v>
                </c:pt>
                <c:pt idx="14">
                  <c:v>613.49869170920567</c:v>
                </c:pt>
                <c:pt idx="15">
                  <c:v>817.25252148839877</c:v>
                </c:pt>
                <c:pt idx="16">
                  <c:v>1055.1640048568283</c:v>
                </c:pt>
                <c:pt idx="17">
                  <c:v>1325.1284000388137</c:v>
                </c:pt>
                <c:pt idx="18">
                  <c:v>1623.5711855030606</c:v>
                </c:pt>
                <c:pt idx="19">
                  <c:v>1945.6325018709792</c:v>
                </c:pt>
                <c:pt idx="20">
                  <c:v>2285.4193477401277</c:v>
                </c:pt>
                <c:pt idx="21">
                  <c:v>2636.300462717249</c:v>
                </c:pt>
                <c:pt idx="22">
                  <c:v>2991.2195439235675</c:v>
                </c:pt>
                <c:pt idx="23">
                  <c:v>3343.0050434224677</c:v>
                </c:pt>
                <c:pt idx="24">
                  <c:v>3684.6585957664674</c:v>
                </c:pt>
                <c:pt idx="25">
                  <c:v>4009.6085154795396</c:v>
                </c:pt>
                <c:pt idx="26">
                  <c:v>4311.919285775667</c:v>
                </c:pt>
                <c:pt idx="27">
                  <c:v>4586.4521609062303</c:v>
                </c:pt>
                <c:pt idx="28">
                  <c:v>4828.9756767281879</c:v>
                </c:pt>
                <c:pt idx="29">
                  <c:v>5036.2278671502991</c:v>
                </c:pt>
                <c:pt idx="30">
                  <c:v>5205.9342662200652</c:v>
                </c:pt>
                <c:pt idx="31">
                  <c:v>5336.7873519484892</c:v>
                </c:pt>
                <c:pt idx="32">
                  <c:v>5428.3940203054299</c:v>
                </c:pt>
                <c:pt idx="33">
                  <c:v>5481.1980565648901</c:v>
                </c:pt>
                <c:pt idx="34">
                  <c:v>5496.384500664145</c:v>
                </c:pt>
                <c:pt idx="35">
                  <c:v>5475.7723903788774</c:v>
                </c:pt>
                <c:pt idx="36">
                  <c:v>5421.7017123104833</c:v>
                </c:pt>
                <c:pt idx="37">
                  <c:v>5336.9195865406173</c:v>
                </c:pt>
                <c:pt idx="38">
                  <c:v>5224.4698331908339</c:v>
                </c:pt>
                <c:pt idx="39">
                  <c:v>5087.5891800091176</c:v>
                </c:pt>
                <c:pt idx="40">
                  <c:v>4929.6125167790633</c:v>
                </c:pt>
                <c:pt idx="41">
                  <c:v>4753.8888185053593</c:v>
                </c:pt>
                <c:pt idx="42">
                  <c:v>4563.7086667226486</c:v>
                </c:pt>
                <c:pt idx="43">
                  <c:v>4362.2437086326254</c:v>
                </c:pt>
                <c:pt idx="44">
                  <c:v>4152.497910785657</c:v>
                </c:pt>
                <c:pt idx="45">
                  <c:v>3937.2700852402004</c:v>
                </c:pt>
                <c:pt idx="46">
                  <c:v>3719.1268846983153</c:v>
                </c:pt>
                <c:pt idx="47">
                  <c:v>3500.3852692550749</c:v>
                </c:pt>
                <c:pt idx="48">
                  <c:v>3283.1033296687506</c:v>
                </c:pt>
                <c:pt idx="49">
                  <c:v>3069.0782983354347</c:v>
                </c:pt>
                <c:pt idx="50">
                  <c:v>2859.8505773947786</c:v>
                </c:pt>
                <c:pt idx="51">
                  <c:v>2656.7126521902751</c:v>
                </c:pt>
                <c:pt idx="52">
                  <c:v>2460.7218272441123</c:v>
                </c:pt>
                <c:pt idx="53">
                  <c:v>2272.7158117879558</c:v>
                </c:pt>
                <c:pt idx="54">
                  <c:v>2093.3302848410976</c:v>
                </c:pt>
                <c:pt idx="55">
                  <c:v>1923.0176793077312</c:v>
                </c:pt>
                <c:pt idx="56">
                  <c:v>1762.0665353119768</c:v>
                </c:pt>
                <c:pt idx="57">
                  <c:v>1610.6208809265136</c:v>
                </c:pt>
                <c:pt idx="58">
                  <c:v>1468.6992005564648</c:v>
                </c:pt>
                <c:pt idx="59">
                  <c:v>1336.2126454106381</c:v>
                </c:pt>
                <c:pt idx="60">
                  <c:v>1212.9822254014273</c:v>
                </c:pt>
                <c:pt idx="61">
                  <c:v>1098.7547967700391</c:v>
                </c:pt>
                <c:pt idx="62">
                  <c:v>993.21772455232349</c:v>
                </c:pt>
                <c:pt idx="63">
                  <c:v>896.01215388824949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Power law fit'!$H$6</c:f>
              <c:strCache>
                <c:ptCount val="1"/>
                <c:pt idx="0">
                  <c:v>C_Upper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fit'!$H$7:$H$70</c:f>
              <c:numCache>
                <c:formatCode>0</c:formatCode>
                <c:ptCount val="64"/>
                <c:pt idx="0">
                  <c:v>978.86706515773551</c:v>
                </c:pt>
                <c:pt idx="1">
                  <c:v>978.86828671851094</c:v>
                </c:pt>
                <c:pt idx="2">
                  <c:v>978.89197216027321</c:v>
                </c:pt>
                <c:pt idx="3">
                  <c:v>979.06436811875176</c:v>
                </c:pt>
                <c:pt idx="4">
                  <c:v>979.80021846100749</c:v>
                </c:pt>
                <c:pt idx="5">
                  <c:v>982.05225646202564</c:v>
                </c:pt>
                <c:pt idx="6">
                  <c:v>987.54827366058635</c:v>
                </c:pt>
                <c:pt idx="7">
                  <c:v>998.93430748104095</c:v>
                </c:pt>
                <c:pt idx="8">
                  <c:v>1019.770290649382</c:v>
                </c:pt>
                <c:pt idx="9">
                  <c:v>1054.3638641627294</c:v>
                </c:pt>
                <c:pt idx="10">
                  <c:v>1107.4640386778301</c:v>
                </c:pt>
                <c:pt idx="11">
                  <c:v>1183.8609864228654</c:v>
                </c:pt>
                <c:pt idx="12">
                  <c:v>1287.9492893991401</c:v>
                </c:pt>
                <c:pt idx="13">
                  <c:v>1423.3110466026715</c:v>
                </c:pt>
                <c:pt idx="14">
                  <c:v>1592.3657507908433</c:v>
                </c:pt>
                <c:pt idx="15">
                  <c:v>1796.1195805700363</c:v>
                </c:pt>
                <c:pt idx="16">
                  <c:v>2034.0310639384659</c:v>
                </c:pt>
                <c:pt idx="17">
                  <c:v>2303.9954591204514</c:v>
                </c:pt>
                <c:pt idx="18">
                  <c:v>2602.4382445846982</c:v>
                </c:pt>
                <c:pt idx="19">
                  <c:v>2924.4995609526168</c:v>
                </c:pt>
                <c:pt idx="20">
                  <c:v>3264.286406821765</c:v>
                </c:pt>
                <c:pt idx="21">
                  <c:v>3615.1675217988868</c:v>
                </c:pt>
                <c:pt idx="22">
                  <c:v>3970.0866030052048</c:v>
                </c:pt>
                <c:pt idx="23">
                  <c:v>4321.872102504105</c:v>
                </c:pt>
                <c:pt idx="24">
                  <c:v>4663.5256548481048</c:v>
                </c:pt>
                <c:pt idx="25">
                  <c:v>4988.4755745611774</c:v>
                </c:pt>
                <c:pt idx="26">
                  <c:v>5290.7863448573044</c:v>
                </c:pt>
                <c:pt idx="27">
                  <c:v>5565.3192199878677</c:v>
                </c:pt>
                <c:pt idx="28">
                  <c:v>5807.8427358098252</c:v>
                </c:pt>
                <c:pt idx="29">
                  <c:v>6015.0949262319364</c:v>
                </c:pt>
                <c:pt idx="30">
                  <c:v>6184.8013253017025</c:v>
                </c:pt>
                <c:pt idx="31">
                  <c:v>6315.6544110301265</c:v>
                </c:pt>
                <c:pt idx="32">
                  <c:v>6407.2610793870672</c:v>
                </c:pt>
                <c:pt idx="33">
                  <c:v>6460.0651156465274</c:v>
                </c:pt>
                <c:pt idx="34">
                  <c:v>6475.2515597457823</c:v>
                </c:pt>
                <c:pt idx="35">
                  <c:v>6454.6394494605147</c:v>
                </c:pt>
                <c:pt idx="36">
                  <c:v>6400.5687713921207</c:v>
                </c:pt>
                <c:pt idx="37">
                  <c:v>6315.7866456222546</c:v>
                </c:pt>
                <c:pt idx="38">
                  <c:v>6203.3368922724712</c:v>
                </c:pt>
                <c:pt idx="39">
                  <c:v>6066.4562390907549</c:v>
                </c:pt>
                <c:pt idx="40">
                  <c:v>5908.4795758607006</c:v>
                </c:pt>
                <c:pt idx="41">
                  <c:v>5732.7558775869966</c:v>
                </c:pt>
                <c:pt idx="42">
                  <c:v>5542.5757258042859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Power law fit'!$I$6</c:f>
              <c:strCache>
                <c:ptCount val="1"/>
                <c:pt idx="0">
                  <c:v>C_Lower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76.296945775190807</c:v>
                </c:pt>
                <c:pt idx="17">
                  <c:v>346.26134095717612</c:v>
                </c:pt>
                <c:pt idx="18">
                  <c:v>644.7041264214231</c:v>
                </c:pt>
                <c:pt idx="19">
                  <c:v>966.76544278934171</c:v>
                </c:pt>
                <c:pt idx="20">
                  <c:v>1306.5522886584902</c:v>
                </c:pt>
                <c:pt idx="21">
                  <c:v>1657.4334036356115</c:v>
                </c:pt>
                <c:pt idx="22">
                  <c:v>2012.3524848419299</c:v>
                </c:pt>
                <c:pt idx="23">
                  <c:v>2364.1379843408304</c:v>
                </c:pt>
                <c:pt idx="24">
                  <c:v>2705.7915366848301</c:v>
                </c:pt>
                <c:pt idx="25">
                  <c:v>3030.7414563979019</c:v>
                </c:pt>
                <c:pt idx="26">
                  <c:v>3333.0522266940297</c:v>
                </c:pt>
                <c:pt idx="27">
                  <c:v>3607.585101824593</c:v>
                </c:pt>
                <c:pt idx="28">
                  <c:v>3850.1086176465506</c:v>
                </c:pt>
                <c:pt idx="29">
                  <c:v>4057.3608080686618</c:v>
                </c:pt>
                <c:pt idx="30">
                  <c:v>4227.0672071384279</c:v>
                </c:pt>
                <c:pt idx="31">
                  <c:v>4357.9202928668519</c:v>
                </c:pt>
                <c:pt idx="32">
                  <c:v>4449.5269612237926</c:v>
                </c:pt>
                <c:pt idx="33">
                  <c:v>4502.3309974832528</c:v>
                </c:pt>
                <c:pt idx="34">
                  <c:v>4517.5174415825077</c:v>
                </c:pt>
                <c:pt idx="35">
                  <c:v>4496.9053312972401</c:v>
                </c:pt>
                <c:pt idx="36">
                  <c:v>4442.834653228846</c:v>
                </c:pt>
                <c:pt idx="37">
                  <c:v>4358.05252745898</c:v>
                </c:pt>
                <c:pt idx="38">
                  <c:v>4245.6027741091966</c:v>
                </c:pt>
                <c:pt idx="39">
                  <c:v>4108.7221209274803</c:v>
                </c:pt>
                <c:pt idx="40">
                  <c:v>3950.745457697426</c:v>
                </c:pt>
                <c:pt idx="41">
                  <c:v>3775.021759423722</c:v>
                </c:pt>
                <c:pt idx="42">
                  <c:v>3584.8416076410113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ser>
          <c:idx val="4"/>
          <c:order val="4"/>
          <c:tx>
            <c:strRef>
              <c:f>'New_confirmed - Power law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Power law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  <c:pt idx="41">
                  <c:v>727</c:v>
                </c:pt>
                <c:pt idx="42">
                  <c:v>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'New_confirmed - Power law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fit'!$M$7:$M$70</c:f>
              <c:numCache>
                <c:formatCode>0,000,000,000</c:formatCode>
                <c:ptCount val="64"/>
                <c:pt idx="0">
                  <c:v>2.4496944250362323E-6</c:v>
                </c:pt>
                <c:pt idx="1">
                  <c:v>2.7587132570143871E-4</c:v>
                </c:pt>
                <c:pt idx="2">
                  <c:v>4.0858446609005608E-3</c:v>
                </c:pt>
                <c:pt idx="3">
                  <c:v>2.6372387901185099E-2</c:v>
                </c:pt>
                <c:pt idx="4">
                  <c:v>0.10798648513004873</c:v>
                </c:pt>
                <c:pt idx="5">
                  <c:v>0.33156828990430076</c:v>
                </c:pt>
                <c:pt idx="6">
                  <c:v>0.8346491335309143</c:v>
                </c:pt>
                <c:pt idx="7">
                  <c:v>1.8167235174894723</c:v>
                </c:pt>
                <c:pt idx="8">
                  <c:v>3.5387083334980876</c:v>
                </c:pt>
                <c:pt idx="9">
                  <c:v>6.3147626809464308</c:v>
                </c:pt>
                <c:pt idx="10">
                  <c:v>10.497608913913393</c:v>
                </c:pt>
                <c:pt idx="11">
                  <c:v>16.459205311562467</c:v>
                </c:pt>
                <c:pt idx="12">
                  <c:v>24.568913743099433</c:v>
                </c:pt>
                <c:pt idx="13">
                  <c:v>35.171271184731097</c:v>
                </c:pt>
                <c:pt idx="14">
                  <c:v>48.565213602899384</c:v>
                </c:pt>
                <c:pt idx="15">
                  <c:v>64.986208787671345</c:v>
                </c:pt>
                <c:pt idx="16">
                  <c:v>84.592308759272655</c:v>
                </c:pt>
                <c:pt idx="17">
                  <c:v>107.45469039832852</c:v>
                </c:pt>
                <c:pt idx="18">
                  <c:v>133.55285423643562</c:v>
                </c:pt>
                <c:pt idx="19">
                  <c:v>162.77431902994215</c:v>
                </c:pt>
                <c:pt idx="20">
                  <c:v>194.91839415915007</c:v>
                </c:pt>
                <c:pt idx="21">
                  <c:v>229.70343391955055</c:v>
                </c:pt>
                <c:pt idx="22">
                  <c:v>266.776871825954</c:v>
                </c:pt>
                <c:pt idx="23">
                  <c:v>305.72728962768377</c:v>
                </c:pt>
                <c:pt idx="24">
                  <c:v>346.09778336969748</c:v>
                </c:pt>
                <c:pt idx="25">
                  <c:v>387.39993557269395</c:v>
                </c:pt>
                <c:pt idx="26">
                  <c:v>429.12777700675343</c:v>
                </c:pt>
                <c:pt idx="27">
                  <c:v>470.77121332371178</c:v>
                </c:pt>
                <c:pt idx="28">
                  <c:v>511.82849223749957</c:v>
                </c:pt>
                <c:pt idx="29">
                  <c:v>551.81738889872793</c:v>
                </c:pt>
                <c:pt idx="30">
                  <c:v>590.28488513879802</c:v>
                </c:pt>
                <c:pt idx="31">
                  <c:v>626.81520841975737</c:v>
                </c:pt>
                <c:pt idx="32">
                  <c:v>661.03617602212626</c:v>
                </c:pt>
                <c:pt idx="33">
                  <c:v>692.62385777140526</c:v>
                </c:pt>
                <c:pt idx="34">
                  <c:v>721.30562590269074</c:v>
                </c:pt>
                <c:pt idx="35">
                  <c:v>746.86170366240492</c:v>
                </c:pt>
                <c:pt idx="36">
                  <c:v>769.12535564201676</c:v>
                </c:pt>
                <c:pt idx="37">
                  <c:v>787.98188368645401</c:v>
                </c:pt>
                <c:pt idx="38">
                  <c:v>803.3666037960536</c:v>
                </c:pt>
                <c:pt idx="39">
                  <c:v>815.26198313040493</c:v>
                </c:pt>
                <c:pt idx="40">
                  <c:v>823.6941134298512</c:v>
                </c:pt>
                <c:pt idx="41">
                  <c:v>828.72868925420346</c:v>
                </c:pt>
                <c:pt idx="42">
                  <c:v>830.46664766334175</c:v>
                </c:pt>
                <c:pt idx="43">
                  <c:v>829.03961147192445</c:v>
                </c:pt>
                <c:pt idx="44">
                  <c:v>824.60526199997616</c:v>
                </c:pt>
                <c:pt idx="45">
                  <c:v>817.3427501638057</c:v>
                </c:pt>
                <c:pt idx="46">
                  <c:v>807.44823751129161</c:v>
                </c:pt>
                <c:pt idx="47">
                  <c:v>795.13064196544622</c:v>
                </c:pt>
                <c:pt idx="48">
                  <c:v>780.60764703365783</c:v>
                </c:pt>
                <c:pt idx="49">
                  <c:v>764.10201838465082</c:v>
                </c:pt>
                <c:pt idx="50">
                  <c:v>745.83825820627135</c:v>
                </c:pt>
                <c:pt idx="51">
                  <c:v>726.03961576355857</c:v>
                </c:pt>
                <c:pt idx="52">
                  <c:v>704.92546213493404</c:v>
                </c:pt>
                <c:pt idx="53">
                  <c:v>682.70902821302786</c:v>
                </c:pt>
                <c:pt idx="54">
                  <c:v>659.59549766859504</c:v>
                </c:pt>
                <c:pt idx="55">
                  <c:v>635.78044060953607</c:v>
                </c:pt>
                <c:pt idx="56">
                  <c:v>611.44856901659114</c:v>
                </c:pt>
                <c:pt idx="57">
                  <c:v>586.77279158080717</c:v>
                </c:pt>
                <c:pt idx="58">
                  <c:v>561.9135431749495</c:v>
                </c:pt>
                <c:pt idx="59">
                  <c:v>537.01836272762637</c:v>
                </c:pt>
                <c:pt idx="60">
                  <c:v>512.22169260300302</c:v>
                </c:pt>
                <c:pt idx="61">
                  <c:v>487.6448725926324</c:v>
                </c:pt>
                <c:pt idx="62">
                  <c:v>463.39630217984097</c:v>
                </c:pt>
                <c:pt idx="63">
                  <c:v>439.57174572990806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ser>
          <c:idx val="6"/>
          <c:order val="6"/>
          <c:tx>
            <c:strRef>
              <c:f>'New_confirmed - Power law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fit'!$N$7:$N$70</c:f>
              <c:numCache>
                <c:formatCode>0</c:formatCode>
                <c:ptCount val="64"/>
                <c:pt idx="0">
                  <c:v>130.09446290485113</c:v>
                </c:pt>
                <c:pt idx="1">
                  <c:v>130.0947363264824</c:v>
                </c:pt>
                <c:pt idx="2">
                  <c:v>130.0985462998176</c:v>
                </c:pt>
                <c:pt idx="3">
                  <c:v>130.12083284305788</c:v>
                </c:pt>
                <c:pt idx="4">
                  <c:v>130.20244694028676</c:v>
                </c:pt>
                <c:pt idx="5">
                  <c:v>130.42602874506102</c:v>
                </c:pt>
                <c:pt idx="6">
                  <c:v>130.92910958868762</c:v>
                </c:pt>
                <c:pt idx="7">
                  <c:v>131.91118397264617</c:v>
                </c:pt>
                <c:pt idx="8">
                  <c:v>133.63316878865479</c:v>
                </c:pt>
                <c:pt idx="9">
                  <c:v>136.40922313610315</c:v>
                </c:pt>
                <c:pt idx="10">
                  <c:v>140.59206936907009</c:v>
                </c:pt>
                <c:pt idx="11">
                  <c:v>146.55366576671918</c:v>
                </c:pt>
                <c:pt idx="12">
                  <c:v>154.66337419825615</c:v>
                </c:pt>
                <c:pt idx="13">
                  <c:v>165.2657316398878</c:v>
                </c:pt>
                <c:pt idx="14">
                  <c:v>178.65967405805608</c:v>
                </c:pt>
                <c:pt idx="15">
                  <c:v>195.08066924282804</c:v>
                </c:pt>
                <c:pt idx="16">
                  <c:v>214.68676921442938</c:v>
                </c:pt>
                <c:pt idx="17">
                  <c:v>237.54915085348523</c:v>
                </c:pt>
                <c:pt idx="18">
                  <c:v>263.64731469159233</c:v>
                </c:pt>
                <c:pt idx="19">
                  <c:v>292.86877948509886</c:v>
                </c:pt>
                <c:pt idx="20">
                  <c:v>325.01285461430678</c:v>
                </c:pt>
                <c:pt idx="21">
                  <c:v>359.79789437470725</c:v>
                </c:pt>
                <c:pt idx="22">
                  <c:v>396.87133228111071</c:v>
                </c:pt>
                <c:pt idx="23">
                  <c:v>435.82175008284048</c:v>
                </c:pt>
                <c:pt idx="24">
                  <c:v>476.19224382485419</c:v>
                </c:pt>
                <c:pt idx="25">
                  <c:v>517.4943960278506</c:v>
                </c:pt>
                <c:pt idx="26">
                  <c:v>559.22223746191014</c:v>
                </c:pt>
                <c:pt idx="27">
                  <c:v>600.86567377886854</c:v>
                </c:pt>
                <c:pt idx="28">
                  <c:v>641.92295269265628</c:v>
                </c:pt>
                <c:pt idx="29">
                  <c:v>681.91184935388469</c:v>
                </c:pt>
                <c:pt idx="30">
                  <c:v>720.37934559395467</c:v>
                </c:pt>
                <c:pt idx="31">
                  <c:v>756.90966887491413</c:v>
                </c:pt>
                <c:pt idx="32">
                  <c:v>791.13063647728291</c:v>
                </c:pt>
                <c:pt idx="33">
                  <c:v>822.71831822656191</c:v>
                </c:pt>
                <c:pt idx="34">
                  <c:v>851.40008635784739</c:v>
                </c:pt>
                <c:pt idx="35">
                  <c:v>876.95616411756168</c:v>
                </c:pt>
                <c:pt idx="36">
                  <c:v>899.21981609717341</c:v>
                </c:pt>
                <c:pt idx="37">
                  <c:v>918.07634414161066</c:v>
                </c:pt>
                <c:pt idx="38">
                  <c:v>933.46106425121025</c:v>
                </c:pt>
                <c:pt idx="39">
                  <c:v>945.35644358556169</c:v>
                </c:pt>
                <c:pt idx="40">
                  <c:v>953.78857388500796</c:v>
                </c:pt>
                <c:pt idx="41">
                  <c:v>958.82314970936022</c:v>
                </c:pt>
                <c:pt idx="42">
                  <c:v>960.5611081184984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9A-42E0-ADE0-2A064B8C186A}"/>
            </c:ext>
          </c:extLst>
        </c:ser>
        <c:ser>
          <c:idx val="7"/>
          <c:order val="7"/>
          <c:tx>
            <c:strRef>
              <c:f>'New_confirmed - Power law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3.4583937812789145</c:v>
                </c:pt>
                <c:pt idx="19">
                  <c:v>32.679858574785442</c:v>
                </c:pt>
                <c:pt idx="20">
                  <c:v>64.823933703993362</c:v>
                </c:pt>
                <c:pt idx="21">
                  <c:v>99.608973464393841</c:v>
                </c:pt>
                <c:pt idx="22">
                  <c:v>136.6824113707973</c:v>
                </c:pt>
                <c:pt idx="23">
                  <c:v>175.63282917252707</c:v>
                </c:pt>
                <c:pt idx="24">
                  <c:v>216.00332291454077</c:v>
                </c:pt>
                <c:pt idx="25">
                  <c:v>257.30547511753724</c:v>
                </c:pt>
                <c:pt idx="26">
                  <c:v>299.03331655159673</c:v>
                </c:pt>
                <c:pt idx="27">
                  <c:v>340.67675286855507</c:v>
                </c:pt>
                <c:pt idx="28">
                  <c:v>381.73403178234287</c:v>
                </c:pt>
                <c:pt idx="29">
                  <c:v>421.72292844357122</c:v>
                </c:pt>
                <c:pt idx="30">
                  <c:v>460.19042468364131</c:v>
                </c:pt>
                <c:pt idx="31">
                  <c:v>496.72074796460066</c:v>
                </c:pt>
                <c:pt idx="32">
                  <c:v>530.94171556696961</c:v>
                </c:pt>
                <c:pt idx="33">
                  <c:v>562.52939731624861</c:v>
                </c:pt>
                <c:pt idx="34">
                  <c:v>591.21116544753409</c:v>
                </c:pt>
                <c:pt idx="35">
                  <c:v>616.76724320724816</c:v>
                </c:pt>
                <c:pt idx="36">
                  <c:v>639.03089518686011</c:v>
                </c:pt>
                <c:pt idx="37">
                  <c:v>657.88742323129736</c:v>
                </c:pt>
                <c:pt idx="38">
                  <c:v>673.27214334089695</c:v>
                </c:pt>
                <c:pt idx="39">
                  <c:v>685.16752267524816</c:v>
                </c:pt>
                <c:pt idx="40">
                  <c:v>693.59965297469444</c:v>
                </c:pt>
                <c:pt idx="41">
                  <c:v>698.6342287990467</c:v>
                </c:pt>
                <c:pt idx="42">
                  <c:v>700.3721872081851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0</xdr:rowOff>
    </xdr:from>
    <xdr:to>
      <xdr:col>25</xdr:col>
      <xdr:colOff>99060</xdr:colOff>
      <xdr:row>37</xdr:row>
      <xdr:rowOff>144780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10022477" y="1284514"/>
          <a:ext cx="6938554" cy="6131923"/>
          <a:chOff x="6629400" y="1287780"/>
          <a:chExt cx="6941820" cy="5303521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87780"/>
          <a:ext cx="6941820" cy="53035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7508828" y="3697344"/>
            <a:ext cx="1828800" cy="11681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 167230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4.22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7.99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</a:rPr>
              <a:t>2</a:t>
            </a:r>
            <a:r>
              <a:rPr lang="it-IT" sz="1100" b="1" baseline="0">
                <a:solidFill>
                  <a:srgbClr val="0070C0"/>
                </a:solidFill>
              </a:rPr>
              <a:t>= 0.9989</a:t>
            </a:r>
          </a:p>
          <a:p>
            <a:r>
              <a:rPr lang="it-IT" sz="1100" b="1" i="1" baseline="0">
                <a:solidFill>
                  <a:srgbClr val="0070C0"/>
                </a:solidFill>
              </a:rPr>
              <a:t>CI</a:t>
            </a:r>
            <a:r>
              <a:rPr lang="it-IT" sz="1100" b="1" baseline="0">
                <a:solidFill>
                  <a:srgbClr val="0070C0"/>
                </a:solidFill>
              </a:rPr>
              <a:t>= 2419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  <a:p>
            <a:endParaRPr lang="it-IT" sz="1100" baseline="30000"/>
          </a:p>
        </xdr:txBody>
      </xdr:sp>
    </xdr:grpSp>
    <xdr:clientData/>
  </xdr:twoCellAnchor>
  <xdr:oneCellAnchor>
    <xdr:from>
      <xdr:col>15</xdr:col>
      <xdr:colOff>185057</xdr:colOff>
      <xdr:row>15</xdr:row>
      <xdr:rowOff>136076</xdr:rowOff>
    </xdr:from>
    <xdr:ext cx="3135086" cy="3102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E41171F6-92CD-40E0-8C04-B437DABCE7A4}"/>
                </a:ext>
              </a:extLst>
            </xdr:cNvPr>
            <xdr:cNvSpPr txBox="1"/>
          </xdr:nvSpPr>
          <xdr:spPr>
            <a:xfrm>
              <a:off x="10809514" y="3303819"/>
              <a:ext cx="3135086" cy="3102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y=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it-IT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it-IT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sup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𝑃</m:t>
                      </m:r>
                      <m:d>
                        <m:dPr>
                          <m:ctrlPr>
                            <a:rPr lang="it-IT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;</m:t>
                          </m:r>
                          <m:sSub>
                            <m:sSub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</m:d>
                    </m:e>
                  </m:nary>
                  <m:r>
                    <a:rPr lang="it-I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≈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d>
                    <m:dPr>
                      <m:begChr m:val="["/>
                      <m:endChr m:val="]"/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Γ</m:t>
                      </m:r>
                      <m:d>
                        <m:d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+1</m:t>
                          </m:r>
                        </m:e>
                      </m:d>
                      <m:r>
                        <a:rPr lang="it-I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Γ</m:t>
                      </m:r>
                      <m:d>
                        <m:d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+1,</m:t>
                          </m:r>
                          <m:f>
                            <m:f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𝑡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</m:sSub>
                            </m:den>
                          </m:f>
                        </m:e>
                      </m:d>
                    </m:e>
                  </m:d>
                </m:oMath>
              </a14:m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E41171F6-92CD-40E0-8C04-B437DABCE7A4}"/>
                </a:ext>
              </a:extLst>
            </xdr:cNvPr>
            <xdr:cNvSpPr txBox="1"/>
          </xdr:nvSpPr>
          <xdr:spPr>
            <a:xfrm>
              <a:off x="10809514" y="3303819"/>
              <a:ext cx="3135086" cy="3102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y=</a:t>
              </a:r>
              <a:r>
                <a:rPr lang="it-IT" sz="1100" i="0">
                  <a:latin typeface="Cambria Math" panose="02040503050406030204" pitchFamily="18" charset="0"/>
                </a:rPr>
                <a:t>∑</a:t>
              </a:r>
              <a:r>
                <a:rPr lang="it-IT" sz="1100" b="0" i="0">
                  <a:latin typeface="Cambria Math" panose="02040503050406030204" pitchFamily="18" charset="0"/>
                </a:rPr>
                <a:t>_1^𝑡▒𝑃(𝑡;𝑡_0,𝑤) 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it-IT" sz="1100" b="0" i="0">
                  <a:latin typeface="Cambria Math" panose="02040503050406030204" pitchFamily="18" charset="0"/>
                </a:rPr>
                <a:t>𝑡_0 [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Γ(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𝑤+1)−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Γ(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𝑤+1,𝑡/𝑡_0 )]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15</xdr:col>
      <xdr:colOff>432164</xdr:colOff>
      <xdr:row>12</xdr:row>
      <xdr:rowOff>185061</xdr:rowOff>
    </xdr:from>
    <xdr:ext cx="1940922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A390F678-15DD-420F-A6FC-7C6C3ADC64E8}"/>
                </a:ext>
              </a:extLst>
            </xdr:cNvPr>
            <xdr:cNvSpPr txBox="1"/>
          </xdr:nvSpPr>
          <xdr:spPr>
            <a:xfrm>
              <a:off x="11056621" y="2775861"/>
              <a:ext cx="1940922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A390F678-15DD-420F-A6FC-7C6C3ADC64E8}"/>
                </a:ext>
              </a:extLst>
            </xdr:cNvPr>
            <xdr:cNvSpPr txBox="1"/>
          </xdr:nvSpPr>
          <xdr:spPr>
            <a:xfrm>
              <a:off x="11056621" y="2775861"/>
              <a:ext cx="1940922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37579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6.20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0.9997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147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</xdr:colOff>
      <xdr:row>5</xdr:row>
      <xdr:rowOff>0</xdr:rowOff>
    </xdr:from>
    <xdr:to>
      <xdr:col>29</xdr:col>
      <xdr:colOff>99060</xdr:colOff>
      <xdr:row>37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5082D72-C1F7-4963-A285-6EBE98D38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740229</xdr:colOff>
      <xdr:row>2</xdr:row>
      <xdr:rowOff>152400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5355772" y="72934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5355772" y="72934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250372</xdr:colOff>
      <xdr:row>11</xdr:row>
      <xdr:rowOff>54429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CDABA8D7-058F-4FA1-868B-347C0B1C3351}"/>
                </a:ext>
              </a:extLst>
            </xdr:cNvPr>
            <xdr:cNvSpPr txBox="1"/>
          </xdr:nvSpPr>
          <xdr:spPr>
            <a:xfrm>
              <a:off x="14684829" y="2460172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CDABA8D7-058F-4FA1-868B-347C0B1C3351}"/>
                </a:ext>
              </a:extLst>
            </xdr:cNvPr>
            <xdr:cNvSpPr txBox="1"/>
          </xdr:nvSpPr>
          <xdr:spPr>
            <a:xfrm>
              <a:off x="14684829" y="2460172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533401</xdr:colOff>
      <xdr:row>16</xdr:row>
      <xdr:rowOff>97971</xdr:rowOff>
    </xdr:from>
    <xdr:to>
      <xdr:col>21</xdr:col>
      <xdr:colOff>587829</xdr:colOff>
      <xdr:row>23</xdr:row>
      <xdr:rowOff>174978</xdr:rowOff>
    </xdr:to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ECEDAA15-C068-479E-B2FB-BC15E3292245}"/>
            </a:ext>
          </a:extLst>
        </xdr:cNvPr>
        <xdr:cNvSpPr txBox="1"/>
      </xdr:nvSpPr>
      <xdr:spPr>
        <a:xfrm>
          <a:off x="13748658" y="3450771"/>
          <a:ext cx="1883228" cy="1383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5488, 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35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4.37</a:t>
          </a:r>
          <a:endParaRPr lang="it-IT" b="1">
            <a:solidFill>
              <a:srgbClr val="0070C0"/>
            </a:solidFill>
          </a:endParaRP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7.99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0.9553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979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25</xdr:col>
      <xdr:colOff>261257</xdr:colOff>
      <xdr:row>21</xdr:row>
      <xdr:rowOff>65314</xdr:rowOff>
    </xdr:from>
    <xdr:to>
      <xdr:col>28</xdr:col>
      <xdr:colOff>260397</xdr:colOff>
      <xdr:row>28</xdr:row>
      <xdr:rowOff>97971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5F4D146-173D-4403-9F37-59A053CC9E63}"/>
            </a:ext>
          </a:extLst>
        </xdr:cNvPr>
        <xdr:cNvSpPr txBox="1"/>
      </xdr:nvSpPr>
      <xdr:spPr>
        <a:xfrm>
          <a:off x="17885228" y="4354285"/>
          <a:ext cx="1827940" cy="1349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</a:t>
          </a:r>
          <a:r>
            <a:rPr lang="it-IT" sz="1400" b="1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new deaths</a:t>
          </a:r>
          <a:endParaRPr lang="it-IT" sz="1400" b="1" i="1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849, 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t-Peak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43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6.10</a:t>
          </a:r>
          <a:endParaRPr lang="it-IT" b="1">
            <a:solidFill>
              <a:srgbClr val="FF0000"/>
            </a:solidFill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7.05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0.9625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130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18</xdr:col>
      <xdr:colOff>457200</xdr:colOff>
      <xdr:row>15</xdr:row>
      <xdr:rowOff>21772</xdr:rowOff>
    </xdr:from>
    <xdr:to>
      <xdr:col>24</xdr:col>
      <xdr:colOff>228600</xdr:colOff>
      <xdr:row>15</xdr:row>
      <xdr:rowOff>43544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836618B2-B830-40A6-8774-ED9E4AFDDF7D}"/>
            </a:ext>
          </a:extLst>
        </xdr:cNvPr>
        <xdr:cNvCxnSpPr/>
      </xdr:nvCxnSpPr>
      <xdr:spPr>
        <a:xfrm flipV="1">
          <a:off x="13672457" y="3189515"/>
          <a:ext cx="3570514" cy="21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457189</xdr:colOff>
      <xdr:row>28</xdr:row>
      <xdr:rowOff>163286</xdr:rowOff>
    </xdr:from>
    <xdr:to>
      <xdr:col>25</xdr:col>
      <xdr:colOff>337458</xdr:colOff>
      <xdr:row>28</xdr:row>
      <xdr:rowOff>174175</xdr:rowOff>
    </xdr:to>
    <xdr:cxnSp macro="">
      <xdr:nvCxnSpPr>
        <xdr:cNvPr id="9" name="Connettore diritto 8">
          <a:extLst>
            <a:ext uri="{FF2B5EF4-FFF2-40B4-BE49-F238E27FC236}">
              <a16:creationId xmlns:a16="http://schemas.microsoft.com/office/drawing/2014/main" id="{D0546A43-C9CC-4D68-8CF5-1BC82D2EFA6A}"/>
            </a:ext>
          </a:extLst>
        </xdr:cNvPr>
        <xdr:cNvCxnSpPr/>
      </xdr:nvCxnSpPr>
      <xdr:spPr>
        <a:xfrm flipV="1">
          <a:off x="13672446" y="5769429"/>
          <a:ext cx="4288983" cy="1088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272143</xdr:colOff>
      <xdr:row>14</xdr:row>
      <xdr:rowOff>48986</xdr:rowOff>
    </xdr:from>
    <xdr:ext cx="4825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5895920E-01C1-4B98-B2D1-CF203D6510D8}"/>
                </a:ext>
              </a:extLst>
            </xdr:cNvPr>
            <xdr:cNvSpPr txBox="1"/>
          </xdr:nvSpPr>
          <xdr:spPr>
            <a:xfrm>
              <a:off x="14097000" y="3031672"/>
              <a:ext cx="4825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5895920E-01C1-4B98-B2D1-CF203D6510D8}"/>
                </a:ext>
              </a:extLst>
            </xdr:cNvPr>
            <xdr:cNvSpPr txBox="1"/>
          </xdr:nvSpPr>
          <xdr:spPr>
            <a:xfrm>
              <a:off x="14097000" y="3031672"/>
              <a:ext cx="4825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𝑤^𝑤 𝑒^(−𝑤)</a:t>
              </a:r>
              <a:endParaRPr lang="it-IT" sz="1100"/>
            </a:p>
          </xdr:txBody>
        </xdr:sp>
      </mc:Fallback>
    </mc:AlternateContent>
    <xdr:clientData/>
  </xdr:oneCellAnchor>
  <xdr:twoCellAnchor>
    <xdr:from>
      <xdr:col>23</xdr:col>
      <xdr:colOff>402776</xdr:colOff>
      <xdr:row>14</xdr:row>
      <xdr:rowOff>65320</xdr:rowOff>
    </xdr:from>
    <xdr:to>
      <xdr:col>23</xdr:col>
      <xdr:colOff>402778</xdr:colOff>
      <xdr:row>31</xdr:row>
      <xdr:rowOff>76206</xdr:rowOff>
    </xdr:to>
    <xdr:cxnSp macro="">
      <xdr:nvCxnSpPr>
        <xdr:cNvPr id="11" name="Connettore diritto 10">
          <a:extLst>
            <a:ext uri="{FF2B5EF4-FFF2-40B4-BE49-F238E27FC236}">
              <a16:creationId xmlns:a16="http://schemas.microsoft.com/office/drawing/2014/main" id="{DDFC7A15-B69B-4CD7-B81E-FAC3BF21CE85}"/>
            </a:ext>
          </a:extLst>
        </xdr:cNvPr>
        <xdr:cNvCxnSpPr/>
      </xdr:nvCxnSpPr>
      <xdr:spPr>
        <a:xfrm>
          <a:off x="16807547" y="3048006"/>
          <a:ext cx="2" cy="3189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304801</xdr:colOff>
      <xdr:row>31</xdr:row>
      <xdr:rowOff>125186</xdr:rowOff>
    </xdr:from>
    <xdr:ext cx="2591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AD809589-4D0F-4389-B226-C88339652BEA}"/>
                </a:ext>
              </a:extLst>
            </xdr:cNvPr>
            <xdr:cNvSpPr txBox="1"/>
          </xdr:nvSpPr>
          <xdr:spPr>
            <a:xfrm>
              <a:off x="16709572" y="6286500"/>
              <a:ext cx="2591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𝑤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AD809589-4D0F-4389-B226-C88339652BEA}"/>
                </a:ext>
              </a:extLst>
            </xdr:cNvPr>
            <xdr:cNvSpPr txBox="1"/>
          </xdr:nvSpPr>
          <xdr:spPr>
            <a:xfrm>
              <a:off x="16709572" y="6286500"/>
              <a:ext cx="2591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𝑤𝑡_0</a:t>
              </a:r>
              <a:endParaRPr lang="it-IT" sz="1100"/>
            </a:p>
          </xdr:txBody>
        </xdr:sp>
      </mc:Fallback>
    </mc:AlternateContent>
    <xdr:clientData/>
  </xdr:oneCellAnchor>
  <xdr:twoCellAnchor>
    <xdr:from>
      <xdr:col>24</xdr:col>
      <xdr:colOff>511633</xdr:colOff>
      <xdr:row>28</xdr:row>
      <xdr:rowOff>152400</xdr:rowOff>
    </xdr:from>
    <xdr:to>
      <xdr:col>24</xdr:col>
      <xdr:colOff>511633</xdr:colOff>
      <xdr:row>31</xdr:row>
      <xdr:rowOff>87086</xdr:rowOff>
    </xdr:to>
    <xdr:cxnSp macro="">
      <xdr:nvCxnSpPr>
        <xdr:cNvPr id="5" name="Connettore diritto 4">
          <a:extLst>
            <a:ext uri="{FF2B5EF4-FFF2-40B4-BE49-F238E27FC236}">
              <a16:creationId xmlns:a16="http://schemas.microsoft.com/office/drawing/2014/main" id="{BF9F2F52-415C-480C-A95F-0C75E8B05FF6}"/>
            </a:ext>
          </a:extLst>
        </xdr:cNvPr>
        <xdr:cNvCxnSpPr/>
      </xdr:nvCxnSpPr>
      <xdr:spPr>
        <a:xfrm>
          <a:off x="17526004" y="5758543"/>
          <a:ext cx="0" cy="48985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C6F43282-B674-4784-8686-F2035C7A1AE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59D82-5043-4877-A71E-47017D5BEBEC}" name="dpc_covid19_ita_andamento_nazionale__8" displayName="dpc_covid19_ita_andamento_nazionale__8" ref="A1:O40" tableType="queryTable" totalsRowShown="0">
  <autoFilter ref="A1:O40" xr:uid="{585C8A93-1E61-447A-BFA1-CBAD2F369C2C}"/>
  <tableColumns count="15">
    <tableColumn id="1" xr3:uid="{89AC5C3E-B3BF-4789-A368-8CE8A0A18199}" uniqueName="1" name="data" queryTableFieldId="1" dataDxfId="3"/>
    <tableColumn id="2" xr3:uid="{E0495A67-8083-47BA-B8EF-AC09A4AA1AED}" uniqueName="2" name="stato" queryTableFieldId="2" dataDxfId="2"/>
    <tableColumn id="3" xr3:uid="{1437AA6C-9D48-420D-9F20-0B2F1ABB7C76}" uniqueName="3" name="ricoverati_con_sintomi" queryTableFieldId="3"/>
    <tableColumn id="4" xr3:uid="{ED210980-03ED-45DE-8355-F1481076D885}" uniqueName="4" name="terapia_intensiva" queryTableFieldId="4"/>
    <tableColumn id="5" xr3:uid="{9EE2C770-05C5-4B88-BE4B-1C9993CF2F1C}" uniqueName="5" name="totale_ospedalizzati" queryTableFieldId="5"/>
    <tableColumn id="6" xr3:uid="{AE227A4D-6681-4558-BD0F-B69F7A3C2271}" uniqueName="6" name="isolamento_domiciliare" queryTableFieldId="6"/>
    <tableColumn id="7" xr3:uid="{3DF10501-D98F-4592-AA11-1FFC9F3270C1}" uniqueName="7" name="totale_positivi" queryTableFieldId="7"/>
    <tableColumn id="8" xr3:uid="{3DDC6618-FE4D-4500-9219-C8FAEDFD2EA1}" uniqueName="8" name="variazione_totale_positivi" queryTableFieldId="8"/>
    <tableColumn id="9" xr3:uid="{FE8F11A8-A084-404A-9980-F1AB999263BA}" uniqueName="9" name="nuovi_positivi" queryTableFieldId="9"/>
    <tableColumn id="10" xr3:uid="{D72B38E9-0B16-444C-9647-58F6B5CD2D31}" uniqueName="10" name="dimessi_guariti" queryTableFieldId="10"/>
    <tableColumn id="11" xr3:uid="{69770D2C-7B59-4EAD-A7CD-AFE9FACAAEC0}" uniqueName="11" name="deceduti" queryTableFieldId="11"/>
    <tableColumn id="12" xr3:uid="{218FC5CC-7EC1-4568-9A94-5A56A89B441D}" uniqueName="12" name="totale_casi" queryTableFieldId="12"/>
    <tableColumn id="13" xr3:uid="{3C339D34-898E-4BFA-BC76-5F3B2B696EAD}" uniqueName="13" name="tamponi" queryTableFieldId="13"/>
    <tableColumn id="14" xr3:uid="{66E9AA5C-E250-4A09-BAEF-74FDDF70583F}" uniqueName="14" name="note_it" queryTableFieldId="14" dataDxfId="1"/>
    <tableColumn id="15" xr3:uid="{48D285DA-5CFF-4CA3-B250-3EB265920596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0-03-21T22:11:56.31" personId="{46504131-ADD3-4530-BCC7-16E4FED1C2C4}" id="{6AE41525-C545-4B83-8686-2D973E356B51}">
    <text>red zone</text>
  </threadedComment>
  <threadedComment ref="B17" dT="2020-03-21T22:12:51.46" personId="{46504131-ADD3-4530-BCC7-16E4FED1C2C4}" id="{D1C5CD7B-740D-43CC-A2B1-661E9701F950}">
    <text>partial lockdown (north)</text>
  </threadedComment>
  <threadedComment ref="B21" dT="2020-03-21T22:13:52.19" personId="{46504131-ADD3-4530-BCC7-16E4FED1C2C4}" id="{D6513010-1C40-479E-8D93-3E5E664A5DD3}">
    <text>school closure (Italy)</text>
  </threadedComment>
  <threadedComment ref="B24" dT="2020-03-21T22:14:24.84" personId="{46504131-ADD3-4530-BCC7-16E4FED1C2C4}" id="{D716A400-1BA0-4A74-B84E-CB03860A1D57}">
    <text>lockdown (north)</text>
  </threadedComment>
  <threadedComment ref="B26" dT="2020-03-21T22:14:52.14" personId="{46504131-ADD3-4530-BCC7-16E4FED1C2C4}" id="{7162E970-0C82-40C0-9D82-4DB3CD06F48A}">
    <text>partial lockdown (Italy)</text>
  </threadedComment>
  <threadedComment ref="B28" dT="2020-03-21T22:15:16.77" personId="{46504131-ADD3-4530-BCC7-16E4FED1C2C4}" id="{ABA66A1D-C810-456B-991F-51AB6F2F5F4A}">
    <text>lockdown (Italy)</text>
  </threadedComment>
  <threadedComment ref="B39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" dT="2020-03-21T22:11:56.31" personId="{46504131-ADD3-4530-BCC7-16E4FED1C2C4}" id="{5FD8839A-74E9-44C2-B5F2-F977D0EA3D98}">
    <text>red zone</text>
  </threadedComment>
  <threadedComment ref="B17" dT="2020-03-21T22:12:51.46" personId="{46504131-ADD3-4530-BCC7-16E4FED1C2C4}" id="{95B83D2D-5EDB-4C8F-91A8-36D622D74B5B}">
    <text>partial lockdown (north)</text>
  </threadedComment>
  <threadedComment ref="B21" dT="2020-03-21T22:13:52.19" personId="{46504131-ADD3-4530-BCC7-16E4FED1C2C4}" id="{FB6547ED-429A-49D7-8367-DE2107BFB931}">
    <text>school closure (Italy)</text>
  </threadedComment>
  <threadedComment ref="B24" dT="2020-03-21T22:14:24.84" personId="{46504131-ADD3-4530-BCC7-16E4FED1C2C4}" id="{18DCC697-BA7F-479A-8641-1D7FCDC0672D}">
    <text>lockdown (north)</text>
  </threadedComment>
  <threadedComment ref="B26" dT="2020-03-21T22:14:52.14" personId="{46504131-ADD3-4530-BCC7-16E4FED1C2C4}" id="{5FB23112-C2D9-44D1-9DAD-0448A5341B10}">
    <text>partial lockdown (Italy)</text>
  </threadedComment>
  <threadedComment ref="B28" dT="2020-03-21T22:15:16.77" personId="{46504131-ADD3-4530-BCC7-16E4FED1C2C4}" id="{90A59D2F-F1E2-4415-85BD-E03CA55CB6FA}">
    <text>lockdown (Italy)</text>
  </threadedComment>
  <threadedComment ref="B39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0"/>
  <sheetViews>
    <sheetView topLeftCell="A19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265"/>
  <sheetViews>
    <sheetView tabSelected="1" zoomScale="70" zoomScaleNormal="70" workbookViewId="0">
      <selection activeCell="N24" sqref="N24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0.88671875" style="2" bestFit="1" customWidth="1"/>
    <col min="9" max="9" width="15.44140625" style="2" customWidth="1"/>
    <col min="10" max="10" width="11.33203125" style="2" customWidth="1"/>
    <col min="11" max="11" width="11.109375" style="2" customWidth="1"/>
    <col min="12" max="12" width="1.77734375" style="2" customWidth="1"/>
    <col min="13" max="13" width="11.218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1" t="s">
        <v>11</v>
      </c>
    </row>
    <row r="3" spans="2:18" ht="17.399999999999999" customHeight="1" x14ac:dyDescent="0.6">
      <c r="B3" s="12"/>
      <c r="C3" s="13"/>
      <c r="D3" s="13"/>
      <c r="E3" s="13"/>
      <c r="F3" s="13"/>
      <c r="H3" s="13"/>
      <c r="I3" s="13"/>
      <c r="J3" s="13"/>
      <c r="O3" s="20" t="s">
        <v>0</v>
      </c>
      <c r="P3" s="19" t="s">
        <v>70</v>
      </c>
      <c r="Q3" s="34"/>
      <c r="R3" s="16"/>
    </row>
    <row r="4" spans="2:18" ht="20.399999999999999" x14ac:dyDescent="0.35">
      <c r="B4" s="15" t="s">
        <v>49</v>
      </c>
      <c r="C4" s="14"/>
      <c r="D4" s="13"/>
      <c r="E4" s="13"/>
      <c r="F4" s="13"/>
      <c r="H4" s="13"/>
      <c r="I4" s="13"/>
      <c r="J4" s="13"/>
      <c r="O4" s="20" t="s">
        <v>23</v>
      </c>
      <c r="P4" s="19" t="s">
        <v>73</v>
      </c>
      <c r="Q4" s="16"/>
      <c r="R4" s="16"/>
    </row>
    <row r="5" spans="2:18" ht="18" x14ac:dyDescent="0.35">
      <c r="B5" s="28" t="s">
        <v>58</v>
      </c>
      <c r="C5" s="13"/>
      <c r="D5" s="13"/>
      <c r="E5" s="13"/>
      <c r="F5" s="13"/>
      <c r="H5" s="13"/>
      <c r="I5" s="13"/>
      <c r="J5" s="13"/>
      <c r="O5" s="20" t="s">
        <v>1</v>
      </c>
      <c r="P5" s="19" t="s">
        <v>73</v>
      </c>
      <c r="Q5" s="16"/>
      <c r="R5" s="16"/>
    </row>
    <row r="6" spans="2:18" x14ac:dyDescent="0.3">
      <c r="B6" s="4" t="s">
        <v>8</v>
      </c>
      <c r="C6" s="4" t="s">
        <v>9</v>
      </c>
      <c r="D6" s="4" t="s">
        <v>10</v>
      </c>
      <c r="E6" s="8" t="s">
        <v>54</v>
      </c>
      <c r="F6" s="8" t="s">
        <v>44</v>
      </c>
      <c r="G6" s="8" t="s">
        <v>45</v>
      </c>
      <c r="H6" s="4" t="s">
        <v>53</v>
      </c>
      <c r="I6" s="8" t="s">
        <v>55</v>
      </c>
      <c r="J6" s="8" t="s">
        <v>56</v>
      </c>
      <c r="K6" s="8" t="s">
        <v>57</v>
      </c>
      <c r="L6" s="8"/>
      <c r="M6" s="29" t="s">
        <v>46</v>
      </c>
      <c r="N6" s="3"/>
      <c r="O6" s="3"/>
    </row>
    <row r="7" spans="2:18" x14ac:dyDescent="0.3">
      <c r="B7" s="25">
        <v>43881</v>
      </c>
      <c r="C7" s="26">
        <v>1</v>
      </c>
      <c r="D7" s="27">
        <v>3</v>
      </c>
      <c r="E7" s="8">
        <f t="shared" ref="E7:E38" si="0">t0*_xlfn.GAMMA.DIST($C7/t0,w+1,1,1)*_xlfn.GAMMA(w+1)</f>
        <v>9.0480196388339536E-7</v>
      </c>
      <c r="F7" s="10">
        <f>E7+CI</f>
        <v>2387.5241790010277</v>
      </c>
      <c r="G7" s="10">
        <f>MAX(E7-CI,0)</f>
        <v>0</v>
      </c>
      <c r="H7" s="26">
        <v>0</v>
      </c>
      <c r="I7" s="8">
        <f t="shared" ref="I7:I38" si="1">t0h*_xlfn.GAMMA.DIST($C7/t0h,wh+1,1,1)*_xlfn.GAMMA(wh+1)</f>
        <v>2.7337176731667208E-7</v>
      </c>
      <c r="J7" s="10">
        <f t="shared" ref="J7:J46" si="2">I7+CIh</f>
        <v>167.33586812149082</v>
      </c>
      <c r="K7" s="10">
        <f t="shared" ref="K7:K46" si="3">MAX(I7-CIh,0)</f>
        <v>0</v>
      </c>
      <c r="L7" s="8"/>
      <c r="M7" s="39"/>
      <c r="N7" s="39"/>
      <c r="O7" s="3"/>
    </row>
    <row r="8" spans="2:18" ht="15.6" x14ac:dyDescent="0.35">
      <c r="B8" s="25">
        <v>43882</v>
      </c>
      <c r="C8" s="26">
        <v>2</v>
      </c>
      <c r="D8" s="27">
        <v>20</v>
      </c>
      <c r="E8" s="8">
        <f t="shared" si="0"/>
        <v>3.724668150061863E-4</v>
      </c>
      <c r="F8" s="10">
        <f>E8+CI</f>
        <v>2387.5245505630405</v>
      </c>
      <c r="G8" s="10">
        <f>MAX(E8-CI,0)</f>
        <v>0</v>
      </c>
      <c r="H8" s="26">
        <v>1</v>
      </c>
      <c r="I8" s="8">
        <f t="shared" si="1"/>
        <v>6.4096129373139105E-5</v>
      </c>
      <c r="J8" s="10">
        <f t="shared" si="2"/>
        <v>167.33593194424841</v>
      </c>
      <c r="K8" s="10">
        <f t="shared" si="3"/>
        <v>0</v>
      </c>
      <c r="L8" s="8"/>
      <c r="M8" s="21" t="s">
        <v>24</v>
      </c>
      <c r="N8" s="30">
        <v>4.2195046529961209</v>
      </c>
      <c r="O8" s="3"/>
    </row>
    <row r="9" spans="2:18" x14ac:dyDescent="0.3">
      <c r="B9" s="25">
        <v>43883</v>
      </c>
      <c r="C9" s="26">
        <v>3</v>
      </c>
      <c r="D9" s="27">
        <v>62</v>
      </c>
      <c r="E9" s="8">
        <f t="shared" si="0"/>
        <v>1.1544890356527523E-2</v>
      </c>
      <c r="F9" s="10">
        <f>E9+CI</f>
        <v>2387.5357229865822</v>
      </c>
      <c r="G9" s="10">
        <f>MAX(E9-CI,0)</f>
        <v>0</v>
      </c>
      <c r="H9" s="26">
        <v>2</v>
      </c>
      <c r="I9" s="8">
        <f t="shared" si="1"/>
        <v>1.4702966158456629E-3</v>
      </c>
      <c r="J9" s="10">
        <f t="shared" si="2"/>
        <v>167.3373381447349</v>
      </c>
      <c r="K9" s="10">
        <f t="shared" si="3"/>
        <v>0</v>
      </c>
      <c r="L9" s="8"/>
      <c r="M9" s="21" t="s">
        <v>1</v>
      </c>
      <c r="N9" s="30">
        <v>7.9919656312836951</v>
      </c>
      <c r="O9" s="3"/>
    </row>
    <row r="10" spans="2:18" x14ac:dyDescent="0.3">
      <c r="B10" s="25">
        <v>43884</v>
      </c>
      <c r="C10" s="26">
        <v>4</v>
      </c>
      <c r="D10" s="27">
        <v>155</v>
      </c>
      <c r="E10" s="8">
        <f t="shared" si="0"/>
        <v>0.12415100728276238</v>
      </c>
      <c r="F10" s="10">
        <f>E10+CI</f>
        <v>2387.6483291035083</v>
      </c>
      <c r="G10" s="10">
        <f>MAX(E10-CI,0)</f>
        <v>0</v>
      </c>
      <c r="H10" s="26">
        <v>3</v>
      </c>
      <c r="I10" s="8">
        <f t="shared" si="1"/>
        <v>1.3023782208814862E-2</v>
      </c>
      <c r="J10" s="10">
        <f t="shared" si="2"/>
        <v>167.34889163032787</v>
      </c>
      <c r="K10" s="10">
        <f t="shared" si="3"/>
        <v>0</v>
      </c>
      <c r="L10" s="8"/>
      <c r="M10" s="5" t="s">
        <v>2</v>
      </c>
      <c r="N10" s="1">
        <f>AVERAGE(D7:D49)</f>
        <v>33474.302325581397</v>
      </c>
      <c r="O10" s="3"/>
    </row>
    <row r="11" spans="2:18" x14ac:dyDescent="0.3">
      <c r="B11" s="22">
        <v>43885</v>
      </c>
      <c r="C11" s="4">
        <v>5</v>
      </c>
      <c r="D11" s="10">
        <f>'dpc-covid19-ita-andamento-naz'!L2</f>
        <v>229</v>
      </c>
      <c r="E11" s="8">
        <f t="shared" si="0"/>
        <v>0.74766057420581422</v>
      </c>
      <c r="F11" s="10">
        <f t="shared" ref="F11:F33" si="4">E11+CI</f>
        <v>2388.2718386704314</v>
      </c>
      <c r="G11" s="10">
        <f t="shared" ref="G11:G37" si="5">MAX(E11-CI,0)</f>
        <v>0</v>
      </c>
      <c r="H11" s="10">
        <f>'dpc-covid19-ita-andamento-naz'!K2</f>
        <v>7</v>
      </c>
      <c r="I11" s="8">
        <f t="shared" si="1"/>
        <v>6.8500367569942766E-2</v>
      </c>
      <c r="J11" s="10">
        <f t="shared" si="2"/>
        <v>167.404368215689</v>
      </c>
      <c r="K11" s="10">
        <f t="shared" si="3"/>
        <v>0</v>
      </c>
      <c r="L11" s="1"/>
      <c r="M11" s="5" t="s">
        <v>3</v>
      </c>
      <c r="N11" s="1">
        <f>COUNT(D7:D49)-COUNT(N7:N9)</f>
        <v>41</v>
      </c>
    </row>
    <row r="12" spans="2:18" x14ac:dyDescent="0.3">
      <c r="B12" s="9">
        <v>43886</v>
      </c>
      <c r="C12" s="4">
        <v>6</v>
      </c>
      <c r="D12" s="10">
        <f>'dpc-covid19-ita-andamento-naz'!L3</f>
        <v>322</v>
      </c>
      <c r="E12" s="8">
        <f t="shared" si="0"/>
        <v>3.1208781779866261</v>
      </c>
      <c r="F12" s="10">
        <f t="shared" si="4"/>
        <v>2390.645056274212</v>
      </c>
      <c r="G12" s="10">
        <f t="shared" si="5"/>
        <v>0</v>
      </c>
      <c r="H12" s="10">
        <f>'dpc-covid19-ita-andamento-naz'!K3</f>
        <v>10</v>
      </c>
      <c r="I12" s="8">
        <f t="shared" si="1"/>
        <v>0.25912443675143226</v>
      </c>
      <c r="J12" s="10">
        <f t="shared" si="2"/>
        <v>167.59499228487047</v>
      </c>
      <c r="K12" s="10">
        <f t="shared" si="3"/>
        <v>0</v>
      </c>
      <c r="L12" s="1"/>
      <c r="M12" s="5" t="s">
        <v>4</v>
      </c>
      <c r="N12" s="6" cm="1">
        <f t="array" ref="N12">SQRT(SUM((D7:D49-E7:E49)^2)/df)</f>
        <v>1182.2113109071638</v>
      </c>
    </row>
    <row r="13" spans="2:18" ht="16.2" x14ac:dyDescent="0.3">
      <c r="B13" s="9">
        <v>43887</v>
      </c>
      <c r="C13" s="4">
        <v>7</v>
      </c>
      <c r="D13" s="10">
        <f>'dpc-covid19-ita-andamento-naz'!L4</f>
        <v>400</v>
      </c>
      <c r="E13" s="8">
        <f t="shared" si="0"/>
        <v>10.117649514221963</v>
      </c>
      <c r="F13" s="10">
        <f t="shared" si="4"/>
        <v>2397.6418276104473</v>
      </c>
      <c r="G13" s="10">
        <f t="shared" si="5"/>
        <v>0</v>
      </c>
      <c r="H13" s="10">
        <f>'dpc-covid19-ita-andamento-naz'!K4</f>
        <v>12</v>
      </c>
      <c r="I13" s="8">
        <f t="shared" si="1"/>
        <v>0.78088232608451169</v>
      </c>
      <c r="J13" s="10">
        <f t="shared" si="2"/>
        <v>168.11675017420356</v>
      </c>
      <c r="K13" s="10">
        <f t="shared" si="3"/>
        <v>0</v>
      </c>
      <c r="L13" s="1"/>
      <c r="M13" s="5" t="s">
        <v>5</v>
      </c>
      <c r="N13" s="7" cm="1">
        <f t="array" ref="N13">1-SUM((D7:D49-E7:E49)^2)/SUM((D7:D49-Mean_of_y)^2)</f>
        <v>0.99905663449289472</v>
      </c>
    </row>
    <row r="14" spans="2:18" x14ac:dyDescent="0.3">
      <c r="B14" s="9">
        <v>43888</v>
      </c>
      <c r="C14" s="4">
        <v>8</v>
      </c>
      <c r="D14" s="10">
        <f>'dpc-covid19-ita-andamento-naz'!L5</f>
        <v>650</v>
      </c>
      <c r="E14" s="8">
        <f t="shared" si="0"/>
        <v>27.265351341556475</v>
      </c>
      <c r="F14" s="10">
        <f t="shared" si="4"/>
        <v>2414.7895294377822</v>
      </c>
      <c r="G14" s="10">
        <f t="shared" si="5"/>
        <v>0</v>
      </c>
      <c r="H14" s="10">
        <f>'dpc-covid19-ita-andamento-naz'!K5</f>
        <v>17</v>
      </c>
      <c r="I14" s="8">
        <f t="shared" si="1"/>
        <v>1.9926448041364195</v>
      </c>
      <c r="J14" s="10">
        <f t="shared" si="2"/>
        <v>169.32851265225548</v>
      </c>
      <c r="K14" s="10">
        <f t="shared" si="3"/>
        <v>0</v>
      </c>
      <c r="L14" s="1"/>
      <c r="M14" s="5" t="s">
        <v>6</v>
      </c>
      <c r="N14" s="7">
        <f>TINV(0.05,df)</f>
        <v>2.0195409704413767</v>
      </c>
    </row>
    <row r="15" spans="2:18" x14ac:dyDescent="0.3">
      <c r="B15" s="9">
        <v>43889</v>
      </c>
      <c r="C15" s="4">
        <v>9</v>
      </c>
      <c r="D15" s="10">
        <f>'dpc-covid19-ita-andamento-naz'!L6</f>
        <v>888</v>
      </c>
      <c r="E15" s="8">
        <f t="shared" si="0"/>
        <v>63.811840708227002</v>
      </c>
      <c r="F15" s="10">
        <f t="shared" si="4"/>
        <v>2451.3360188044526</v>
      </c>
      <c r="G15" s="10">
        <f t="shared" si="5"/>
        <v>0</v>
      </c>
      <c r="H15" s="10">
        <f>'dpc-covid19-ita-andamento-naz'!K6</f>
        <v>21</v>
      </c>
      <c r="I15" s="8">
        <f t="shared" si="1"/>
        <v>4.4785649387783595</v>
      </c>
      <c r="J15" s="10">
        <f t="shared" si="2"/>
        <v>171.81443278689741</v>
      </c>
      <c r="K15" s="10">
        <f t="shared" si="3"/>
        <v>0</v>
      </c>
      <c r="L15" s="1"/>
      <c r="M15" s="5" t="s">
        <v>7</v>
      </c>
      <c r="N15" s="1">
        <f>Critical_t*SE_of_y</f>
        <v>2387.5241780962256</v>
      </c>
    </row>
    <row r="16" spans="2:18" x14ac:dyDescent="0.3">
      <c r="B16" s="9">
        <v>43890</v>
      </c>
      <c r="C16" s="4">
        <v>10</v>
      </c>
      <c r="D16" s="10">
        <f>'dpc-covid19-ita-andamento-naz'!L7</f>
        <v>1128</v>
      </c>
      <c r="E16" s="8">
        <f t="shared" si="0"/>
        <v>133.64313669797852</v>
      </c>
      <c r="F16" s="10">
        <f t="shared" si="4"/>
        <v>2521.1673147942042</v>
      </c>
      <c r="G16" s="10">
        <f t="shared" si="5"/>
        <v>0</v>
      </c>
      <c r="H16" s="10">
        <f>'dpc-covid19-ita-andamento-naz'!K7</f>
        <v>29</v>
      </c>
      <c r="I16" s="8">
        <f t="shared" si="1"/>
        <v>9.1072597635718946</v>
      </c>
      <c r="J16" s="10">
        <f t="shared" si="2"/>
        <v>176.44312761169095</v>
      </c>
      <c r="K16" s="10">
        <f t="shared" si="3"/>
        <v>0</v>
      </c>
      <c r="L16" s="1"/>
      <c r="M16" s="35" t="s">
        <v>69</v>
      </c>
      <c r="N16" s="36">
        <f>t0*_xlfn.GAMMA(w+1)</f>
        <v>167230.05765339092</v>
      </c>
    </row>
    <row r="17" spans="2:14" x14ac:dyDescent="0.3">
      <c r="B17" s="22">
        <v>43891</v>
      </c>
      <c r="C17" s="4">
        <v>11</v>
      </c>
      <c r="D17" s="10">
        <f>'dpc-covid19-ita-andamento-naz'!L8</f>
        <v>1694</v>
      </c>
      <c r="E17" s="8">
        <f t="shared" si="0"/>
        <v>255.87031217941995</v>
      </c>
      <c r="F17" s="10">
        <f t="shared" si="4"/>
        <v>2643.3944902756457</v>
      </c>
      <c r="G17" s="10">
        <f t="shared" si="5"/>
        <v>0</v>
      </c>
      <c r="H17" s="10">
        <f>'dpc-covid19-ita-andamento-naz'!K8</f>
        <v>34</v>
      </c>
      <c r="I17" s="8">
        <f t="shared" si="1"/>
        <v>17.08066755455831</v>
      </c>
      <c r="J17" s="10">
        <f t="shared" si="2"/>
        <v>184.41653540267737</v>
      </c>
      <c r="K17" s="10">
        <f t="shared" si="3"/>
        <v>0</v>
      </c>
      <c r="L17" s="1"/>
      <c r="M17" s="23" t="s">
        <v>53</v>
      </c>
      <c r="N17" s="3"/>
    </row>
    <row r="18" spans="2:14" x14ac:dyDescent="0.3">
      <c r="B18" s="9">
        <v>43892</v>
      </c>
      <c r="C18" s="4">
        <v>12</v>
      </c>
      <c r="D18" s="10">
        <f>'dpc-covid19-ita-andamento-naz'!L9</f>
        <v>2036</v>
      </c>
      <c r="E18" s="8">
        <f t="shared" si="0"/>
        <v>454.95682639902401</v>
      </c>
      <c r="F18" s="10">
        <f t="shared" si="4"/>
        <v>2842.4810044952496</v>
      </c>
      <c r="G18" s="10">
        <f t="shared" si="5"/>
        <v>0</v>
      </c>
      <c r="H18" s="10">
        <f>'dpc-covid19-ita-andamento-naz'!K9</f>
        <v>52</v>
      </c>
      <c r="I18" s="8">
        <f t="shared" si="1"/>
        <v>29.966810928227702</v>
      </c>
      <c r="J18" s="10">
        <f t="shared" si="2"/>
        <v>197.30267877634674</v>
      </c>
      <c r="K18" s="10">
        <f t="shared" si="3"/>
        <v>0</v>
      </c>
      <c r="L18" s="1"/>
      <c r="M18" s="40"/>
      <c r="N18" s="40"/>
    </row>
    <row r="19" spans="2:14" ht="15.6" x14ac:dyDescent="0.35">
      <c r="B19" s="9">
        <v>43893</v>
      </c>
      <c r="C19" s="4">
        <v>13</v>
      </c>
      <c r="D19" s="10">
        <f>'dpc-covid19-ita-andamento-naz'!L10</f>
        <v>2502</v>
      </c>
      <c r="E19" s="8">
        <f t="shared" si="0"/>
        <v>760.32871397379995</v>
      </c>
      <c r="F19" s="10">
        <f t="shared" si="4"/>
        <v>3147.8528920700255</v>
      </c>
      <c r="G19" s="10">
        <f t="shared" si="5"/>
        <v>0</v>
      </c>
      <c r="H19" s="10">
        <f>'dpc-covid19-ita-andamento-naz'!K10</f>
        <v>79</v>
      </c>
      <c r="I19" s="8">
        <f t="shared" si="1"/>
        <v>49.712575739799057</v>
      </c>
      <c r="J19" s="10">
        <f t="shared" si="2"/>
        <v>217.04844358791811</v>
      </c>
      <c r="K19" s="10">
        <f t="shared" si="3"/>
        <v>0</v>
      </c>
      <c r="L19" s="1"/>
      <c r="M19" s="21" t="s">
        <v>24</v>
      </c>
      <c r="N19" s="30">
        <v>6.1643690106389029</v>
      </c>
    </row>
    <row r="20" spans="2:14" x14ac:dyDescent="0.3">
      <c r="B20" s="9">
        <v>43894</v>
      </c>
      <c r="C20" s="4">
        <v>14</v>
      </c>
      <c r="D20" s="10">
        <f>'dpc-covid19-ita-andamento-naz'!L11</f>
        <v>3089</v>
      </c>
      <c r="E20" s="8">
        <f t="shared" si="0"/>
        <v>1205.4827283981756</v>
      </c>
      <c r="F20" s="10">
        <f t="shared" si="4"/>
        <v>3593.0069064944009</v>
      </c>
      <c r="G20" s="10">
        <f t="shared" si="5"/>
        <v>0</v>
      </c>
      <c r="H20" s="10">
        <f>'dpc-covid19-ita-andamento-naz'!K11</f>
        <v>107</v>
      </c>
      <c r="I20" s="8">
        <f t="shared" si="1"/>
        <v>78.63467507752388</v>
      </c>
      <c r="J20" s="10">
        <f t="shared" si="2"/>
        <v>245.97054292564292</v>
      </c>
      <c r="K20" s="10">
        <f t="shared" si="3"/>
        <v>0</v>
      </c>
      <c r="L20" s="1"/>
      <c r="M20" s="21" t="s">
        <v>1</v>
      </c>
      <c r="N20" s="30">
        <v>7.0809309227096797</v>
      </c>
    </row>
    <row r="21" spans="2:14" x14ac:dyDescent="0.3">
      <c r="B21" s="22">
        <v>43895</v>
      </c>
      <c r="C21" s="4">
        <v>15</v>
      </c>
      <c r="D21" s="10">
        <f>'dpc-covid19-ita-andamento-naz'!L12</f>
        <v>3858</v>
      </c>
      <c r="E21" s="8">
        <f t="shared" si="0"/>
        <v>1826.6691879737648</v>
      </c>
      <c r="F21" s="10">
        <f t="shared" si="4"/>
        <v>4214.1933660699906</v>
      </c>
      <c r="G21" s="10">
        <f t="shared" si="5"/>
        <v>0</v>
      </c>
      <c r="H21" s="10">
        <f>'dpc-covid19-ita-andamento-naz'!K12</f>
        <v>148</v>
      </c>
      <c r="I21" s="8">
        <f t="shared" si="1"/>
        <v>119.38892982049771</v>
      </c>
      <c r="J21" s="10">
        <f t="shared" si="2"/>
        <v>286.72479766861676</v>
      </c>
      <c r="K21" s="10">
        <f t="shared" si="3"/>
        <v>0</v>
      </c>
      <c r="L21" s="1"/>
      <c r="M21" s="2" t="s">
        <v>2</v>
      </c>
      <c r="N21" s="1">
        <f>AVERAGE(H7:H49)</f>
        <v>3342.7441860465115</v>
      </c>
    </row>
    <row r="22" spans="2:14" x14ac:dyDescent="0.3">
      <c r="B22" s="9">
        <v>43896</v>
      </c>
      <c r="C22" s="4">
        <v>16</v>
      </c>
      <c r="D22" s="10">
        <f>'dpc-covid19-ita-andamento-naz'!L13</f>
        <v>4636</v>
      </c>
      <c r="E22" s="8">
        <f t="shared" si="0"/>
        <v>2661.2696809179938</v>
      </c>
      <c r="F22" s="10">
        <f t="shared" si="4"/>
        <v>5048.7938590142194</v>
      </c>
      <c r="G22" s="10">
        <f t="shared" si="5"/>
        <v>273.74550282176824</v>
      </c>
      <c r="H22" s="10">
        <f>'dpc-covid19-ita-andamento-naz'!K13</f>
        <v>197</v>
      </c>
      <c r="I22" s="8">
        <f t="shared" si="1"/>
        <v>174.91967664916905</v>
      </c>
      <c r="J22" s="10">
        <f t="shared" si="2"/>
        <v>342.2555444972881</v>
      </c>
      <c r="K22" s="10">
        <f t="shared" si="3"/>
        <v>7.5838088010499973</v>
      </c>
      <c r="L22" s="1"/>
      <c r="M22" s="2" t="s">
        <v>3</v>
      </c>
      <c r="N22" s="1">
        <f>COUNT(H7:H49)-COUNT(N18:N20)</f>
        <v>41</v>
      </c>
    </row>
    <row r="23" spans="2:14" x14ac:dyDescent="0.3">
      <c r="B23" s="9">
        <v>43897</v>
      </c>
      <c r="C23" s="4">
        <v>17</v>
      </c>
      <c r="D23" s="10">
        <f>'dpc-covid19-ita-andamento-naz'!L14</f>
        <v>5883</v>
      </c>
      <c r="E23" s="8">
        <f t="shared" si="0"/>
        <v>3746.0125702262262</v>
      </c>
      <c r="F23" s="10">
        <f t="shared" si="4"/>
        <v>6133.5367483224518</v>
      </c>
      <c r="G23" s="10">
        <f t="shared" si="5"/>
        <v>1358.4883921300006</v>
      </c>
      <c r="H23" s="10">
        <f>'dpc-covid19-ita-andamento-naz'!K14</f>
        <v>233</v>
      </c>
      <c r="I23" s="8">
        <f t="shared" si="1"/>
        <v>248.39240767811464</v>
      </c>
      <c r="J23" s="10">
        <f t="shared" si="2"/>
        <v>415.72827552623369</v>
      </c>
      <c r="K23" s="10">
        <f t="shared" si="3"/>
        <v>81.056539829995586</v>
      </c>
      <c r="L23" s="1"/>
      <c r="M23" s="2" t="s">
        <v>4</v>
      </c>
      <c r="N23" s="6" cm="1">
        <f t="array" ref="N23">SQRT(SUM((H7:H49-I7:I49)^2)/dfh)</f>
        <v>82.858367469290457</v>
      </c>
    </row>
    <row r="24" spans="2:14" ht="16.2" x14ac:dyDescent="0.3">
      <c r="B24" s="22">
        <v>43898</v>
      </c>
      <c r="C24" s="4">
        <v>18</v>
      </c>
      <c r="D24" s="10">
        <f>'dpc-covid19-ita-andamento-naz'!L15</f>
        <v>7375</v>
      </c>
      <c r="E24" s="8">
        <f t="shared" si="0"/>
        <v>5115.172658627469</v>
      </c>
      <c r="F24" s="10">
        <f t="shared" si="4"/>
        <v>7502.696836723695</v>
      </c>
      <c r="G24" s="10">
        <f t="shared" si="5"/>
        <v>2727.6484805312434</v>
      </c>
      <c r="H24" s="10">
        <f>'dpc-covid19-ita-andamento-naz'!K15</f>
        <v>366</v>
      </c>
      <c r="I24" s="8">
        <f t="shared" si="1"/>
        <v>343.11361622773876</v>
      </c>
      <c r="J24" s="10">
        <f t="shared" si="2"/>
        <v>510.44948407585781</v>
      </c>
      <c r="K24" s="10">
        <f t="shared" si="3"/>
        <v>175.77774837961971</v>
      </c>
      <c r="L24" s="1"/>
      <c r="M24" s="2" t="s">
        <v>5</v>
      </c>
      <c r="N24" s="7" cm="1">
        <f t="array" ref="N24">1-SUM((H7:H49-I7:I49)^2)/SUM((H7:H49-Mean_of_yh)^2)</f>
        <v>0.99964456689982228</v>
      </c>
    </row>
    <row r="25" spans="2:14" x14ac:dyDescent="0.3">
      <c r="B25" s="9">
        <v>43899</v>
      </c>
      <c r="C25" s="4">
        <v>19</v>
      </c>
      <c r="D25" s="10">
        <f>'dpc-covid19-ita-andamento-naz'!L16</f>
        <v>9172</v>
      </c>
      <c r="E25" s="8">
        <f t="shared" si="0"/>
        <v>6798.888987498116</v>
      </c>
      <c r="F25" s="10">
        <f t="shared" si="4"/>
        <v>9186.413165594342</v>
      </c>
      <c r="G25" s="10">
        <f t="shared" si="5"/>
        <v>4411.3648094018899</v>
      </c>
      <c r="H25" s="10">
        <f>'dpc-covid19-ita-andamento-naz'!K16</f>
        <v>463</v>
      </c>
      <c r="I25" s="8">
        <f t="shared" si="1"/>
        <v>462.44228307303405</v>
      </c>
      <c r="J25" s="10">
        <f t="shared" si="2"/>
        <v>629.77815092115316</v>
      </c>
      <c r="K25" s="10">
        <f t="shared" si="3"/>
        <v>295.106415224915</v>
      </c>
      <c r="L25" s="1"/>
      <c r="M25" s="2" t="s">
        <v>6</v>
      </c>
      <c r="N25" s="7">
        <f>TINV(0.05,dfh)</f>
        <v>2.0195409704413767</v>
      </c>
    </row>
    <row r="26" spans="2:14" x14ac:dyDescent="0.3">
      <c r="B26" s="22">
        <v>43900</v>
      </c>
      <c r="C26" s="4">
        <v>20</v>
      </c>
      <c r="D26" s="10">
        <f>'dpc-covid19-ita-andamento-naz'!L17</f>
        <v>10149</v>
      </c>
      <c r="E26" s="8">
        <f t="shared" si="0"/>
        <v>8821.7111896107017</v>
      </c>
      <c r="F26" s="10">
        <f t="shared" si="4"/>
        <v>11209.235367706928</v>
      </c>
      <c r="G26" s="10">
        <f t="shared" si="5"/>
        <v>6434.1870115144757</v>
      </c>
      <c r="H26" s="10">
        <f>'dpc-covid19-ita-andamento-naz'!K17</f>
        <v>631</v>
      </c>
      <c r="I26" s="8">
        <f t="shared" si="1"/>
        <v>609.69753203859761</v>
      </c>
      <c r="J26" s="10">
        <f t="shared" si="2"/>
        <v>777.03339988671667</v>
      </c>
      <c r="K26" s="10">
        <f t="shared" si="3"/>
        <v>442.36166419047856</v>
      </c>
      <c r="L26" s="1"/>
      <c r="M26" s="2" t="s">
        <v>7</v>
      </c>
      <c r="N26" s="1">
        <f>Critical_th*SE_of_yh</f>
        <v>167.33586784811905</v>
      </c>
    </row>
    <row r="27" spans="2:14" x14ac:dyDescent="0.3">
      <c r="B27" s="9">
        <v>43901</v>
      </c>
      <c r="C27" s="4">
        <v>21</v>
      </c>
      <c r="D27" s="10">
        <f>'dpc-covid19-ita-andamento-naz'!L18</f>
        <v>12462</v>
      </c>
      <c r="E27" s="8">
        <f t="shared" si="0"/>
        <v>11201.454871158108</v>
      </c>
      <c r="F27" s="10">
        <f t="shared" si="4"/>
        <v>13588.979049254334</v>
      </c>
      <c r="G27" s="10">
        <f t="shared" si="5"/>
        <v>8813.9306930618823</v>
      </c>
      <c r="H27" s="10">
        <f>'dpc-covid19-ita-andamento-naz'!K18</f>
        <v>827</v>
      </c>
      <c r="I27" s="8">
        <f t="shared" si="1"/>
        <v>788.06677716765967</v>
      </c>
      <c r="J27" s="10">
        <f t="shared" si="2"/>
        <v>955.40264501577872</v>
      </c>
      <c r="K27" s="10">
        <f t="shared" si="3"/>
        <v>620.73090931954061</v>
      </c>
      <c r="L27" s="1"/>
      <c r="M27" s="37" t="s">
        <v>69</v>
      </c>
      <c r="N27" s="38">
        <f>t0h*_xlfn.GAMMA(wh+1)</f>
        <v>36589.233990176574</v>
      </c>
    </row>
    <row r="28" spans="2:14" x14ac:dyDescent="0.3">
      <c r="B28" s="22">
        <v>43902</v>
      </c>
      <c r="C28" s="4">
        <v>22</v>
      </c>
      <c r="D28" s="10">
        <f>'dpc-covid19-ita-andamento-naz'!L19</f>
        <v>15113</v>
      </c>
      <c r="E28" s="8">
        <f t="shared" si="0"/>
        <v>13948.414443874794</v>
      </c>
      <c r="F28" s="10">
        <f t="shared" si="4"/>
        <v>16335.93862197102</v>
      </c>
      <c r="G28" s="10">
        <f t="shared" si="5"/>
        <v>11560.890265778567</v>
      </c>
      <c r="H28" s="10">
        <f>'dpc-covid19-ita-andamento-naz'!K19</f>
        <v>1016</v>
      </c>
      <c r="I28" s="8">
        <f t="shared" si="1"/>
        <v>1000.5182478708707</v>
      </c>
      <c r="J28" s="10">
        <f t="shared" si="2"/>
        <v>1167.8541157189898</v>
      </c>
      <c r="K28" s="10">
        <f t="shared" si="3"/>
        <v>833.18238002275166</v>
      </c>
      <c r="L28" s="1"/>
      <c r="M28" s="5"/>
    </row>
    <row r="29" spans="2:14" x14ac:dyDescent="0.3">
      <c r="B29" s="9">
        <v>43903</v>
      </c>
      <c r="C29" s="4">
        <v>23</v>
      </c>
      <c r="D29" s="10">
        <f>'dpc-covid19-ita-andamento-naz'!L20</f>
        <v>17660</v>
      </c>
      <c r="E29" s="8">
        <f t="shared" si="0"/>
        <v>17064.951091201725</v>
      </c>
      <c r="F29" s="10">
        <f t="shared" si="4"/>
        <v>19452.475269297949</v>
      </c>
      <c r="G29" s="10">
        <f t="shared" si="5"/>
        <v>14677.426913105499</v>
      </c>
      <c r="H29" s="10">
        <f>'dpc-covid19-ita-andamento-naz'!K20</f>
        <v>1266</v>
      </c>
      <c r="I29" s="8">
        <f t="shared" si="1"/>
        <v>1249.7211852310752</v>
      </c>
      <c r="J29" s="10">
        <f t="shared" si="2"/>
        <v>1417.0570530791942</v>
      </c>
      <c r="K29" s="10">
        <f t="shared" si="3"/>
        <v>1082.3853173829561</v>
      </c>
      <c r="L29" s="1"/>
      <c r="M29" s="5"/>
    </row>
    <row r="30" spans="2:14" x14ac:dyDescent="0.3">
      <c r="B30" s="9">
        <v>43904</v>
      </c>
      <c r="C30" s="4">
        <v>24</v>
      </c>
      <c r="D30" s="10">
        <f>'dpc-covid19-ita-andamento-naz'!L21</f>
        <v>21157</v>
      </c>
      <c r="E30" s="8">
        <f t="shared" si="0"/>
        <v>20545.446575936119</v>
      </c>
      <c r="F30" s="10">
        <f t="shared" si="4"/>
        <v>22932.970754032343</v>
      </c>
      <c r="G30" s="10">
        <f t="shared" si="5"/>
        <v>18157.922397839895</v>
      </c>
      <c r="H30" s="10">
        <f>'dpc-covid19-ita-andamento-naz'!K21</f>
        <v>1441</v>
      </c>
      <c r="I30" s="8">
        <f t="shared" si="1"/>
        <v>1537.9763180711896</v>
      </c>
      <c r="J30" s="10">
        <f t="shared" si="2"/>
        <v>1705.3121859193086</v>
      </c>
      <c r="K30" s="10">
        <f t="shared" si="3"/>
        <v>1370.6404502230705</v>
      </c>
      <c r="L30" s="1"/>
      <c r="M30" s="5"/>
    </row>
    <row r="31" spans="2:14" x14ac:dyDescent="0.3">
      <c r="B31" s="9">
        <v>43905</v>
      </c>
      <c r="C31" s="4">
        <v>25</v>
      </c>
      <c r="D31" s="10">
        <f>'dpc-covid19-ita-andamento-naz'!L22</f>
        <v>24747</v>
      </c>
      <c r="E31" s="8">
        <f t="shared" si="0"/>
        <v>24376.591863011941</v>
      </c>
      <c r="F31" s="10">
        <f t="shared" si="4"/>
        <v>26764.116041108166</v>
      </c>
      <c r="G31" s="10">
        <f t="shared" si="5"/>
        <v>21989.067684915717</v>
      </c>
      <c r="H31" s="10">
        <f>'dpc-covid19-ita-andamento-naz'!K22</f>
        <v>1809</v>
      </c>
      <c r="I31" s="8">
        <f t="shared" si="1"/>
        <v>1867.1585085323197</v>
      </c>
      <c r="J31" s="10">
        <f t="shared" si="2"/>
        <v>2034.4943763804388</v>
      </c>
      <c r="K31" s="10">
        <f t="shared" si="3"/>
        <v>1699.8226406842007</v>
      </c>
      <c r="L31" s="1"/>
      <c r="M31" s="5"/>
    </row>
    <row r="32" spans="2:14" x14ac:dyDescent="0.3">
      <c r="B32" s="9">
        <v>43906</v>
      </c>
      <c r="C32" s="4">
        <v>26</v>
      </c>
      <c r="D32" s="10">
        <f>'dpc-covid19-ita-andamento-naz'!L23</f>
        <v>27980</v>
      </c>
      <c r="E32" s="8">
        <f t="shared" si="0"/>
        <v>28537.96368530011</v>
      </c>
      <c r="F32" s="10">
        <f t="shared" si="4"/>
        <v>30925.487863396334</v>
      </c>
      <c r="G32" s="10">
        <f t="shared" si="5"/>
        <v>26150.439507203886</v>
      </c>
      <c r="H32" s="10">
        <f>'dpc-covid19-ita-andamento-naz'!K23</f>
        <v>2158</v>
      </c>
      <c r="I32" s="8">
        <f t="shared" si="1"/>
        <v>2238.6727501754958</v>
      </c>
      <c r="J32" s="10">
        <f t="shared" si="2"/>
        <v>2406.0086180236149</v>
      </c>
      <c r="K32" s="10">
        <f t="shared" si="3"/>
        <v>2071.3368823273768</v>
      </c>
      <c r="L32" s="1"/>
      <c r="M32" s="5"/>
    </row>
    <row r="33" spans="2:17" x14ac:dyDescent="0.3">
      <c r="B33" s="9">
        <v>43907</v>
      </c>
      <c r="C33" s="4">
        <v>27</v>
      </c>
      <c r="D33" s="10">
        <f>'dpc-covid19-ita-andamento-naz'!L24</f>
        <v>31506</v>
      </c>
      <c r="E33" s="8">
        <f t="shared" si="0"/>
        <v>33002.832203596772</v>
      </c>
      <c r="F33" s="10">
        <f t="shared" si="4"/>
        <v>35390.356381692996</v>
      </c>
      <c r="G33" s="10">
        <f t="shared" si="5"/>
        <v>30615.308025500548</v>
      </c>
      <c r="H33" s="10">
        <f>'dpc-covid19-ita-andamento-naz'!K24</f>
        <v>2503</v>
      </c>
      <c r="I33" s="8">
        <f t="shared" si="1"/>
        <v>2653.4240424498817</v>
      </c>
      <c r="J33" s="10">
        <f t="shared" si="2"/>
        <v>2820.7599102980007</v>
      </c>
      <c r="K33" s="10">
        <f t="shared" si="3"/>
        <v>2486.0881746017626</v>
      </c>
      <c r="L33" s="1"/>
      <c r="N33" s="1"/>
    </row>
    <row r="34" spans="2:17" x14ac:dyDescent="0.3">
      <c r="B34" s="9">
        <v>43908</v>
      </c>
      <c r="C34" s="4">
        <v>28</v>
      </c>
      <c r="D34" s="10">
        <f>'dpc-covid19-ita-andamento-naz'!L25</f>
        <v>35713</v>
      </c>
      <c r="E34" s="8">
        <f t="shared" si="0"/>
        <v>37739.138306883113</v>
      </c>
      <c r="F34" s="10">
        <f t="shared" ref="F34:F48" si="6">E34+CI</f>
        <v>40126.662484979337</v>
      </c>
      <c r="G34" s="10">
        <f t="shared" si="5"/>
        <v>35351.614128786889</v>
      </c>
      <c r="H34" s="10">
        <f>'dpc-covid19-ita-andamento-naz'!K25</f>
        <v>2978</v>
      </c>
      <c r="I34" s="8">
        <f t="shared" si="1"/>
        <v>3111.8010787446037</v>
      </c>
      <c r="J34" s="10">
        <f t="shared" si="2"/>
        <v>3279.1369465927228</v>
      </c>
      <c r="K34" s="10">
        <f t="shared" si="3"/>
        <v>2944.4652108964847</v>
      </c>
      <c r="N34" s="6"/>
      <c r="Q34" s="1"/>
    </row>
    <row r="35" spans="2:17" x14ac:dyDescent="0.3">
      <c r="B35" s="9">
        <v>43909</v>
      </c>
      <c r="C35" s="4">
        <v>29</v>
      </c>
      <c r="D35" s="10">
        <f>'dpc-covid19-ita-andamento-naz'!L26</f>
        <v>41035</v>
      </c>
      <c r="E35" s="8">
        <f t="shared" si="0"/>
        <v>42710.579064727492</v>
      </c>
      <c r="F35" s="10">
        <f t="shared" si="6"/>
        <v>45098.103242823716</v>
      </c>
      <c r="G35" s="10">
        <f t="shared" si="5"/>
        <v>40323.054886631267</v>
      </c>
      <c r="H35" s="10">
        <f>'dpc-covid19-ita-andamento-naz'!K26</f>
        <v>3405</v>
      </c>
      <c r="I35" s="8">
        <f t="shared" si="1"/>
        <v>3613.6731867693657</v>
      </c>
      <c r="J35" s="10">
        <f t="shared" si="2"/>
        <v>3781.0090546174847</v>
      </c>
      <c r="K35" s="10">
        <f t="shared" si="3"/>
        <v>3446.3373189212466</v>
      </c>
      <c r="N35" s="7"/>
    </row>
    <row r="36" spans="2:17" x14ac:dyDescent="0.3">
      <c r="B36" s="9">
        <v>43910</v>
      </c>
      <c r="C36" s="4">
        <v>30</v>
      </c>
      <c r="D36" s="10">
        <f>'dpc-covid19-ita-andamento-naz'!L27</f>
        <v>47021</v>
      </c>
      <c r="E36" s="8">
        <f t="shared" si="0"/>
        <v>47877.743426238179</v>
      </c>
      <c r="F36" s="10">
        <f t="shared" si="6"/>
        <v>50265.267604334404</v>
      </c>
      <c r="G36" s="10">
        <f t="shared" si="5"/>
        <v>45490.219248141955</v>
      </c>
      <c r="H36" s="10">
        <f>'dpc-covid19-ita-andamento-naz'!K27</f>
        <v>4032</v>
      </c>
      <c r="I36" s="8">
        <f t="shared" si="1"/>
        <v>4158.3995573151133</v>
      </c>
      <c r="J36" s="10">
        <f t="shared" si="2"/>
        <v>4325.7354251632323</v>
      </c>
      <c r="K36" s="10">
        <f t="shared" si="3"/>
        <v>3991.0636894669942</v>
      </c>
      <c r="N36" s="7"/>
    </row>
    <row r="37" spans="2:17" x14ac:dyDescent="0.3">
      <c r="B37" s="9">
        <v>43911</v>
      </c>
      <c r="C37" s="4">
        <v>31</v>
      </c>
      <c r="D37" s="10">
        <f>'dpc-covid19-ita-andamento-naz'!L28</f>
        <v>53578</v>
      </c>
      <c r="E37" s="8">
        <f t="shared" si="0"/>
        <v>53199.246470456557</v>
      </c>
      <c r="F37" s="10">
        <f t="shared" si="6"/>
        <v>55586.770648552781</v>
      </c>
      <c r="G37" s="10">
        <f t="shared" si="5"/>
        <v>50811.722292360333</v>
      </c>
      <c r="H37" s="10">
        <f>'dpc-covid19-ita-andamento-naz'!K28</f>
        <v>4825</v>
      </c>
      <c r="I37" s="8">
        <f t="shared" si="1"/>
        <v>4744.8494916733089</v>
      </c>
      <c r="J37" s="10">
        <f t="shared" si="2"/>
        <v>4912.1853595214279</v>
      </c>
      <c r="K37" s="10">
        <f t="shared" si="3"/>
        <v>4577.5136238251898</v>
      </c>
      <c r="N37" s="1"/>
    </row>
    <row r="38" spans="2:17" x14ac:dyDescent="0.3">
      <c r="B38" s="9">
        <v>43912</v>
      </c>
      <c r="C38" s="4">
        <v>32</v>
      </c>
      <c r="D38" s="10">
        <f>'dpc-covid19-ita-andamento-naz'!L29</f>
        <v>59138</v>
      </c>
      <c r="E38" s="8">
        <f t="shared" si="0"/>
        <v>58632.81841441345</v>
      </c>
      <c r="F38" s="10">
        <f t="shared" si="6"/>
        <v>61020.342592509674</v>
      </c>
      <c r="G38" s="10">
        <f t="shared" ref="G38:G48" si="7">MAX(E38-CI,0)</f>
        <v>56245.294236317226</v>
      </c>
      <c r="H38" s="10">
        <f>'dpc-covid19-ita-andamento-naz'!K29</f>
        <v>5476</v>
      </c>
      <c r="I38" s="8">
        <f t="shared" si="1"/>
        <v>5371.4321852908524</v>
      </c>
      <c r="J38" s="10">
        <f t="shared" si="2"/>
        <v>5538.7680531389715</v>
      </c>
      <c r="K38" s="10">
        <f t="shared" si="3"/>
        <v>5204.0963174427334</v>
      </c>
    </row>
    <row r="39" spans="2:17" x14ac:dyDescent="0.3">
      <c r="B39" s="22">
        <v>43913</v>
      </c>
      <c r="C39" s="4">
        <v>33</v>
      </c>
      <c r="D39" s="10">
        <f>'dpc-covid19-ita-andamento-naz'!L30</f>
        <v>63927</v>
      </c>
      <c r="E39" s="8">
        <f t="shared" ref="E39:E70" si="8">t0*_xlfn.GAMMA.DIST($C39/t0,w+1,1,1)*_xlfn.GAMMA(w+1)</f>
        <v>64136.313348587173</v>
      </c>
      <c r="F39" s="10">
        <f t="shared" si="6"/>
        <v>66523.837526683405</v>
      </c>
      <c r="G39" s="10">
        <f t="shared" si="7"/>
        <v>61748.789170490949</v>
      </c>
      <c r="H39" s="10">
        <f>'dpc-covid19-ita-andamento-naz'!K30</f>
        <v>6077</v>
      </c>
      <c r="I39" s="8">
        <f t="shared" ref="I39:I70" si="9">t0h*_xlfn.GAMMA.DIST($C39/t0h,wh+1,1,1)*_xlfn.GAMMA(wh+1)</f>
        <v>6036.1344381463496</v>
      </c>
      <c r="J39" s="10">
        <f t="shared" si="2"/>
        <v>6203.4703059944686</v>
      </c>
      <c r="K39" s="10">
        <f t="shared" si="3"/>
        <v>5868.7985702982305</v>
      </c>
    </row>
    <row r="40" spans="2:17" x14ac:dyDescent="0.3">
      <c r="B40" s="9">
        <v>43914</v>
      </c>
      <c r="C40" s="4">
        <v>34</v>
      </c>
      <c r="D40" s="10">
        <f>'dpc-covid19-ita-andamento-naz'!L31</f>
        <v>69176</v>
      </c>
      <c r="E40" s="8">
        <f t="shared" si="8"/>
        <v>69668.611606509585</v>
      </c>
      <c r="F40" s="10">
        <f t="shared" si="6"/>
        <v>72056.135784605809</v>
      </c>
      <c r="G40" s="10">
        <f t="shared" si="7"/>
        <v>67281.087428413361</v>
      </c>
      <c r="H40" s="10">
        <f>'dpc-covid19-ita-andamento-naz'!K31</f>
        <v>6820</v>
      </c>
      <c r="I40" s="8">
        <f t="shared" si="9"/>
        <v>6736.5646309991798</v>
      </c>
      <c r="J40" s="10">
        <f t="shared" si="2"/>
        <v>6903.9004988472989</v>
      </c>
      <c r="K40" s="10">
        <f t="shared" si="3"/>
        <v>6569.2287631510608</v>
      </c>
    </row>
    <row r="41" spans="2:17" x14ac:dyDescent="0.3">
      <c r="B41" s="9">
        <v>43915</v>
      </c>
      <c r="C41" s="4">
        <v>35</v>
      </c>
      <c r="D41" s="10">
        <f>'dpc-covid19-ita-andamento-naz'!L32</f>
        <v>74386</v>
      </c>
      <c r="E41" s="8">
        <f t="shared" si="8"/>
        <v>75190.398248655125</v>
      </c>
      <c r="F41" s="10">
        <f t="shared" si="6"/>
        <v>77577.922426751349</v>
      </c>
      <c r="G41" s="10">
        <f t="shared" si="7"/>
        <v>72802.874070558901</v>
      </c>
      <c r="H41" s="10">
        <f>'dpc-covid19-ita-andamento-naz'!K32</f>
        <v>7503</v>
      </c>
      <c r="I41" s="8">
        <f t="shared" si="9"/>
        <v>7470.0013198789229</v>
      </c>
      <c r="J41" s="10">
        <f t="shared" si="2"/>
        <v>7637.337187727042</v>
      </c>
      <c r="K41" s="10">
        <f t="shared" si="3"/>
        <v>7302.6654520308039</v>
      </c>
    </row>
    <row r="42" spans="2:17" x14ac:dyDescent="0.3">
      <c r="B42" s="9">
        <v>43916</v>
      </c>
      <c r="C42" s="4">
        <v>36</v>
      </c>
      <c r="D42" s="10">
        <f>'dpc-covid19-ita-andamento-naz'!L33</f>
        <v>80539</v>
      </c>
      <c r="E42" s="8">
        <f t="shared" si="8"/>
        <v>80664.807961964558</v>
      </c>
      <c r="F42" s="10">
        <f t="shared" si="6"/>
        <v>83052.332140060782</v>
      </c>
      <c r="G42" s="10">
        <f t="shared" si="7"/>
        <v>78277.283783868334</v>
      </c>
      <c r="H42" s="10">
        <f>'dpc-covid19-ita-andamento-naz'!K33</f>
        <v>8165</v>
      </c>
      <c r="I42" s="8">
        <f t="shared" si="9"/>
        <v>8233.4448672285162</v>
      </c>
      <c r="J42" s="10">
        <f t="shared" si="2"/>
        <v>8400.7807350766343</v>
      </c>
      <c r="K42" s="10">
        <f t="shared" si="3"/>
        <v>8066.1089993803971</v>
      </c>
    </row>
    <row r="43" spans="2:17" x14ac:dyDescent="0.3">
      <c r="B43" s="9">
        <v>43917</v>
      </c>
      <c r="C43" s="4">
        <v>37</v>
      </c>
      <c r="D43" s="10">
        <f>'dpc-covid19-ita-andamento-naz'!L34</f>
        <v>86498</v>
      </c>
      <c r="E43" s="8">
        <f t="shared" si="8"/>
        <v>86057.933492463853</v>
      </c>
      <c r="F43" s="10">
        <f t="shared" si="6"/>
        <v>88445.457670560078</v>
      </c>
      <c r="G43" s="10">
        <f t="shared" si="7"/>
        <v>83670.409314367629</v>
      </c>
      <c r="H43" s="10">
        <f>'dpc-covid19-ita-andamento-naz'!K34</f>
        <v>9134</v>
      </c>
      <c r="I43" s="8">
        <f t="shared" si="9"/>
        <v>9023.6706354132311</v>
      </c>
      <c r="J43" s="10">
        <f t="shared" si="2"/>
        <v>9191.0065032613493</v>
      </c>
      <c r="K43" s="10">
        <f t="shared" si="3"/>
        <v>8856.334767565113</v>
      </c>
    </row>
    <row r="44" spans="2:17" x14ac:dyDescent="0.3">
      <c r="B44" s="9">
        <v>43918</v>
      </c>
      <c r="C44" s="4">
        <v>38</v>
      </c>
      <c r="D44" s="10">
        <f>'dpc-covid19-ita-andamento-naz'!L35</f>
        <v>92472</v>
      </c>
      <c r="E44" s="8">
        <f t="shared" si="8"/>
        <v>91339.200403306866</v>
      </c>
      <c r="F44" s="10">
        <f t="shared" si="6"/>
        <v>93726.72458140309</v>
      </c>
      <c r="G44" s="10">
        <f t="shared" si="7"/>
        <v>88951.676225210642</v>
      </c>
      <c r="H44" s="10">
        <f>'dpc-covid19-ita-andamento-naz'!K35</f>
        <v>10023</v>
      </c>
      <c r="I44" s="8">
        <f t="shared" si="9"/>
        <v>9837.2824059122067</v>
      </c>
      <c r="J44" s="10">
        <f t="shared" si="2"/>
        <v>10004.618273760327</v>
      </c>
      <c r="K44" s="10">
        <f t="shared" si="3"/>
        <v>9669.9465380640868</v>
      </c>
    </row>
    <row r="45" spans="2:17" x14ac:dyDescent="0.3">
      <c r="B45" s="9">
        <v>43919</v>
      </c>
      <c r="C45" s="4">
        <v>39</v>
      </c>
      <c r="D45" s="10">
        <f>'dpc-covid19-ita-andamento-naz'!L36</f>
        <v>97689</v>
      </c>
      <c r="E45" s="8">
        <f t="shared" si="8"/>
        <v>96481.615443348041</v>
      </c>
      <c r="F45" s="10">
        <f t="shared" si="6"/>
        <v>98869.139621444265</v>
      </c>
      <c r="G45" s="10">
        <f t="shared" si="7"/>
        <v>94094.091265251816</v>
      </c>
      <c r="H45" s="10">
        <f>'dpc-covid19-ita-andamento-naz'!K36</f>
        <v>10779</v>
      </c>
      <c r="I45" s="8">
        <f t="shared" si="9"/>
        <v>10670.764845437536</v>
      </c>
      <c r="J45" s="10">
        <f t="shared" si="2"/>
        <v>10838.100713285654</v>
      </c>
      <c r="K45" s="10">
        <f t="shared" si="3"/>
        <v>10503.428977589418</v>
      </c>
    </row>
    <row r="46" spans="2:17" x14ac:dyDescent="0.3">
      <c r="B46" s="9">
        <v>43920</v>
      </c>
      <c r="C46" s="4">
        <v>40</v>
      </c>
      <c r="D46" s="10">
        <f>'dpc-covid19-ita-andamento-naz'!L37</f>
        <v>101739</v>
      </c>
      <c r="E46" s="8">
        <f t="shared" si="8"/>
        <v>101461.89915463101</v>
      </c>
      <c r="F46" s="10">
        <f t="shared" si="6"/>
        <v>103849.42333272724</v>
      </c>
      <c r="G46" s="10">
        <f t="shared" si="7"/>
        <v>99074.374976534789</v>
      </c>
      <c r="H46" s="10">
        <f>'dpc-covid19-ita-andamento-naz'!K37</f>
        <v>11591</v>
      </c>
      <c r="I46" s="8">
        <f t="shared" si="9"/>
        <v>11520.534009673471</v>
      </c>
      <c r="J46" s="10">
        <f t="shared" si="2"/>
        <v>11687.869877521589</v>
      </c>
      <c r="K46" s="10">
        <f t="shared" si="3"/>
        <v>11353.198141825353</v>
      </c>
    </row>
    <row r="47" spans="2:17" x14ac:dyDescent="0.3">
      <c r="B47" s="9">
        <v>43921</v>
      </c>
      <c r="C47" s="4">
        <v>41</v>
      </c>
      <c r="D47" s="10">
        <f>'dpc-covid19-ita-andamento-naz'!L38</f>
        <v>105792</v>
      </c>
      <c r="E47" s="8">
        <f t="shared" si="8"/>
        <v>106260.51562643335</v>
      </c>
      <c r="F47" s="10">
        <f t="shared" si="6"/>
        <v>108648.03980452957</v>
      </c>
      <c r="G47" s="10">
        <f t="shared" si="7"/>
        <v>103872.99144833712</v>
      </c>
      <c r="H47" s="10">
        <f>'dpc-covid19-ita-andamento-naz'!K38</f>
        <v>12428</v>
      </c>
      <c r="I47" s="8">
        <f t="shared" si="9"/>
        <v>12382.98504877031</v>
      </c>
      <c r="J47" s="10">
        <f>I47+CIh</f>
        <v>12550.320916618428</v>
      </c>
      <c r="K47" s="10">
        <f>MAX(I47-CIh,0)</f>
        <v>12215.649180922192</v>
      </c>
    </row>
    <row r="48" spans="2:17" x14ac:dyDescent="0.3">
      <c r="B48" s="9">
        <v>43922</v>
      </c>
      <c r="C48" s="4">
        <v>42</v>
      </c>
      <c r="D48" s="10">
        <f>'dpc-covid19-ita-andamento-naz'!L39</f>
        <v>110574</v>
      </c>
      <c r="E48" s="8">
        <f t="shared" si="8"/>
        <v>110861.6136388536</v>
      </c>
      <c r="F48" s="10">
        <f t="shared" si="6"/>
        <v>113249.13781694982</v>
      </c>
      <c r="G48" s="10">
        <f t="shared" si="7"/>
        <v>108474.08946075737</v>
      </c>
      <c r="H48" s="10">
        <f>'dpc-covid19-ita-andamento-naz'!K39</f>
        <v>13155</v>
      </c>
      <c r="I48" s="8">
        <f t="shared" si="9"/>
        <v>13254.536449946771</v>
      </c>
      <c r="J48" s="10">
        <f>I48+CIh</f>
        <v>13421.872317794889</v>
      </c>
      <c r="K48" s="10">
        <f>MAX(I48-CIh,0)</f>
        <v>13087.200582098652</v>
      </c>
    </row>
    <row r="49" spans="2:11" x14ac:dyDescent="0.3">
      <c r="B49" s="9">
        <v>43923</v>
      </c>
      <c r="C49" s="4">
        <v>43</v>
      </c>
      <c r="D49" s="10">
        <f>'dpc-covid19-ita-andamento-naz'!L40</f>
        <v>115242</v>
      </c>
      <c r="E49" s="8">
        <f t="shared" si="8"/>
        <v>115252.89396978942</v>
      </c>
      <c r="F49" s="10">
        <f t="shared" ref="F49" si="10">E49+CI</f>
        <v>117640.41814788565</v>
      </c>
      <c r="G49" s="10">
        <f t="shared" ref="G49" si="11">MAX(E49-CI,0)</f>
        <v>112865.3697916932</v>
      </c>
      <c r="H49" s="10">
        <f>'dpc-covid19-ita-andamento-naz'!K40</f>
        <v>13915</v>
      </c>
      <c r="I49" s="8">
        <f t="shared" si="9"/>
        <v>14131.670316603775</v>
      </c>
      <c r="J49" s="10">
        <f>I49+CIh</f>
        <v>14299.006184451893</v>
      </c>
      <c r="K49" s="10">
        <f>MAX(I49-CIh,0)</f>
        <v>13964.334448755657</v>
      </c>
    </row>
    <row r="50" spans="2:11" x14ac:dyDescent="0.3">
      <c r="B50" s="9">
        <v>43924</v>
      </c>
      <c r="C50" s="4">
        <v>44</v>
      </c>
      <c r="E50" s="8">
        <f t="shared" si="8"/>
        <v>119425.41751183612</v>
      </c>
      <c r="I50" s="8">
        <f t="shared" si="9"/>
        <v>15010.968336469452</v>
      </c>
    </row>
    <row r="51" spans="2:11" x14ac:dyDescent="0.3">
      <c r="B51" s="9">
        <v>43925</v>
      </c>
      <c r="C51" s="4">
        <v>45</v>
      </c>
      <c r="E51" s="8">
        <f t="shared" si="8"/>
        <v>123373.36820397525</v>
      </c>
      <c r="I51" s="8">
        <f t="shared" si="9"/>
        <v>15889.143230797265</v>
      </c>
    </row>
    <row r="52" spans="2:11" x14ac:dyDescent="0.3">
      <c r="B52" s="9">
        <v>43926</v>
      </c>
      <c r="C52" s="4">
        <v>46</v>
      </c>
      <c r="E52" s="8">
        <f t="shared" si="8"/>
        <v>127093.78376145898</v>
      </c>
      <c r="I52" s="8">
        <f t="shared" si="9"/>
        <v>16763.065600790167</v>
      </c>
    </row>
    <row r="53" spans="2:11" x14ac:dyDescent="0.3">
      <c r="B53" s="9">
        <v>43927</v>
      </c>
      <c r="C53" s="4">
        <v>47</v>
      </c>
      <c r="E53" s="8">
        <f t="shared" si="8"/>
        <v>130586.26590688007</v>
      </c>
      <c r="I53" s="8">
        <f t="shared" si="9"/>
        <v>17629.786195300298</v>
      </c>
    </row>
    <row r="54" spans="2:11" x14ac:dyDescent="0.3">
      <c r="B54" s="9">
        <v>43928</v>
      </c>
      <c r="C54" s="4">
        <v>48</v>
      </c>
      <c r="E54" s="8">
        <f t="shared" si="8"/>
        <v>133852.68037064082</v>
      </c>
      <c r="I54" s="8">
        <f t="shared" si="9"/>
        <v>18486.553715210393</v>
      </c>
    </row>
    <row r="55" spans="2:11" x14ac:dyDescent="0.3">
      <c r="B55" s="9">
        <v>43929</v>
      </c>
      <c r="C55" s="4">
        <v>49</v>
      </c>
      <c r="E55" s="8">
        <f t="shared" si="8"/>
        <v>136896.85542725641</v>
      </c>
      <c r="I55" s="8">
        <f t="shared" si="9"/>
        <v>19330.828345038506</v>
      </c>
    </row>
    <row r="56" spans="2:11" x14ac:dyDescent="0.3">
      <c r="B56" s="9">
        <v>43930</v>
      </c>
      <c r="C56" s="4">
        <v>50</v>
      </c>
      <c r="E56" s="8">
        <f t="shared" si="8"/>
        <v>139724.28623540699</v>
      </c>
      <c r="I56" s="8">
        <f t="shared" si="9"/>
        <v>20160.291261946473</v>
      </c>
    </row>
    <row r="57" spans="2:11" x14ac:dyDescent="0.3">
      <c r="B57" s="9">
        <v>43931</v>
      </c>
      <c r="C57" s="4">
        <v>51</v>
      </c>
      <c r="E57" s="8">
        <f t="shared" si="8"/>
        <v>142341.85080851489</v>
      </c>
      <c r="I57" s="8">
        <f t="shared" si="9"/>
        <v>20972.850417515561</v>
      </c>
    </row>
    <row r="58" spans="2:11" x14ac:dyDescent="0.3">
      <c r="B58" s="9">
        <v>43932</v>
      </c>
      <c r="C58" s="4">
        <v>52</v>
      </c>
      <c r="E58" s="8">
        <f t="shared" si="8"/>
        <v>144757.54209838228</v>
      </c>
      <c r="I58" s="8">
        <f t="shared" si="9"/>
        <v>21766.642919637674</v>
      </c>
    </row>
    <row r="59" spans="2:11" x14ac:dyDescent="0.3">
      <c r="B59" s="9">
        <v>43933</v>
      </c>
      <c r="C59" s="4">
        <v>53</v>
      </c>
      <c r="E59" s="8">
        <f t="shared" si="8"/>
        <v>146980.21945380548</v>
      </c>
      <c r="I59" s="8">
        <f t="shared" si="9"/>
        <v>22540.034362052262</v>
      </c>
    </row>
    <row r="60" spans="2:11" x14ac:dyDescent="0.3">
      <c r="B60" s="9">
        <v>43934</v>
      </c>
      <c r="C60" s="4">
        <v>54</v>
      </c>
      <c r="E60" s="8">
        <f t="shared" si="8"/>
        <v>149019.38163496662</v>
      </c>
      <c r="I60" s="8">
        <f t="shared" si="9"/>
        <v>23291.615458901801</v>
      </c>
    </row>
    <row r="61" spans="2:11" x14ac:dyDescent="0.3">
      <c r="B61" s="9">
        <v>43935</v>
      </c>
      <c r="C61" s="4">
        <v>55</v>
      </c>
      <c r="E61" s="8">
        <f t="shared" si="8"/>
        <v>150884.96262979749</v>
      </c>
      <c r="I61" s="8">
        <f t="shared" si="9"/>
        <v>24020.19634265063</v>
      </c>
    </row>
    <row r="62" spans="2:11" x14ac:dyDescent="0.3">
      <c r="B62" s="9">
        <v>43936</v>
      </c>
      <c r="C62" s="4">
        <v>56</v>
      </c>
      <c r="E62" s="8">
        <f t="shared" si="8"/>
        <v>152587.15073040235</v>
      </c>
      <c r="I62" s="8">
        <f t="shared" si="9"/>
        <v>24724.798877254289</v>
      </c>
    </row>
    <row r="63" spans="2:11" x14ac:dyDescent="0.3">
      <c r="B63" s="9">
        <v>43937</v>
      </c>
      <c r="C63" s="4">
        <v>57</v>
      </c>
      <c r="E63" s="8">
        <f t="shared" si="8"/>
        <v>154136.23068065188</v>
      </c>
      <c r="I63" s="8">
        <f t="shared" si="9"/>
        <v>25404.647325945738</v>
      </c>
    </row>
    <row r="64" spans="2:11" x14ac:dyDescent="0.3">
      <c r="B64" s="9">
        <v>43938</v>
      </c>
      <c r="C64" s="4">
        <v>58</v>
      </c>
      <c r="E64" s="8">
        <f t="shared" si="8"/>
        <v>155542.44819104546</v>
      </c>
      <c r="I64" s="8">
        <f t="shared" si="9"/>
        <v>26059.15769569574</v>
      </c>
    </row>
    <row r="65" spans="2:9" x14ac:dyDescent="0.3">
      <c r="B65" s="9">
        <v>43939</v>
      </c>
      <c r="C65" s="4">
        <v>59</v>
      </c>
      <c r="E65" s="8">
        <f t="shared" si="8"/>
        <v>156815.89572212417</v>
      </c>
      <c r="I65" s="8">
        <f t="shared" si="9"/>
        <v>26687.926059473379</v>
      </c>
    </row>
    <row r="66" spans="2:9" x14ac:dyDescent="0.3">
      <c r="B66" s="9">
        <v>43940</v>
      </c>
      <c r="C66" s="4">
        <v>60</v>
      </c>
      <c r="E66" s="8">
        <f t="shared" si="8"/>
        <v>157966.41814986651</v>
      </c>
      <c r="I66" s="8">
        <f t="shared" si="9"/>
        <v>27290.716133922306</v>
      </c>
    </row>
    <row r="67" spans="2:9" x14ac:dyDescent="0.3">
      <c r="B67" s="9">
        <v>43941</v>
      </c>
      <c r="C67" s="4">
        <v>61</v>
      </c>
      <c r="E67" s="8">
        <f t="shared" si="8"/>
        <v>159003.53673172163</v>
      </c>
      <c r="I67" s="8">
        <f t="shared" si="9"/>
        <v>27867.446364898005</v>
      </c>
    </row>
    <row r="68" spans="2:9" x14ac:dyDescent="0.3">
      <c r="B68" s="9">
        <v>43942</v>
      </c>
      <c r="C68" s="4">
        <v>62</v>
      </c>
      <c r="E68" s="8">
        <f t="shared" si="8"/>
        <v>159936.3896763738</v>
      </c>
      <c r="I68" s="8">
        <f t="shared" si="9"/>
        <v>28418.176747276557</v>
      </c>
    </row>
    <row r="69" spans="2:9" x14ac:dyDescent="0.3">
      <c r="B69" s="9">
        <v>43943</v>
      </c>
      <c r="C69" s="4">
        <v>63</v>
      </c>
      <c r="E69" s="8">
        <f t="shared" si="8"/>
        <v>160773.68757064303</v>
      </c>
      <c r="I69" s="8">
        <f t="shared" si="9"/>
        <v>28943.095579219691</v>
      </c>
    </row>
    <row r="70" spans="2:9" x14ac:dyDescent="0.3">
      <c r="B70" s="9">
        <v>43944</v>
      </c>
      <c r="C70" s="4">
        <v>64</v>
      </c>
      <c r="E70" s="8">
        <f t="shared" si="8"/>
        <v>161523.68192065132</v>
      </c>
      <c r="I70" s="8">
        <f t="shared" si="9"/>
        <v>29442.506325222792</v>
      </c>
    </row>
    <row r="71" spans="2:9" x14ac:dyDescent="0.3">
      <c r="B71" s="9"/>
      <c r="C71" s="4"/>
      <c r="E71" s="8"/>
      <c r="I71" s="8"/>
    </row>
    <row r="72" spans="2:9" x14ac:dyDescent="0.3">
      <c r="B72" s="9"/>
      <c r="C72" s="4"/>
      <c r="E72" s="8"/>
      <c r="I72" s="8"/>
    </row>
    <row r="73" spans="2:9" x14ac:dyDescent="0.3">
      <c r="B73" s="9"/>
      <c r="C73" s="4"/>
      <c r="E73" s="8"/>
      <c r="I73" s="8"/>
    </row>
    <row r="74" spans="2:9" x14ac:dyDescent="0.3">
      <c r="B74" s="9"/>
      <c r="C74" s="4"/>
      <c r="E74" s="8"/>
      <c r="I74" s="8"/>
    </row>
    <row r="75" spans="2:9" x14ac:dyDescent="0.3">
      <c r="B75" s="9"/>
      <c r="C75" s="4"/>
      <c r="E75" s="8"/>
      <c r="I75" s="8"/>
    </row>
    <row r="76" spans="2:9" x14ac:dyDescent="0.3">
      <c r="B76" s="9"/>
      <c r="C76" s="4"/>
      <c r="E76" s="8"/>
      <c r="I76" s="8"/>
    </row>
    <row r="77" spans="2:9" x14ac:dyDescent="0.3">
      <c r="B77" s="9"/>
      <c r="C77" s="4"/>
      <c r="E77" s="8"/>
      <c r="I77" s="8"/>
    </row>
    <row r="78" spans="2:9" x14ac:dyDescent="0.3">
      <c r="B78" s="9"/>
      <c r="C78" s="4"/>
      <c r="E78" s="8"/>
      <c r="I78" s="8"/>
    </row>
    <row r="79" spans="2:9" x14ac:dyDescent="0.3">
      <c r="B79" s="9"/>
      <c r="C79" s="4"/>
      <c r="E79" s="8"/>
      <c r="I79" s="8"/>
    </row>
    <row r="80" spans="2:9" x14ac:dyDescent="0.3">
      <c r="B80" s="9"/>
      <c r="C80" s="4"/>
      <c r="E80" s="8"/>
      <c r="I80" s="8"/>
    </row>
    <row r="81" spans="2:9" x14ac:dyDescent="0.3">
      <c r="B81" s="9"/>
      <c r="C81" s="4"/>
      <c r="E81" s="8"/>
      <c r="I81" s="8"/>
    </row>
    <row r="82" spans="2:9" x14ac:dyDescent="0.3">
      <c r="B82" s="9"/>
      <c r="C82" s="4"/>
      <c r="E82" s="8"/>
      <c r="I82" s="8"/>
    </row>
    <row r="83" spans="2:9" x14ac:dyDescent="0.3">
      <c r="B83" s="9"/>
      <c r="C83" s="4"/>
      <c r="E83" s="8"/>
      <c r="I83" s="8"/>
    </row>
    <row r="84" spans="2:9" x14ac:dyDescent="0.3">
      <c r="B84" s="9"/>
      <c r="C84" s="4"/>
      <c r="E84" s="8"/>
      <c r="I84" s="8"/>
    </row>
    <row r="85" spans="2:9" x14ac:dyDescent="0.3">
      <c r="B85" s="9"/>
      <c r="C85" s="4"/>
      <c r="E85" s="8"/>
      <c r="I85" s="8"/>
    </row>
    <row r="86" spans="2:9" x14ac:dyDescent="0.3">
      <c r="B86" s="9"/>
      <c r="C86" s="4"/>
      <c r="E86" s="8"/>
      <c r="I86" s="8"/>
    </row>
    <row r="87" spans="2:9" x14ac:dyDescent="0.3">
      <c r="B87" s="9"/>
      <c r="C87" s="4"/>
      <c r="E87" s="8"/>
      <c r="I87" s="8"/>
    </row>
    <row r="88" spans="2:9" x14ac:dyDescent="0.3">
      <c r="B88" s="9"/>
      <c r="C88" s="4"/>
      <c r="E88" s="8"/>
      <c r="I88" s="8"/>
    </row>
    <row r="89" spans="2:9" x14ac:dyDescent="0.3">
      <c r="B89" s="9"/>
      <c r="C89" s="4"/>
      <c r="E89" s="8"/>
      <c r="I89" s="8"/>
    </row>
    <row r="90" spans="2:9" x14ac:dyDescent="0.3">
      <c r="B90" s="9"/>
      <c r="C90" s="4"/>
      <c r="E90" s="8"/>
      <c r="I90" s="8"/>
    </row>
    <row r="91" spans="2:9" x14ac:dyDescent="0.3">
      <c r="B91" s="9"/>
      <c r="C91" s="4"/>
      <c r="E91" s="8"/>
      <c r="I91" s="8"/>
    </row>
    <row r="92" spans="2:9" x14ac:dyDescent="0.3">
      <c r="B92" s="9"/>
      <c r="C92" s="4"/>
      <c r="E92" s="8"/>
      <c r="I92" s="8"/>
    </row>
    <row r="93" spans="2:9" x14ac:dyDescent="0.3">
      <c r="B93" s="9"/>
      <c r="C93" s="4"/>
      <c r="E93" s="8"/>
      <c r="I93" s="8"/>
    </row>
    <row r="94" spans="2:9" x14ac:dyDescent="0.3">
      <c r="B94" s="9"/>
      <c r="C94" s="4"/>
      <c r="E94" s="8"/>
      <c r="I94" s="8"/>
    </row>
    <row r="95" spans="2:9" x14ac:dyDescent="0.3">
      <c r="B95" s="9"/>
      <c r="C95" s="4"/>
      <c r="E95" s="8"/>
      <c r="I95" s="8"/>
    </row>
    <row r="96" spans="2:9" x14ac:dyDescent="0.3">
      <c r="B96" s="9"/>
      <c r="C96" s="4"/>
      <c r="E96" s="8"/>
      <c r="I96" s="8"/>
    </row>
    <row r="97" spans="2:9" x14ac:dyDescent="0.3">
      <c r="B97" s="9"/>
      <c r="C97" s="4"/>
      <c r="E97" s="8"/>
      <c r="I97" s="8"/>
    </row>
    <row r="98" spans="2:9" x14ac:dyDescent="0.3">
      <c r="B98" s="9"/>
      <c r="C98" s="4"/>
      <c r="E98" s="8"/>
      <c r="I98" s="8"/>
    </row>
    <row r="99" spans="2:9" x14ac:dyDescent="0.3">
      <c r="B99" s="9"/>
      <c r="C99" s="4"/>
      <c r="E99" s="8"/>
      <c r="I99" s="8"/>
    </row>
    <row r="100" spans="2:9" x14ac:dyDescent="0.3">
      <c r="B100" s="9"/>
      <c r="C100" s="4"/>
      <c r="E100" s="8"/>
      <c r="I100" s="8"/>
    </row>
    <row r="101" spans="2:9" x14ac:dyDescent="0.3">
      <c r="B101" s="9"/>
      <c r="C101" s="4"/>
      <c r="E101" s="8"/>
      <c r="I101" s="8"/>
    </row>
    <row r="102" spans="2:9" x14ac:dyDescent="0.3">
      <c r="B102" s="9"/>
      <c r="C102" s="4"/>
      <c r="E102" s="8"/>
      <c r="I102" s="8"/>
    </row>
    <row r="103" spans="2:9" x14ac:dyDescent="0.3">
      <c r="B103" s="9"/>
      <c r="C103" s="4"/>
      <c r="E103" s="8"/>
      <c r="I103" s="8"/>
    </row>
    <row r="104" spans="2:9" x14ac:dyDescent="0.3">
      <c r="B104" s="9"/>
      <c r="C104" s="4"/>
      <c r="E104" s="8"/>
      <c r="I104" s="8"/>
    </row>
    <row r="105" spans="2:9" x14ac:dyDescent="0.3">
      <c r="B105" s="9"/>
      <c r="C105" s="4"/>
      <c r="E105" s="8"/>
      <c r="I105" s="8"/>
    </row>
    <row r="106" spans="2:9" x14ac:dyDescent="0.3">
      <c r="B106" s="9"/>
      <c r="C106" s="4"/>
      <c r="E106" s="8"/>
      <c r="I106" s="8"/>
    </row>
    <row r="107" spans="2:9" x14ac:dyDescent="0.3">
      <c r="B107" s="9"/>
      <c r="C107" s="4"/>
      <c r="E107" s="8"/>
      <c r="I107" s="8"/>
    </row>
    <row r="108" spans="2:9" x14ac:dyDescent="0.3">
      <c r="B108" s="9"/>
      <c r="C108" s="4"/>
      <c r="E108" s="8"/>
      <c r="I108" s="8"/>
    </row>
    <row r="109" spans="2:9" x14ac:dyDescent="0.3">
      <c r="B109" s="9"/>
      <c r="C109" s="4"/>
      <c r="E109" s="8"/>
      <c r="I109" s="8"/>
    </row>
    <row r="110" spans="2:9" x14ac:dyDescent="0.3">
      <c r="B110" s="9"/>
      <c r="C110" s="4"/>
      <c r="E110" s="8"/>
      <c r="I110" s="8"/>
    </row>
    <row r="111" spans="2:9" x14ac:dyDescent="0.3">
      <c r="B111" s="9"/>
      <c r="C111" s="4"/>
      <c r="E111" s="8"/>
      <c r="I111" s="8"/>
    </row>
    <row r="112" spans="2:9" x14ac:dyDescent="0.3">
      <c r="B112" s="9"/>
      <c r="C112" s="4"/>
      <c r="E112" s="8"/>
      <c r="I112" s="8"/>
    </row>
    <row r="113" spans="2:9" x14ac:dyDescent="0.3">
      <c r="B113" s="9"/>
      <c r="C113" s="4"/>
      <c r="E113" s="8"/>
      <c r="I113" s="8"/>
    </row>
    <row r="114" spans="2:9" x14ac:dyDescent="0.3">
      <c r="B114" s="9"/>
      <c r="C114" s="4"/>
      <c r="E114" s="8"/>
      <c r="I114" s="8"/>
    </row>
    <row r="115" spans="2:9" x14ac:dyDescent="0.3">
      <c r="B115" s="9"/>
      <c r="C115" s="4"/>
      <c r="E115" s="8"/>
      <c r="I115" s="8"/>
    </row>
    <row r="116" spans="2:9" x14ac:dyDescent="0.3">
      <c r="B116" s="9"/>
      <c r="C116" s="4"/>
      <c r="E116" s="8"/>
      <c r="I116" s="8"/>
    </row>
    <row r="117" spans="2:9" x14ac:dyDescent="0.3">
      <c r="B117" s="9"/>
      <c r="C117" s="4"/>
      <c r="E117" s="8"/>
      <c r="I117" s="8"/>
    </row>
    <row r="118" spans="2:9" x14ac:dyDescent="0.3">
      <c r="B118" s="9"/>
      <c r="C118" s="4"/>
      <c r="E118" s="8"/>
      <c r="I118" s="8"/>
    </row>
    <row r="119" spans="2:9" x14ac:dyDescent="0.3">
      <c r="B119" s="9"/>
      <c r="C119" s="4"/>
      <c r="E119" s="8"/>
      <c r="I119" s="8"/>
    </row>
    <row r="120" spans="2:9" x14ac:dyDescent="0.3">
      <c r="B120" s="9"/>
      <c r="C120" s="4"/>
      <c r="E120" s="8"/>
      <c r="I120" s="8"/>
    </row>
    <row r="121" spans="2:9" x14ac:dyDescent="0.3">
      <c r="B121" s="9"/>
      <c r="C121" s="4"/>
      <c r="E121" s="8"/>
      <c r="I121" s="8"/>
    </row>
    <row r="122" spans="2:9" x14ac:dyDescent="0.3">
      <c r="B122" s="9"/>
      <c r="C122" s="4"/>
      <c r="E122" s="8"/>
      <c r="I122" s="8"/>
    </row>
    <row r="123" spans="2:9" x14ac:dyDescent="0.3">
      <c r="B123" s="9"/>
      <c r="C123" s="4"/>
      <c r="E123" s="8"/>
      <c r="I123" s="8"/>
    </row>
    <row r="124" spans="2:9" x14ac:dyDescent="0.3">
      <c r="B124" s="9"/>
      <c r="C124" s="4"/>
      <c r="E124" s="8"/>
      <c r="I124" s="8"/>
    </row>
    <row r="125" spans="2:9" x14ac:dyDescent="0.3">
      <c r="B125" s="9"/>
      <c r="C125" s="4"/>
      <c r="E125" s="8"/>
      <c r="I125" s="8"/>
    </row>
    <row r="126" spans="2:9" x14ac:dyDescent="0.3">
      <c r="B126" s="9"/>
      <c r="C126" s="4"/>
      <c r="E126" s="8"/>
      <c r="I126" s="8"/>
    </row>
    <row r="127" spans="2:9" x14ac:dyDescent="0.3">
      <c r="B127" s="9"/>
      <c r="C127" s="4"/>
      <c r="E127" s="8"/>
      <c r="I127" s="8"/>
    </row>
    <row r="128" spans="2:9" x14ac:dyDescent="0.3">
      <c r="B128" s="9"/>
      <c r="C128" s="4"/>
      <c r="E128" s="8"/>
      <c r="I128" s="8"/>
    </row>
    <row r="129" spans="2:9" x14ac:dyDescent="0.3">
      <c r="B129" s="9"/>
      <c r="C129" s="4"/>
      <c r="E129" s="8"/>
      <c r="I129" s="8"/>
    </row>
    <row r="130" spans="2:9" x14ac:dyDescent="0.3">
      <c r="B130" s="9"/>
      <c r="C130" s="4"/>
      <c r="E130" s="8"/>
      <c r="I130" s="8"/>
    </row>
    <row r="131" spans="2:9" x14ac:dyDescent="0.3">
      <c r="B131" s="9"/>
      <c r="C131" s="4"/>
      <c r="E131" s="8"/>
      <c r="I131" s="8"/>
    </row>
    <row r="132" spans="2:9" x14ac:dyDescent="0.3">
      <c r="B132" s="9"/>
      <c r="C132" s="4"/>
      <c r="E132" s="8"/>
      <c r="I132" s="8"/>
    </row>
    <row r="133" spans="2:9" x14ac:dyDescent="0.3">
      <c r="B133" s="9"/>
      <c r="C133" s="4"/>
      <c r="E133" s="8"/>
      <c r="I133" s="8"/>
    </row>
    <row r="134" spans="2:9" x14ac:dyDescent="0.3">
      <c r="B134" s="9"/>
      <c r="C134" s="4"/>
      <c r="E134" s="8"/>
      <c r="I134" s="8"/>
    </row>
    <row r="135" spans="2:9" x14ac:dyDescent="0.3">
      <c r="B135" s="9"/>
      <c r="C135" s="4"/>
      <c r="E135" s="8"/>
      <c r="I135" s="8"/>
    </row>
    <row r="136" spans="2:9" x14ac:dyDescent="0.3">
      <c r="B136" s="9"/>
      <c r="C136" s="4"/>
      <c r="E136" s="8"/>
      <c r="I136" s="8"/>
    </row>
    <row r="137" spans="2:9" x14ac:dyDescent="0.3">
      <c r="B137" s="9"/>
      <c r="C137" s="4"/>
      <c r="E137" s="8"/>
      <c r="I137" s="8"/>
    </row>
    <row r="138" spans="2:9" x14ac:dyDescent="0.3">
      <c r="B138" s="9"/>
      <c r="C138" s="4"/>
      <c r="E138" s="8"/>
      <c r="I138" s="8"/>
    </row>
    <row r="139" spans="2:9" x14ac:dyDescent="0.3">
      <c r="B139" s="9"/>
      <c r="C139" s="4"/>
      <c r="E139" s="8"/>
      <c r="I139" s="8"/>
    </row>
    <row r="140" spans="2:9" x14ac:dyDescent="0.3">
      <c r="B140" s="9"/>
      <c r="C140" s="4"/>
      <c r="E140" s="8"/>
      <c r="I140" s="8"/>
    </row>
    <row r="141" spans="2:9" x14ac:dyDescent="0.3">
      <c r="B141" s="9"/>
      <c r="C141" s="4"/>
      <c r="E141" s="8"/>
      <c r="I141" s="8"/>
    </row>
    <row r="142" spans="2:9" x14ac:dyDescent="0.3">
      <c r="B142" s="9"/>
      <c r="C142" s="4"/>
      <c r="E142" s="8"/>
      <c r="I142" s="8"/>
    </row>
    <row r="143" spans="2:9" x14ac:dyDescent="0.3">
      <c r="B143" s="9"/>
      <c r="C143" s="4"/>
      <c r="E143" s="8"/>
      <c r="I143" s="8"/>
    </row>
    <row r="144" spans="2:9" x14ac:dyDescent="0.3">
      <c r="B144" s="9"/>
      <c r="C144" s="4"/>
      <c r="E144" s="8"/>
      <c r="I144" s="8"/>
    </row>
    <row r="145" spans="2:9" x14ac:dyDescent="0.3">
      <c r="B145" s="9"/>
      <c r="C145" s="4"/>
      <c r="E145" s="8"/>
      <c r="I145" s="8"/>
    </row>
    <row r="146" spans="2:9" x14ac:dyDescent="0.3">
      <c r="B146" s="9"/>
      <c r="C146" s="4"/>
      <c r="E146" s="8"/>
      <c r="I146" s="8"/>
    </row>
    <row r="147" spans="2:9" x14ac:dyDescent="0.3">
      <c r="B147" s="9"/>
      <c r="C147" s="4"/>
      <c r="E147" s="8"/>
      <c r="I147" s="8"/>
    </row>
    <row r="148" spans="2:9" x14ac:dyDescent="0.3">
      <c r="B148" s="9"/>
      <c r="C148" s="4"/>
      <c r="E148" s="8"/>
      <c r="I148" s="8"/>
    </row>
    <row r="149" spans="2:9" x14ac:dyDescent="0.3">
      <c r="B149" s="9"/>
      <c r="C149" s="4"/>
      <c r="E149" s="8"/>
      <c r="I149" s="8"/>
    </row>
    <row r="150" spans="2:9" x14ac:dyDescent="0.3">
      <c r="B150" s="9"/>
      <c r="C150" s="4"/>
      <c r="E150" s="8"/>
      <c r="I150" s="8"/>
    </row>
    <row r="151" spans="2:9" x14ac:dyDescent="0.3">
      <c r="B151" s="9"/>
      <c r="C151" s="4"/>
      <c r="E151" s="8"/>
      <c r="I151" s="8"/>
    </row>
    <row r="152" spans="2:9" x14ac:dyDescent="0.3">
      <c r="B152" s="9"/>
      <c r="C152" s="4"/>
      <c r="E152" s="8"/>
      <c r="I152" s="8"/>
    </row>
    <row r="153" spans="2:9" x14ac:dyDescent="0.3">
      <c r="B153" s="9"/>
      <c r="C153" s="4"/>
      <c r="E153" s="8"/>
      <c r="I153" s="8"/>
    </row>
    <row r="154" spans="2:9" x14ac:dyDescent="0.3">
      <c r="B154" s="9"/>
      <c r="C154" s="4"/>
      <c r="E154" s="8"/>
      <c r="I154" s="8"/>
    </row>
    <row r="155" spans="2:9" x14ac:dyDescent="0.3">
      <c r="B155" s="9"/>
      <c r="C155" s="4"/>
      <c r="E155" s="8"/>
      <c r="I155" s="8"/>
    </row>
    <row r="156" spans="2:9" x14ac:dyDescent="0.3">
      <c r="B156" s="9"/>
      <c r="C156" s="4"/>
      <c r="E156" s="8"/>
      <c r="I156" s="8"/>
    </row>
    <row r="157" spans="2:9" x14ac:dyDescent="0.3">
      <c r="B157" s="9"/>
      <c r="C157" s="4"/>
      <c r="E157" s="8"/>
      <c r="I157" s="8"/>
    </row>
    <row r="158" spans="2:9" x14ac:dyDescent="0.3">
      <c r="B158" s="9"/>
      <c r="C158" s="4"/>
      <c r="E158" s="8"/>
      <c r="I158" s="8"/>
    </row>
    <row r="159" spans="2:9" x14ac:dyDescent="0.3">
      <c r="B159" s="9"/>
      <c r="C159" s="4"/>
      <c r="E159" s="8"/>
      <c r="I159" s="8"/>
    </row>
    <row r="160" spans="2:9" x14ac:dyDescent="0.3">
      <c r="B160" s="9"/>
      <c r="C160" s="4"/>
      <c r="E160" s="8"/>
      <c r="I160" s="8"/>
    </row>
    <row r="161" spans="2:9" x14ac:dyDescent="0.3">
      <c r="B161" s="9"/>
      <c r="C161" s="4"/>
      <c r="E161" s="8"/>
      <c r="I161" s="8"/>
    </row>
    <row r="162" spans="2:9" x14ac:dyDescent="0.3">
      <c r="B162" s="9"/>
      <c r="C162" s="4"/>
      <c r="E162" s="8"/>
      <c r="I162" s="8"/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V72"/>
  <sheetViews>
    <sheetView zoomScale="70" zoomScaleNormal="70" workbookViewId="0">
      <selection activeCell="AB2" sqref="AB2"/>
    </sheetView>
  </sheetViews>
  <sheetFormatPr defaultRowHeight="14.4" x14ac:dyDescent="0.3"/>
  <cols>
    <col min="1" max="1" width="2.77734375" style="2" customWidth="1"/>
    <col min="2" max="2" width="8.88671875" style="2"/>
    <col min="3" max="3" width="4.44140625" style="2" bestFit="1" customWidth="1"/>
    <col min="4" max="4" width="14.88671875" style="2" bestFit="1" customWidth="1"/>
    <col min="5" max="5" width="10.109375" style="2" bestFit="1" customWidth="1"/>
    <col min="6" max="6" width="12.6640625" style="2" bestFit="1" customWidth="1"/>
    <col min="7" max="7" width="16.109375" style="2" bestFit="1" customWidth="1"/>
    <col min="8" max="8" width="10.5546875" style="2" bestFit="1" customWidth="1"/>
    <col min="9" max="9" width="10.44140625" style="2" bestFit="1" customWidth="1"/>
    <col min="10" max="10" width="14.88671875" style="2" bestFit="1" customWidth="1"/>
    <col min="11" max="11" width="10.109375" style="2" bestFit="1" customWidth="1"/>
    <col min="12" max="12" width="12.6640625" style="2" bestFit="1" customWidth="1"/>
    <col min="13" max="13" width="16.109375" style="2" bestFit="1" customWidth="1"/>
    <col min="14" max="14" width="12" style="2" bestFit="1" customWidth="1"/>
    <col min="15" max="15" width="11.886718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1" t="s">
        <v>11</v>
      </c>
    </row>
    <row r="3" spans="2:22" ht="17.399999999999999" customHeight="1" x14ac:dyDescent="0.6">
      <c r="B3" s="12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S3" s="20"/>
      <c r="T3" s="19"/>
      <c r="U3" s="34"/>
      <c r="V3" s="16"/>
    </row>
    <row r="4" spans="2:22" ht="20.399999999999999" x14ac:dyDescent="0.35">
      <c r="B4" s="15" t="s">
        <v>49</v>
      </c>
      <c r="C4" s="14"/>
      <c r="D4" s="13"/>
      <c r="E4" s="13"/>
      <c r="F4" s="13"/>
      <c r="G4" s="13"/>
      <c r="H4" s="13"/>
      <c r="J4" s="13"/>
      <c r="K4" s="13"/>
      <c r="L4" s="13"/>
      <c r="M4" s="13"/>
      <c r="N4" s="13"/>
      <c r="S4" s="20" t="s">
        <v>23</v>
      </c>
      <c r="T4" s="19" t="s">
        <v>73</v>
      </c>
      <c r="U4" s="16"/>
      <c r="V4" s="16"/>
    </row>
    <row r="5" spans="2:22" ht="18" x14ac:dyDescent="0.35">
      <c r="B5" s="28" t="s">
        <v>58</v>
      </c>
      <c r="C5" s="13"/>
      <c r="D5" s="13"/>
      <c r="E5" s="13"/>
      <c r="F5" s="13"/>
      <c r="G5" s="13"/>
      <c r="H5" s="13"/>
      <c r="J5" s="13"/>
      <c r="K5" s="13"/>
      <c r="L5" s="13"/>
      <c r="M5" s="13"/>
      <c r="N5" s="13"/>
      <c r="S5" s="20" t="s">
        <v>1</v>
      </c>
      <c r="T5" s="19" t="s">
        <v>73</v>
      </c>
      <c r="U5" s="16"/>
      <c r="V5" s="16"/>
    </row>
    <row r="6" spans="2:22" x14ac:dyDescent="0.3">
      <c r="B6" s="4" t="s">
        <v>8</v>
      </c>
      <c r="C6" s="4" t="s">
        <v>9</v>
      </c>
      <c r="D6" s="4" t="s">
        <v>25</v>
      </c>
      <c r="E6" s="32" t="s">
        <v>26</v>
      </c>
      <c r="F6" s="8" t="s">
        <v>59</v>
      </c>
      <c r="G6" s="8" t="s">
        <v>60</v>
      </c>
      <c r="H6" s="8" t="s">
        <v>61</v>
      </c>
      <c r="I6" s="8" t="s">
        <v>62</v>
      </c>
      <c r="J6" s="4" t="s">
        <v>63</v>
      </c>
      <c r="K6" s="26" t="s">
        <v>64</v>
      </c>
      <c r="L6" s="8" t="s">
        <v>65</v>
      </c>
      <c r="M6" s="8" t="s">
        <v>66</v>
      </c>
      <c r="N6" s="8" t="s">
        <v>67</v>
      </c>
      <c r="O6" s="8" t="s">
        <v>68</v>
      </c>
      <c r="P6" s="8"/>
      <c r="Q6" s="31" t="s">
        <v>46</v>
      </c>
      <c r="R6" s="3"/>
      <c r="S6" s="3"/>
    </row>
    <row r="7" spans="2:22" x14ac:dyDescent="0.3">
      <c r="B7" s="25">
        <v>43881</v>
      </c>
      <c r="C7" s="26">
        <v>1</v>
      </c>
      <c r="D7" s="27">
        <v>3</v>
      </c>
      <c r="E7" s="33">
        <f>D7</f>
        <v>3</v>
      </c>
      <c r="F7" s="8">
        <f t="shared" ref="F7:F38" si="0">t0n*_xlfn.GAMMA.DIST($C7/t0n,wn+1,1,1)*_xlfn.GAMMA(wn+1)</f>
        <v>6.9178987249222883E-7</v>
      </c>
      <c r="G7" s="24">
        <f t="shared" ref="G7:G38" si="1">(($C7/t0n)^wn)*EXP(-($C7/t0n))</f>
        <v>6.0760980022814897E-6</v>
      </c>
      <c r="H7" s="10">
        <f>G7+CIn</f>
        <v>978.86706515773551</v>
      </c>
      <c r="I7" s="10">
        <f>MAX(G7-CIn,0)</f>
        <v>0</v>
      </c>
      <c r="J7" s="26">
        <v>0</v>
      </c>
      <c r="K7" s="27">
        <f>J7</f>
        <v>0</v>
      </c>
      <c r="L7" s="8">
        <f t="shared" ref="L7:L38" si="2">t0d*_xlfn.GAMMA.DIST($C7/t0d,wd+1,1,1)*_xlfn.GAMMA(wd+1)</f>
        <v>3.0984695507385556E-7</v>
      </c>
      <c r="M7" s="24">
        <f t="shared" ref="M7:M38" si="3">(($C7/t0d)^wd)*EXP(-($C7/t0d))</f>
        <v>2.4496944250362323E-6</v>
      </c>
      <c r="N7" s="10">
        <f t="shared" ref="N7:N45" si="4">M7+CId</f>
        <v>130.09446290485113</v>
      </c>
      <c r="O7" s="10">
        <f t="shared" ref="O7:O45" si="5">MAX(M7-CId,0)</f>
        <v>0</v>
      </c>
      <c r="P7" s="8"/>
      <c r="Q7" s="21"/>
      <c r="R7" s="41"/>
      <c r="S7" s="3"/>
    </row>
    <row r="8" spans="2:22" ht="15.6" x14ac:dyDescent="0.35">
      <c r="B8" s="25">
        <v>43882</v>
      </c>
      <c r="C8" s="26">
        <v>2</v>
      </c>
      <c r="D8" s="27">
        <v>20</v>
      </c>
      <c r="E8" s="33">
        <f>D8-D7</f>
        <v>17</v>
      </c>
      <c r="F8" s="8">
        <f t="shared" si="0"/>
        <v>2.8620937402811685E-4</v>
      </c>
      <c r="G8" s="24">
        <f t="shared" si="1"/>
        <v>1.2276368733962855E-3</v>
      </c>
      <c r="H8" s="10">
        <f>G8+CIn</f>
        <v>978.86828671851094</v>
      </c>
      <c r="I8" s="10">
        <f>MAX(G8-CIn,0)</f>
        <v>0</v>
      </c>
      <c r="J8" s="26">
        <v>1</v>
      </c>
      <c r="K8" s="27">
        <f>J8-J7</f>
        <v>1</v>
      </c>
      <c r="L8" s="8">
        <f t="shared" si="2"/>
        <v>7.1089689226837749E-5</v>
      </c>
      <c r="M8" s="24">
        <f t="shared" si="3"/>
        <v>2.7587132570143871E-4</v>
      </c>
      <c r="N8" s="10">
        <f t="shared" si="4"/>
        <v>130.0947363264824</v>
      </c>
      <c r="O8" s="10">
        <f t="shared" si="5"/>
        <v>0</v>
      </c>
      <c r="P8" s="8"/>
      <c r="Q8" s="21" t="s">
        <v>24</v>
      </c>
      <c r="R8" s="30">
        <v>4.3705623288874298</v>
      </c>
      <c r="S8" s="3"/>
    </row>
    <row r="9" spans="2:22" x14ac:dyDescent="0.3">
      <c r="B9" s="25">
        <v>43883</v>
      </c>
      <c r="C9" s="26">
        <v>3</v>
      </c>
      <c r="D9" s="27">
        <v>62</v>
      </c>
      <c r="E9" s="33">
        <f>D9-D8</f>
        <v>42</v>
      </c>
      <c r="F9" s="8">
        <f t="shared" si="0"/>
        <v>8.9241180552074046E-3</v>
      </c>
      <c r="G9" s="24">
        <f t="shared" si="1"/>
        <v>2.4913078635694204E-2</v>
      </c>
      <c r="H9" s="10">
        <f>G9+CIn</f>
        <v>978.89197216027321</v>
      </c>
      <c r="I9" s="10">
        <f>MAX(G9-CIn,0)</f>
        <v>0</v>
      </c>
      <c r="J9" s="26">
        <v>2</v>
      </c>
      <c r="K9" s="27">
        <f>J9-J8</f>
        <v>1</v>
      </c>
      <c r="L9" s="8">
        <f t="shared" si="2"/>
        <v>1.6092639457754171E-3</v>
      </c>
      <c r="M9" s="24">
        <f t="shared" si="3"/>
        <v>4.0858446609005608E-3</v>
      </c>
      <c r="N9" s="10">
        <f t="shared" si="4"/>
        <v>130.0985462998176</v>
      </c>
      <c r="O9" s="10">
        <f t="shared" si="5"/>
        <v>0</v>
      </c>
      <c r="P9" s="8"/>
      <c r="Q9" s="21" t="s">
        <v>1</v>
      </c>
      <c r="R9" s="30">
        <v>7.9886167183732617</v>
      </c>
      <c r="S9" s="3"/>
    </row>
    <row r="10" spans="2:22" x14ac:dyDescent="0.3">
      <c r="B10" s="25">
        <v>43884</v>
      </c>
      <c r="C10" s="26">
        <v>4</v>
      </c>
      <c r="D10" s="27">
        <v>155</v>
      </c>
      <c r="E10" s="33">
        <f>D10-D9</f>
        <v>93</v>
      </c>
      <c r="F10" s="8">
        <f t="shared" si="0"/>
        <v>9.6574123957915106E-2</v>
      </c>
      <c r="G10" s="24">
        <f t="shared" si="1"/>
        <v>0.19730903711419548</v>
      </c>
      <c r="H10" s="10">
        <f>G10+CIn</f>
        <v>979.06436811875176</v>
      </c>
      <c r="I10" s="10">
        <f>MAX(G10-CIn,0)</f>
        <v>0</v>
      </c>
      <c r="J10" s="26">
        <v>3</v>
      </c>
      <c r="K10" s="27">
        <f>J10-J9</f>
        <v>1</v>
      </c>
      <c r="L10" s="8">
        <f t="shared" si="2"/>
        <v>1.4115943967314554E-2</v>
      </c>
      <c r="M10" s="24">
        <f t="shared" si="3"/>
        <v>2.6372387901185099E-2</v>
      </c>
      <c r="N10" s="10">
        <f t="shared" si="4"/>
        <v>130.12083284305788</v>
      </c>
      <c r="O10" s="10">
        <f t="shared" si="5"/>
        <v>0</v>
      </c>
      <c r="P10" s="8"/>
      <c r="Q10" s="5" t="s">
        <v>2</v>
      </c>
      <c r="R10" s="1">
        <f>AVERAGE(E7:E49)</f>
        <v>2680.046511627907</v>
      </c>
      <c r="S10" s="3"/>
    </row>
    <row r="11" spans="2:22" x14ac:dyDescent="0.3">
      <c r="B11" s="22">
        <v>43885</v>
      </c>
      <c r="C11" s="4">
        <v>5</v>
      </c>
      <c r="D11" s="10">
        <f>'dpc-covid19-ita-andamento-naz'!L2</f>
        <v>229</v>
      </c>
      <c r="E11" s="33">
        <f>D11-D10</f>
        <v>74</v>
      </c>
      <c r="F11" s="8">
        <f t="shared" si="0"/>
        <v>0.58536624188744291</v>
      </c>
      <c r="G11" s="24">
        <f t="shared" si="1"/>
        <v>0.93315937936996396</v>
      </c>
      <c r="H11" s="10">
        <f t="shared" ref="H11:H44" si="6">G11+CIn</f>
        <v>979.80021846100749</v>
      </c>
      <c r="I11" s="10">
        <f t="shared" ref="I11:I43" si="7">MAX(G11-CIn,0)</f>
        <v>0</v>
      </c>
      <c r="J11" s="10">
        <f>'dpc-covid19-ita-andamento-naz'!K2</f>
        <v>7</v>
      </c>
      <c r="K11" s="27">
        <f>J11-J10</f>
        <v>4</v>
      </c>
      <c r="L11" s="8">
        <f t="shared" si="2"/>
        <v>7.3661619301647968E-2</v>
      </c>
      <c r="M11" s="24">
        <f t="shared" si="3"/>
        <v>0.10798648513004873</v>
      </c>
      <c r="N11" s="10">
        <f t="shared" si="4"/>
        <v>130.20244694028676</v>
      </c>
      <c r="O11" s="10">
        <f t="shared" si="5"/>
        <v>0</v>
      </c>
      <c r="P11" s="1"/>
      <c r="Q11" s="5" t="s">
        <v>3</v>
      </c>
      <c r="R11" s="1">
        <f>COUNT(E7:E49)-COUNT(R7:R9)</f>
        <v>41</v>
      </c>
    </row>
    <row r="12" spans="2:22" x14ac:dyDescent="0.3">
      <c r="B12" s="9">
        <v>43886</v>
      </c>
      <c r="C12" s="4">
        <v>6</v>
      </c>
      <c r="D12" s="10">
        <f>'dpc-covid19-ita-andamento-naz'!L3</f>
        <v>322</v>
      </c>
      <c r="E12" s="33">
        <f>D12-D11</f>
        <v>93</v>
      </c>
      <c r="F12" s="8">
        <f t="shared" si="0"/>
        <v>2.4595464487900691</v>
      </c>
      <c r="G12" s="24">
        <f t="shared" si="1"/>
        <v>3.1851973803881286</v>
      </c>
      <c r="H12" s="10">
        <f t="shared" si="6"/>
        <v>982.05225646202564</v>
      </c>
      <c r="I12" s="10">
        <f t="shared" si="7"/>
        <v>0</v>
      </c>
      <c r="J12" s="10">
        <f>'dpc-covid19-ita-andamento-naz'!K3</f>
        <v>10</v>
      </c>
      <c r="K12" s="27">
        <f>J12-J11</f>
        <v>3</v>
      </c>
      <c r="L12" s="8">
        <f t="shared" si="2"/>
        <v>0.27679324573295966</v>
      </c>
      <c r="M12" s="24">
        <f t="shared" si="3"/>
        <v>0.33156828990430076</v>
      </c>
      <c r="N12" s="10">
        <f t="shared" si="4"/>
        <v>130.42602874506102</v>
      </c>
      <c r="O12" s="10">
        <f t="shared" si="5"/>
        <v>0</v>
      </c>
      <c r="P12" s="1"/>
      <c r="Q12" s="5" t="s">
        <v>4</v>
      </c>
      <c r="R12" s="6" cm="1">
        <f t="array" ref="R12">SQRT(SUM((E7:E49-G7:G49)^2)/dfn)</f>
        <v>484.69779687990348</v>
      </c>
    </row>
    <row r="13" spans="2:22" ht="16.2" x14ac:dyDescent="0.3">
      <c r="B13" s="9">
        <v>43887</v>
      </c>
      <c r="C13" s="4">
        <v>7</v>
      </c>
      <c r="D13" s="10">
        <f>'dpc-covid19-ita-andamento-naz'!L4</f>
        <v>400</v>
      </c>
      <c r="E13" s="33">
        <f t="shared" ref="E13:E49" si="8">D13-D12</f>
        <v>78</v>
      </c>
      <c r="F13" s="8">
        <f t="shared" si="0"/>
        <v>8.0266809954205449</v>
      </c>
      <c r="G13" s="24">
        <f t="shared" si="1"/>
        <v>8.6812145789488326</v>
      </c>
      <c r="H13" s="10">
        <f t="shared" si="6"/>
        <v>987.54827366058635</v>
      </c>
      <c r="I13" s="10">
        <f t="shared" si="7"/>
        <v>0</v>
      </c>
      <c r="J13" s="10">
        <f>'dpc-covid19-ita-andamento-naz'!K4</f>
        <v>12</v>
      </c>
      <c r="K13" s="27">
        <f t="shared" ref="K13:K49" si="9">J13-J12</f>
        <v>2</v>
      </c>
      <c r="L13" s="8">
        <f t="shared" si="2"/>
        <v>0.82926567160158715</v>
      </c>
      <c r="M13" s="24">
        <f t="shared" si="3"/>
        <v>0.8346491335309143</v>
      </c>
      <c r="N13" s="10">
        <f t="shared" si="4"/>
        <v>130.92910958868762</v>
      </c>
      <c r="O13" s="10">
        <f t="shared" si="5"/>
        <v>0</v>
      </c>
      <c r="P13" s="1"/>
      <c r="Q13" s="5" t="s">
        <v>5</v>
      </c>
      <c r="R13" s="7" cm="1">
        <f t="array" ref="R13">1-SUM((E7:E49-G7:G49)^2)/SUM((E7:E49-Mean_of_yn)^2)</f>
        <v>0.95531051978425974</v>
      </c>
    </row>
    <row r="14" spans="2:22" x14ac:dyDescent="0.3">
      <c r="B14" s="9">
        <v>43888</v>
      </c>
      <c r="C14" s="4">
        <v>8</v>
      </c>
      <c r="D14" s="10">
        <f>'dpc-covid19-ita-andamento-naz'!L5</f>
        <v>650</v>
      </c>
      <c r="E14" s="33">
        <f t="shared" si="8"/>
        <v>250</v>
      </c>
      <c r="F14" s="8">
        <f t="shared" si="0"/>
        <v>21.774938449549158</v>
      </c>
      <c r="G14" s="24">
        <f t="shared" si="1"/>
        <v>20.0672483994034</v>
      </c>
      <c r="H14" s="10">
        <f t="shared" si="6"/>
        <v>998.93430748104095</v>
      </c>
      <c r="I14" s="10">
        <f t="shared" si="7"/>
        <v>0</v>
      </c>
      <c r="J14" s="10">
        <f>'dpc-covid19-ita-andamento-naz'!K5</f>
        <v>17</v>
      </c>
      <c r="K14" s="27">
        <f t="shared" si="9"/>
        <v>5</v>
      </c>
      <c r="L14" s="8">
        <f t="shared" si="2"/>
        <v>2.1050632116597967</v>
      </c>
      <c r="M14" s="24">
        <f t="shared" si="3"/>
        <v>1.8167235174894723</v>
      </c>
      <c r="N14" s="10">
        <f t="shared" si="4"/>
        <v>131.91118397264617</v>
      </c>
      <c r="O14" s="10">
        <f t="shared" si="5"/>
        <v>0</v>
      </c>
      <c r="P14" s="1"/>
      <c r="Q14" s="5" t="s">
        <v>6</v>
      </c>
      <c r="R14" s="7">
        <f>TINV(0.05,dfn)</f>
        <v>2.0195409704413767</v>
      </c>
    </row>
    <row r="15" spans="2:22" x14ac:dyDescent="0.3">
      <c r="B15" s="9">
        <v>43889</v>
      </c>
      <c r="C15" s="4">
        <v>9</v>
      </c>
      <c r="D15" s="10">
        <f>'dpc-covid19-ita-andamento-naz'!L6</f>
        <v>888</v>
      </c>
      <c r="E15" s="33">
        <f t="shared" si="8"/>
        <v>238</v>
      </c>
      <c r="F15" s="8">
        <f t="shared" si="0"/>
        <v>51.302662604758503</v>
      </c>
      <c r="G15" s="24">
        <f t="shared" si="1"/>
        <v>40.903231567744456</v>
      </c>
      <c r="H15" s="10">
        <f t="shared" si="6"/>
        <v>1019.770290649382</v>
      </c>
      <c r="I15" s="10">
        <f t="shared" si="7"/>
        <v>0</v>
      </c>
      <c r="J15" s="10">
        <f>'dpc-covid19-ita-andamento-naz'!K6</f>
        <v>21</v>
      </c>
      <c r="K15" s="27">
        <f t="shared" si="9"/>
        <v>4</v>
      </c>
      <c r="L15" s="8">
        <f t="shared" si="2"/>
        <v>4.7087491987813284</v>
      </c>
      <c r="M15" s="24">
        <f t="shared" si="3"/>
        <v>3.5387083334980876</v>
      </c>
      <c r="N15" s="10">
        <f t="shared" si="4"/>
        <v>133.63316878865479</v>
      </c>
      <c r="O15" s="10">
        <f t="shared" si="5"/>
        <v>0</v>
      </c>
      <c r="P15" s="1"/>
      <c r="Q15" s="5" t="s">
        <v>7</v>
      </c>
      <c r="R15" s="1">
        <f>Critical_tn*SE_of_yn</f>
        <v>978.86705908163754</v>
      </c>
    </row>
    <row r="16" spans="2:22" x14ac:dyDescent="0.3">
      <c r="B16" s="9">
        <v>43890</v>
      </c>
      <c r="C16" s="4">
        <v>10</v>
      </c>
      <c r="D16" s="10">
        <f>'dpc-covid19-ita-andamento-naz'!L7</f>
        <v>1128</v>
      </c>
      <c r="E16" s="33">
        <f t="shared" si="8"/>
        <v>240</v>
      </c>
      <c r="F16" s="8">
        <f t="shared" si="0"/>
        <v>108.16223458906363</v>
      </c>
      <c r="G16" s="24">
        <f t="shared" si="1"/>
        <v>75.496805081091907</v>
      </c>
      <c r="H16" s="10">
        <f t="shared" si="6"/>
        <v>1054.3638641627294</v>
      </c>
      <c r="I16" s="10">
        <f t="shared" si="7"/>
        <v>0</v>
      </c>
      <c r="J16" s="10">
        <f>'dpc-covid19-ita-andamento-naz'!K7</f>
        <v>29</v>
      </c>
      <c r="K16" s="27">
        <f t="shared" si="9"/>
        <v>8</v>
      </c>
      <c r="L16" s="8">
        <f t="shared" si="2"/>
        <v>9.5334017038241345</v>
      </c>
      <c r="M16" s="24">
        <f t="shared" si="3"/>
        <v>6.3147626809464308</v>
      </c>
      <c r="N16" s="10">
        <f t="shared" si="4"/>
        <v>136.40922313610315</v>
      </c>
      <c r="O16" s="10">
        <f t="shared" si="5"/>
        <v>0</v>
      </c>
      <c r="P16" s="1"/>
      <c r="Q16" s="35" t="s">
        <v>71</v>
      </c>
      <c r="R16" s="36">
        <f>(wn^wn)*EXP(-wn)</f>
        <v>5496.5151827954251</v>
      </c>
    </row>
    <row r="17" spans="2:18" x14ac:dyDescent="0.3">
      <c r="B17" s="22">
        <v>43891</v>
      </c>
      <c r="C17" s="4">
        <v>11</v>
      </c>
      <c r="D17" s="10">
        <f>'dpc-covid19-ita-andamento-naz'!L8</f>
        <v>1694</v>
      </c>
      <c r="E17" s="33">
        <f t="shared" si="8"/>
        <v>566</v>
      </c>
      <c r="F17" s="8">
        <f t="shared" si="0"/>
        <v>208.46463439432347</v>
      </c>
      <c r="G17" s="24">
        <f t="shared" si="1"/>
        <v>128.59697959619263</v>
      </c>
      <c r="H17" s="10">
        <f t="shared" si="6"/>
        <v>1107.4640386778301</v>
      </c>
      <c r="I17" s="10">
        <f t="shared" si="7"/>
        <v>0</v>
      </c>
      <c r="J17" s="10">
        <f>'dpc-covid19-ita-andamento-naz'!K8</f>
        <v>34</v>
      </c>
      <c r="K17" s="27">
        <f t="shared" si="9"/>
        <v>5</v>
      </c>
      <c r="L17" s="8">
        <f t="shared" si="2"/>
        <v>17.806988153874855</v>
      </c>
      <c r="M17" s="24">
        <f t="shared" si="3"/>
        <v>10.497608913913393</v>
      </c>
      <c r="N17" s="10">
        <f t="shared" si="4"/>
        <v>140.59206936907009</v>
      </c>
      <c r="O17" s="10">
        <f t="shared" si="5"/>
        <v>0</v>
      </c>
      <c r="P17" s="1"/>
      <c r="Q17" s="35" t="s">
        <v>72</v>
      </c>
      <c r="R17" s="36">
        <f>wn*t0n</f>
        <v>34.914747289242499</v>
      </c>
    </row>
    <row r="18" spans="2:18" x14ac:dyDescent="0.3">
      <c r="B18" s="9">
        <v>43892</v>
      </c>
      <c r="C18" s="4">
        <v>12</v>
      </c>
      <c r="D18" s="10">
        <f>'dpc-covid19-ita-andamento-naz'!L9</f>
        <v>2036</v>
      </c>
      <c r="E18" s="33">
        <f t="shared" si="8"/>
        <v>342</v>
      </c>
      <c r="F18" s="8">
        <f t="shared" si="0"/>
        <v>373.12620863762976</v>
      </c>
      <c r="G18" s="24">
        <f t="shared" si="1"/>
        <v>204.99392734122785</v>
      </c>
      <c r="H18" s="10">
        <f t="shared" si="6"/>
        <v>1183.8609864228654</v>
      </c>
      <c r="I18" s="10">
        <f t="shared" si="7"/>
        <v>0</v>
      </c>
      <c r="J18" s="10">
        <f>'dpc-covid19-ita-andamento-naz'!K9</f>
        <v>52</v>
      </c>
      <c r="K18" s="27">
        <f t="shared" si="9"/>
        <v>18</v>
      </c>
      <c r="L18" s="8">
        <f t="shared" si="2"/>
        <v>31.121564634376313</v>
      </c>
      <c r="M18" s="24">
        <f t="shared" si="3"/>
        <v>16.459205311562467</v>
      </c>
      <c r="N18" s="10">
        <f t="shared" si="4"/>
        <v>146.55366576671918</v>
      </c>
      <c r="O18" s="10">
        <f t="shared" si="5"/>
        <v>0</v>
      </c>
      <c r="P18" s="1"/>
      <c r="Q18" s="23" t="s">
        <v>53</v>
      </c>
      <c r="R18" s="3"/>
    </row>
    <row r="19" spans="2:18" x14ac:dyDescent="0.3">
      <c r="B19" s="9">
        <v>43893</v>
      </c>
      <c r="C19" s="4">
        <v>13</v>
      </c>
      <c r="D19" s="10">
        <f>'dpc-covid19-ita-andamento-naz'!L10</f>
        <v>2502</v>
      </c>
      <c r="E19" s="33">
        <f t="shared" si="8"/>
        <v>466</v>
      </c>
      <c r="F19" s="8">
        <f t="shared" si="0"/>
        <v>627.69205974220449</v>
      </c>
      <c r="G19" s="24">
        <f t="shared" si="1"/>
        <v>309.08223031750242</v>
      </c>
      <c r="H19" s="10">
        <f t="shared" si="6"/>
        <v>1287.9492893991401</v>
      </c>
      <c r="I19" s="10">
        <f t="shared" si="7"/>
        <v>0</v>
      </c>
      <c r="J19" s="10">
        <f>'dpc-covid19-ita-andamento-naz'!K10</f>
        <v>79</v>
      </c>
      <c r="K19" s="27">
        <f t="shared" si="9"/>
        <v>27</v>
      </c>
      <c r="L19" s="8">
        <f t="shared" si="2"/>
        <v>51.441713957125515</v>
      </c>
      <c r="M19" s="24">
        <f t="shared" si="3"/>
        <v>24.568913743099433</v>
      </c>
      <c r="N19" s="10">
        <f t="shared" si="4"/>
        <v>154.66337419825615</v>
      </c>
      <c r="O19" s="10">
        <f t="shared" si="5"/>
        <v>0</v>
      </c>
      <c r="P19" s="1"/>
      <c r="Q19" s="21"/>
      <c r="R19" s="41"/>
    </row>
    <row r="20" spans="2:18" ht="15.6" x14ac:dyDescent="0.35">
      <c r="B20" s="9">
        <v>43894</v>
      </c>
      <c r="C20" s="4">
        <v>14</v>
      </c>
      <c r="D20" s="10">
        <f>'dpc-covid19-ita-andamento-naz'!L11</f>
        <v>3089</v>
      </c>
      <c r="E20" s="33">
        <f t="shared" si="8"/>
        <v>587</v>
      </c>
      <c r="F20" s="8">
        <f t="shared" si="0"/>
        <v>1001.7282066344795</v>
      </c>
      <c r="G20" s="24">
        <f t="shared" si="1"/>
        <v>444.44398752103399</v>
      </c>
      <c r="H20" s="10">
        <f t="shared" si="6"/>
        <v>1423.3110466026715</v>
      </c>
      <c r="I20" s="10">
        <f t="shared" si="7"/>
        <v>0</v>
      </c>
      <c r="J20" s="10">
        <f>'dpc-covid19-ita-andamento-naz'!K11</f>
        <v>107</v>
      </c>
      <c r="K20" s="27">
        <f t="shared" si="9"/>
        <v>28</v>
      </c>
      <c r="L20" s="8">
        <f t="shared" si="2"/>
        <v>81.090785742126002</v>
      </c>
      <c r="M20" s="24">
        <f t="shared" si="3"/>
        <v>35.171271184731097</v>
      </c>
      <c r="N20" s="10">
        <f t="shared" si="4"/>
        <v>165.2657316398878</v>
      </c>
      <c r="O20" s="10">
        <f t="shared" si="5"/>
        <v>0</v>
      </c>
      <c r="P20" s="1"/>
      <c r="Q20" s="21" t="s">
        <v>24</v>
      </c>
      <c r="R20" s="30">
        <v>6.1037775127603062</v>
      </c>
    </row>
    <row r="21" spans="2:18" x14ac:dyDescent="0.3">
      <c r="B21" s="22">
        <v>43895</v>
      </c>
      <c r="C21" s="4">
        <v>15</v>
      </c>
      <c r="D21" s="10">
        <f>'dpc-covid19-ita-andamento-naz'!L12</f>
        <v>3858</v>
      </c>
      <c r="E21" s="33">
        <f t="shared" si="8"/>
        <v>769</v>
      </c>
      <c r="F21" s="8">
        <f t="shared" si="0"/>
        <v>1527.8268775514805</v>
      </c>
      <c r="G21" s="24">
        <f t="shared" si="1"/>
        <v>613.49869170920567</v>
      </c>
      <c r="H21" s="10">
        <f t="shared" si="6"/>
        <v>1592.3657507908433</v>
      </c>
      <c r="I21" s="10">
        <f t="shared" si="7"/>
        <v>0</v>
      </c>
      <c r="J21" s="10">
        <f>'dpc-covid19-ita-andamento-naz'!K12</f>
        <v>148</v>
      </c>
      <c r="K21" s="27">
        <f t="shared" si="9"/>
        <v>41</v>
      </c>
      <c r="L21" s="8">
        <f t="shared" si="2"/>
        <v>122.71549512968328</v>
      </c>
      <c r="M21" s="24">
        <f t="shared" si="3"/>
        <v>48.565213602899384</v>
      </c>
      <c r="N21" s="10">
        <f t="shared" si="4"/>
        <v>178.65967405805608</v>
      </c>
      <c r="O21" s="10">
        <f t="shared" si="5"/>
        <v>0</v>
      </c>
      <c r="P21" s="1"/>
      <c r="Q21" s="21" t="s">
        <v>1</v>
      </c>
      <c r="R21" s="30">
        <v>7.0516109144877825</v>
      </c>
    </row>
    <row r="22" spans="2:18" x14ac:dyDescent="0.3">
      <c r="B22" s="9">
        <v>43896</v>
      </c>
      <c r="C22" s="4">
        <v>16</v>
      </c>
      <c r="D22" s="10">
        <f>'dpc-covid19-ita-andamento-naz'!L13</f>
        <v>4636</v>
      </c>
      <c r="E22" s="33">
        <f t="shared" si="8"/>
        <v>778</v>
      </c>
      <c r="F22" s="8">
        <f t="shared" si="0"/>
        <v>2240.309320850753</v>
      </c>
      <c r="G22" s="24">
        <f t="shared" si="1"/>
        <v>817.25252148839877</v>
      </c>
      <c r="H22" s="10">
        <f t="shared" si="6"/>
        <v>1796.1195805700363</v>
      </c>
      <c r="I22" s="10">
        <f t="shared" si="7"/>
        <v>0</v>
      </c>
      <c r="J22" s="10">
        <f>'dpc-covid19-ita-andamento-naz'!K13</f>
        <v>197</v>
      </c>
      <c r="K22" s="27">
        <f t="shared" si="9"/>
        <v>49</v>
      </c>
      <c r="L22" s="8">
        <f t="shared" si="2"/>
        <v>179.23109673047549</v>
      </c>
      <c r="M22" s="24">
        <f t="shared" si="3"/>
        <v>64.986208787671345</v>
      </c>
      <c r="N22" s="10">
        <f t="shared" si="4"/>
        <v>195.08066924282804</v>
      </c>
      <c r="O22" s="10">
        <f t="shared" si="5"/>
        <v>0</v>
      </c>
      <c r="P22" s="1"/>
      <c r="Q22" s="2" t="s">
        <v>2</v>
      </c>
      <c r="R22" s="1">
        <f>AVERAGE(K7:K49)</f>
        <v>323.60465116279067</v>
      </c>
    </row>
    <row r="23" spans="2:18" x14ac:dyDescent="0.3">
      <c r="B23" s="9">
        <v>43897</v>
      </c>
      <c r="C23" s="4">
        <v>17</v>
      </c>
      <c r="D23" s="10">
        <f>'dpc-covid19-ita-andamento-naz'!L14</f>
        <v>5883</v>
      </c>
      <c r="E23" s="33">
        <f t="shared" si="8"/>
        <v>1247</v>
      </c>
      <c r="F23" s="8">
        <f t="shared" si="0"/>
        <v>3173.7353207827214</v>
      </c>
      <c r="G23" s="24">
        <f t="shared" si="1"/>
        <v>1055.1640048568283</v>
      </c>
      <c r="H23" s="10">
        <f t="shared" si="6"/>
        <v>2034.0310639384659</v>
      </c>
      <c r="I23" s="10">
        <f t="shared" si="7"/>
        <v>76.296945775190807</v>
      </c>
      <c r="J23" s="10">
        <f>'dpc-covid19-ita-andamento-naz'!K14</f>
        <v>233</v>
      </c>
      <c r="K23" s="27">
        <f t="shared" si="9"/>
        <v>36</v>
      </c>
      <c r="L23" s="8">
        <f t="shared" si="2"/>
        <v>253.75058580929309</v>
      </c>
      <c r="M23" s="24">
        <f t="shared" si="3"/>
        <v>84.592308759272655</v>
      </c>
      <c r="N23" s="10">
        <f t="shared" si="4"/>
        <v>214.68676921442938</v>
      </c>
      <c r="O23" s="10">
        <f t="shared" si="5"/>
        <v>0</v>
      </c>
      <c r="P23" s="1"/>
      <c r="Q23" s="2" t="s">
        <v>3</v>
      </c>
      <c r="R23" s="1">
        <f>COUNT(K7:K49)-COUNT(R19:R21)</f>
        <v>41</v>
      </c>
    </row>
    <row r="24" spans="2:18" x14ac:dyDescent="0.3">
      <c r="B24" s="22">
        <v>43898</v>
      </c>
      <c r="C24" s="4">
        <v>18</v>
      </c>
      <c r="D24" s="10">
        <f>'dpc-covid19-ita-andamento-naz'!L15</f>
        <v>7375</v>
      </c>
      <c r="E24" s="33">
        <f t="shared" si="8"/>
        <v>1492</v>
      </c>
      <c r="F24" s="8">
        <f t="shared" si="0"/>
        <v>4361.3380867044625</v>
      </c>
      <c r="G24" s="24">
        <f t="shared" si="1"/>
        <v>1325.1284000388137</v>
      </c>
      <c r="H24" s="10">
        <f t="shared" si="6"/>
        <v>2303.9954591204514</v>
      </c>
      <c r="I24" s="10">
        <f t="shared" si="7"/>
        <v>346.26134095717612</v>
      </c>
      <c r="J24" s="10">
        <f>'dpc-covid19-ita-andamento-naz'!K15</f>
        <v>366</v>
      </c>
      <c r="K24" s="27">
        <f t="shared" si="9"/>
        <v>133</v>
      </c>
      <c r="L24" s="8">
        <f t="shared" si="2"/>
        <v>349.50216609625653</v>
      </c>
      <c r="M24" s="24">
        <f t="shared" si="3"/>
        <v>107.45469039832852</v>
      </c>
      <c r="N24" s="10">
        <f t="shared" si="4"/>
        <v>237.54915085348523</v>
      </c>
      <c r="O24" s="10">
        <f t="shared" si="5"/>
        <v>0</v>
      </c>
      <c r="P24" s="1"/>
      <c r="Q24" s="2" t="s">
        <v>4</v>
      </c>
      <c r="R24" s="6" cm="1">
        <f t="array" ref="R24">SQRT(SUM((K7:K49-M7:M49)^2)/dfd)</f>
        <v>64.417836706092757</v>
      </c>
    </row>
    <row r="25" spans="2:18" ht="16.2" x14ac:dyDescent="0.3">
      <c r="B25" s="9">
        <v>43899</v>
      </c>
      <c r="C25" s="4">
        <v>19</v>
      </c>
      <c r="D25" s="10">
        <f>'dpc-covid19-ita-andamento-naz'!L16</f>
        <v>9172</v>
      </c>
      <c r="E25" s="33">
        <f t="shared" si="8"/>
        <v>1797</v>
      </c>
      <c r="F25" s="8">
        <f t="shared" si="0"/>
        <v>5833.4992891316069</v>
      </c>
      <c r="G25" s="24">
        <f t="shared" si="1"/>
        <v>1623.5711855030606</v>
      </c>
      <c r="H25" s="10">
        <f t="shared" si="6"/>
        <v>2602.4382445846982</v>
      </c>
      <c r="I25" s="10">
        <f t="shared" si="7"/>
        <v>644.7041264214231</v>
      </c>
      <c r="J25" s="10">
        <f>'dpc-covid19-ita-andamento-naz'!K16</f>
        <v>463</v>
      </c>
      <c r="K25" s="27">
        <f t="shared" si="9"/>
        <v>97</v>
      </c>
      <c r="L25" s="8">
        <f t="shared" si="2"/>
        <v>469.73958812185947</v>
      </c>
      <c r="M25" s="24">
        <f t="shared" si="3"/>
        <v>133.55285423643562</v>
      </c>
      <c r="N25" s="10">
        <f t="shared" si="4"/>
        <v>263.64731469159233</v>
      </c>
      <c r="O25" s="10">
        <f t="shared" si="5"/>
        <v>3.4583937812789145</v>
      </c>
      <c r="P25" s="1"/>
      <c r="Q25" s="2" t="s">
        <v>5</v>
      </c>
      <c r="R25" s="7" cm="1">
        <f t="array" ref="R25">1-SUM((K7:K49-M7:M49)^2)/SUM((K7:K49-Mean_of_yd)^2)</f>
        <v>0.96254020304870436</v>
      </c>
    </row>
    <row r="26" spans="2:18" x14ac:dyDescent="0.3">
      <c r="B26" s="22">
        <v>43900</v>
      </c>
      <c r="C26" s="4">
        <v>20</v>
      </c>
      <c r="D26" s="10">
        <f>'dpc-covid19-ita-andamento-naz'!L17</f>
        <v>10149</v>
      </c>
      <c r="E26" s="33">
        <f t="shared" si="8"/>
        <v>977</v>
      </c>
      <c r="F26" s="8">
        <f t="shared" si="0"/>
        <v>7616.3648369958437</v>
      </c>
      <c r="G26" s="24">
        <f t="shared" si="1"/>
        <v>1945.6325018709792</v>
      </c>
      <c r="H26" s="10">
        <f t="shared" si="6"/>
        <v>2924.4995609526168</v>
      </c>
      <c r="I26" s="10">
        <f t="shared" si="7"/>
        <v>966.76544278934171</v>
      </c>
      <c r="J26" s="10">
        <f>'dpc-covid19-ita-andamento-naz'!K17</f>
        <v>631</v>
      </c>
      <c r="K26" s="27">
        <f t="shared" si="9"/>
        <v>168</v>
      </c>
      <c r="L26" s="8">
        <f t="shared" si="2"/>
        <v>617.6499596185912</v>
      </c>
      <c r="M26" s="24">
        <f t="shared" si="3"/>
        <v>162.77431902994215</v>
      </c>
      <c r="N26" s="10">
        <f t="shared" si="4"/>
        <v>292.86877948509886</v>
      </c>
      <c r="O26" s="10">
        <f t="shared" si="5"/>
        <v>32.679858574785442</v>
      </c>
      <c r="P26" s="1"/>
      <c r="Q26" s="2" t="s">
        <v>6</v>
      </c>
      <c r="R26" s="7">
        <f>TINV(0.05,dfd)</f>
        <v>2.0195409704413767</v>
      </c>
    </row>
    <row r="27" spans="2:18" x14ac:dyDescent="0.3">
      <c r="B27" s="9">
        <v>43901</v>
      </c>
      <c r="C27" s="4">
        <v>21</v>
      </c>
      <c r="D27" s="10">
        <f>'dpc-covid19-ita-andamento-naz'!L18</f>
        <v>12462</v>
      </c>
      <c r="E27" s="33">
        <f t="shared" si="8"/>
        <v>2313</v>
      </c>
      <c r="F27" s="8">
        <f t="shared" si="0"/>
        <v>9730.6810292834143</v>
      </c>
      <c r="G27" s="24">
        <f t="shared" si="1"/>
        <v>2285.4193477401277</v>
      </c>
      <c r="H27" s="10">
        <f t="shared" si="6"/>
        <v>3264.286406821765</v>
      </c>
      <c r="I27" s="10">
        <f t="shared" si="7"/>
        <v>1306.5522886584902</v>
      </c>
      <c r="J27" s="10">
        <f>'dpc-covid19-ita-andamento-naz'!K18</f>
        <v>827</v>
      </c>
      <c r="K27" s="27">
        <f t="shared" si="9"/>
        <v>196</v>
      </c>
      <c r="L27" s="8">
        <f t="shared" si="2"/>
        <v>796.26333281357938</v>
      </c>
      <c r="M27" s="24">
        <f t="shared" si="3"/>
        <v>194.91839415915007</v>
      </c>
      <c r="N27" s="10">
        <f t="shared" si="4"/>
        <v>325.01285461430678</v>
      </c>
      <c r="O27" s="10">
        <f t="shared" si="5"/>
        <v>64.823933703993362</v>
      </c>
      <c r="P27" s="1"/>
      <c r="Q27" s="2" t="s">
        <v>7</v>
      </c>
      <c r="R27" s="1">
        <f>Critical_td*SE_of_yd</f>
        <v>130.09446045515671</v>
      </c>
    </row>
    <row r="28" spans="2:18" x14ac:dyDescent="0.3">
      <c r="B28" s="22">
        <v>43902</v>
      </c>
      <c r="C28" s="4">
        <v>22</v>
      </c>
      <c r="D28" s="10">
        <f>'dpc-covid19-ita-andamento-naz'!L19</f>
        <v>15113</v>
      </c>
      <c r="E28" s="33">
        <f t="shared" si="8"/>
        <v>2651</v>
      </c>
      <c r="F28" s="8">
        <f t="shared" si="0"/>
        <v>12190.906339557649</v>
      </c>
      <c r="G28" s="24">
        <f t="shared" si="1"/>
        <v>2636.300462717249</v>
      </c>
      <c r="H28" s="10">
        <f t="shared" si="6"/>
        <v>3615.1675217988868</v>
      </c>
      <c r="I28" s="10">
        <f t="shared" si="7"/>
        <v>1657.4334036356115</v>
      </c>
      <c r="J28" s="10">
        <f>'dpc-covid19-ita-andamento-naz'!K19</f>
        <v>1016</v>
      </c>
      <c r="K28" s="27">
        <f t="shared" si="9"/>
        <v>189</v>
      </c>
      <c r="L28" s="8">
        <f t="shared" si="2"/>
        <v>1008.3678601787371</v>
      </c>
      <c r="M28" s="24">
        <f t="shared" si="3"/>
        <v>229.70343391955055</v>
      </c>
      <c r="N28" s="10">
        <f t="shared" si="4"/>
        <v>359.79789437470725</v>
      </c>
      <c r="O28" s="10">
        <f t="shared" si="5"/>
        <v>99.608973464393841</v>
      </c>
      <c r="P28" s="1"/>
      <c r="Q28" s="37" t="s">
        <v>71</v>
      </c>
      <c r="R28" s="38">
        <f>(wd^wd)*EXP(-wd)</f>
        <v>830.46936680163731</v>
      </c>
    </row>
    <row r="29" spans="2:18" x14ac:dyDescent="0.3">
      <c r="B29" s="9">
        <v>43903</v>
      </c>
      <c r="C29" s="4">
        <v>23</v>
      </c>
      <c r="D29" s="10">
        <f>'dpc-covid19-ita-andamento-naz'!L20</f>
        <v>17660</v>
      </c>
      <c r="E29" s="33">
        <f t="shared" si="8"/>
        <v>2547</v>
      </c>
      <c r="F29" s="8">
        <f t="shared" si="0"/>
        <v>15004.629194786523</v>
      </c>
      <c r="G29" s="24">
        <f t="shared" si="1"/>
        <v>2991.2195439235675</v>
      </c>
      <c r="H29" s="10">
        <f t="shared" si="6"/>
        <v>3970.0866030052048</v>
      </c>
      <c r="I29" s="10">
        <f t="shared" si="7"/>
        <v>2012.3524848419299</v>
      </c>
      <c r="J29" s="10">
        <f>'dpc-covid19-ita-andamento-naz'!K20</f>
        <v>1266</v>
      </c>
      <c r="K29" s="27">
        <f t="shared" si="9"/>
        <v>250</v>
      </c>
      <c r="L29" s="8">
        <f t="shared" si="2"/>
        <v>1256.4336556489709</v>
      </c>
      <c r="M29" s="24">
        <f t="shared" si="3"/>
        <v>266.776871825954</v>
      </c>
      <c r="N29" s="10">
        <f t="shared" si="4"/>
        <v>396.87133228111071</v>
      </c>
      <c r="O29" s="10">
        <f t="shared" si="5"/>
        <v>136.6824113707973</v>
      </c>
      <c r="P29" s="1"/>
      <c r="Q29" s="37" t="s">
        <v>72</v>
      </c>
      <c r="R29" s="38">
        <f>wd*t0d</f>
        <v>43.041464128585666</v>
      </c>
    </row>
    <row r="30" spans="2:18" x14ac:dyDescent="0.3">
      <c r="B30" s="9">
        <v>43904</v>
      </c>
      <c r="C30" s="4">
        <v>24</v>
      </c>
      <c r="D30" s="10">
        <f>'dpc-covid19-ita-andamento-naz'!L21</f>
        <v>21157</v>
      </c>
      <c r="E30" s="33">
        <f t="shared" si="8"/>
        <v>3497</v>
      </c>
      <c r="F30" s="8">
        <f t="shared" si="0"/>
        <v>18172.298928793338</v>
      </c>
      <c r="G30" s="24">
        <f t="shared" si="1"/>
        <v>3343.0050434224677</v>
      </c>
      <c r="H30" s="10">
        <f t="shared" si="6"/>
        <v>4321.872102504105</v>
      </c>
      <c r="I30" s="10">
        <f t="shared" si="7"/>
        <v>2364.1379843408304</v>
      </c>
      <c r="J30" s="10">
        <f>'dpc-covid19-ita-andamento-naz'!K21</f>
        <v>1441</v>
      </c>
      <c r="K30" s="27">
        <f t="shared" si="9"/>
        <v>175</v>
      </c>
      <c r="L30" s="8">
        <f t="shared" si="2"/>
        <v>1542.5477699787602</v>
      </c>
      <c r="M30" s="24">
        <f t="shared" si="3"/>
        <v>305.72728962768377</v>
      </c>
      <c r="N30" s="10">
        <f t="shared" si="4"/>
        <v>435.82175008284048</v>
      </c>
      <c r="O30" s="10">
        <f t="shared" si="5"/>
        <v>175.63282917252707</v>
      </c>
      <c r="P30" s="1"/>
    </row>
    <row r="31" spans="2:18" x14ac:dyDescent="0.3">
      <c r="B31" s="9">
        <v>43905</v>
      </c>
      <c r="C31" s="4">
        <v>25</v>
      </c>
      <c r="D31" s="10">
        <f>'dpc-covid19-ita-andamento-naz'!L22</f>
        <v>24747</v>
      </c>
      <c r="E31" s="33">
        <f t="shared" si="8"/>
        <v>3590</v>
      </c>
      <c r="F31" s="8">
        <f t="shared" si="0"/>
        <v>21687.257165951229</v>
      </c>
      <c r="G31" s="24">
        <f t="shared" si="1"/>
        <v>3684.6585957664674</v>
      </c>
      <c r="H31" s="10">
        <f t="shared" si="6"/>
        <v>4663.5256548481048</v>
      </c>
      <c r="I31" s="10">
        <f t="shared" si="7"/>
        <v>2705.7915366848301</v>
      </c>
      <c r="J31" s="10">
        <f>'dpc-covid19-ita-andamento-naz'!K22</f>
        <v>1809</v>
      </c>
      <c r="K31" s="27">
        <f t="shared" si="9"/>
        <v>368</v>
      </c>
      <c r="L31" s="8">
        <f t="shared" si="2"/>
        <v>1868.3619436686788</v>
      </c>
      <c r="M31" s="24">
        <f t="shared" si="3"/>
        <v>346.09778336969748</v>
      </c>
      <c r="N31" s="10">
        <f t="shared" si="4"/>
        <v>476.19224382485419</v>
      </c>
      <c r="O31" s="10">
        <f t="shared" si="5"/>
        <v>216.00332291454077</v>
      </c>
      <c r="P31" s="1"/>
    </row>
    <row r="32" spans="2:18" x14ac:dyDescent="0.3">
      <c r="B32" s="9">
        <v>43906</v>
      </c>
      <c r="C32" s="4">
        <v>26</v>
      </c>
      <c r="D32" s="10">
        <f>'dpc-covid19-ita-andamento-naz'!L23</f>
        <v>27980</v>
      </c>
      <c r="E32" s="33">
        <f t="shared" si="8"/>
        <v>3233</v>
      </c>
      <c r="F32" s="8">
        <f t="shared" si="0"/>
        <v>25536.041108827525</v>
      </c>
      <c r="G32" s="24">
        <f t="shared" si="1"/>
        <v>4009.6085154795396</v>
      </c>
      <c r="H32" s="10">
        <f t="shared" si="6"/>
        <v>4988.4755745611774</v>
      </c>
      <c r="I32" s="10">
        <f t="shared" si="7"/>
        <v>3030.7414563979019</v>
      </c>
      <c r="J32" s="10">
        <f>'dpc-covid19-ita-andamento-naz'!K23</f>
        <v>2158</v>
      </c>
      <c r="K32" s="27">
        <f t="shared" si="9"/>
        <v>349</v>
      </c>
      <c r="L32" s="8">
        <f t="shared" si="2"/>
        <v>2235.0540838294573</v>
      </c>
      <c r="M32" s="24">
        <f t="shared" si="3"/>
        <v>387.39993557269395</v>
      </c>
      <c r="N32" s="10">
        <f t="shared" si="4"/>
        <v>517.4943960278506</v>
      </c>
      <c r="O32" s="10">
        <f t="shared" si="5"/>
        <v>257.30547511753724</v>
      </c>
      <c r="P32" s="1"/>
    </row>
    <row r="33" spans="2:21" x14ac:dyDescent="0.3">
      <c r="B33" s="9">
        <v>43907</v>
      </c>
      <c r="C33" s="4">
        <v>27</v>
      </c>
      <c r="D33" s="10">
        <f>'dpc-covid19-ita-andamento-naz'!L24</f>
        <v>31506</v>
      </c>
      <c r="E33" s="33">
        <f t="shared" si="8"/>
        <v>3526</v>
      </c>
      <c r="F33" s="8">
        <f t="shared" si="0"/>
        <v>29698.918893890044</v>
      </c>
      <c r="G33" s="24">
        <f t="shared" si="1"/>
        <v>4311.919285775667</v>
      </c>
      <c r="H33" s="10">
        <f t="shared" si="6"/>
        <v>5290.7863448573044</v>
      </c>
      <c r="I33" s="10">
        <f t="shared" si="7"/>
        <v>3333.0522266940297</v>
      </c>
      <c r="J33" s="10">
        <f>'dpc-covid19-ita-andamento-naz'!K24</f>
        <v>2503</v>
      </c>
      <c r="K33" s="27">
        <f t="shared" si="9"/>
        <v>345</v>
      </c>
      <c r="L33" s="8">
        <f t="shared" si="2"/>
        <v>2643.3037557690786</v>
      </c>
      <c r="M33" s="24">
        <f t="shared" si="3"/>
        <v>429.12777700675343</v>
      </c>
      <c r="N33" s="10">
        <f t="shared" si="4"/>
        <v>559.22223746191014</v>
      </c>
      <c r="O33" s="10">
        <f t="shared" si="5"/>
        <v>299.03331655159673</v>
      </c>
      <c r="P33" s="1"/>
    </row>
    <row r="34" spans="2:21" x14ac:dyDescent="0.3">
      <c r="B34" s="9">
        <v>43908</v>
      </c>
      <c r="C34" s="4">
        <v>28</v>
      </c>
      <c r="D34" s="10">
        <f>'dpc-covid19-ita-andamento-naz'!L25</f>
        <v>35713</v>
      </c>
      <c r="E34" s="33">
        <f t="shared" si="8"/>
        <v>4207</v>
      </c>
      <c r="F34" s="8">
        <f t="shared" si="0"/>
        <v>34150.610236740336</v>
      </c>
      <c r="G34" s="24">
        <f t="shared" si="1"/>
        <v>4586.4521609062303</v>
      </c>
      <c r="H34" s="10">
        <f t="shared" si="6"/>
        <v>5565.3192199878677</v>
      </c>
      <c r="I34" s="10">
        <f t="shared" si="7"/>
        <v>3607.585101824593</v>
      </c>
      <c r="J34" s="10">
        <f>'dpc-covid19-ita-andamento-naz'!K25</f>
        <v>2978</v>
      </c>
      <c r="K34" s="27">
        <f t="shared" si="9"/>
        <v>475</v>
      </c>
      <c r="L34" s="8">
        <f t="shared" si="2"/>
        <v>3093.2814083988219</v>
      </c>
      <c r="M34" s="24">
        <f t="shared" si="3"/>
        <v>470.77121332371178</v>
      </c>
      <c r="N34" s="10">
        <f t="shared" si="4"/>
        <v>600.86567377886854</v>
      </c>
      <c r="O34" s="10">
        <f t="shared" si="5"/>
        <v>340.67675286855507</v>
      </c>
      <c r="U34" s="1"/>
    </row>
    <row r="35" spans="2:21" x14ac:dyDescent="0.3">
      <c r="B35" s="9">
        <v>43909</v>
      </c>
      <c r="C35" s="4">
        <v>29</v>
      </c>
      <c r="D35" s="10">
        <f>'dpc-covid19-ita-andamento-naz'!L26</f>
        <v>41035</v>
      </c>
      <c r="E35" s="33">
        <f t="shared" si="8"/>
        <v>5322</v>
      </c>
      <c r="F35" s="8">
        <f t="shared" si="0"/>
        <v>38861.142598263708</v>
      </c>
      <c r="G35" s="24">
        <f t="shared" si="1"/>
        <v>4828.9756767281879</v>
      </c>
      <c r="H35" s="10">
        <f t="shared" si="6"/>
        <v>5807.8427358098252</v>
      </c>
      <c r="I35" s="10">
        <f t="shared" si="7"/>
        <v>3850.1086176465506</v>
      </c>
      <c r="J35" s="10">
        <f>'dpc-covid19-ita-andamento-naz'!K26</f>
        <v>3405</v>
      </c>
      <c r="K35" s="27">
        <f t="shared" si="9"/>
        <v>427</v>
      </c>
      <c r="L35" s="8">
        <f t="shared" si="2"/>
        <v>3584.650577633317</v>
      </c>
      <c r="M35" s="24">
        <f t="shared" si="3"/>
        <v>511.82849223749957</v>
      </c>
      <c r="N35" s="10">
        <f t="shared" si="4"/>
        <v>641.92295269265628</v>
      </c>
      <c r="O35" s="10">
        <f t="shared" si="5"/>
        <v>381.73403178234287</v>
      </c>
    </row>
    <row r="36" spans="2:21" x14ac:dyDescent="0.3">
      <c r="B36" s="9">
        <v>43910</v>
      </c>
      <c r="C36" s="4">
        <v>30</v>
      </c>
      <c r="D36" s="10">
        <f>'dpc-covid19-ita-andamento-naz'!L27</f>
        <v>47021</v>
      </c>
      <c r="E36" s="33">
        <f t="shared" si="8"/>
        <v>5986</v>
      </c>
      <c r="F36" s="8">
        <f t="shared" si="0"/>
        <v>43796.793458317472</v>
      </c>
      <c r="G36" s="24">
        <f t="shared" si="1"/>
        <v>5036.2278671502991</v>
      </c>
      <c r="H36" s="10">
        <f t="shared" si="6"/>
        <v>6015.0949262319364</v>
      </c>
      <c r="I36" s="10">
        <f t="shared" si="7"/>
        <v>4057.3608080686618</v>
      </c>
      <c r="J36" s="10">
        <f>'dpc-covid19-ita-andamento-naz'!K27</f>
        <v>4032</v>
      </c>
      <c r="K36" s="27">
        <f t="shared" si="9"/>
        <v>627</v>
      </c>
      <c r="L36" s="8">
        <f t="shared" si="2"/>
        <v>4116.5819387517104</v>
      </c>
      <c r="M36" s="24">
        <f t="shared" si="3"/>
        <v>551.81738889872793</v>
      </c>
      <c r="N36" s="10">
        <f t="shared" si="4"/>
        <v>681.91184935388469</v>
      </c>
      <c r="O36" s="10">
        <f t="shared" si="5"/>
        <v>421.72292844357122</v>
      </c>
    </row>
    <row r="37" spans="2:21" x14ac:dyDescent="0.3">
      <c r="B37" s="9">
        <v>43911</v>
      </c>
      <c r="C37" s="4">
        <v>31</v>
      </c>
      <c r="D37" s="10">
        <f>'dpc-covid19-ita-andamento-naz'!L28</f>
        <v>53578</v>
      </c>
      <c r="E37" s="33">
        <f t="shared" si="8"/>
        <v>6557</v>
      </c>
      <c r="F37" s="8">
        <f t="shared" si="0"/>
        <v>48921.072282597146</v>
      </c>
      <c r="G37" s="24">
        <f t="shared" si="1"/>
        <v>5205.9342662200652</v>
      </c>
      <c r="H37" s="10">
        <f t="shared" si="6"/>
        <v>6184.8013253017025</v>
      </c>
      <c r="I37" s="10">
        <f t="shared" si="7"/>
        <v>4227.0672071384279</v>
      </c>
      <c r="J37" s="10">
        <f>'dpc-covid19-ita-andamento-naz'!K28</f>
        <v>4825</v>
      </c>
      <c r="K37" s="27">
        <f t="shared" si="9"/>
        <v>793</v>
      </c>
      <c r="L37" s="8">
        <f t="shared" si="2"/>
        <v>4687.7778058612012</v>
      </c>
      <c r="M37" s="24">
        <f t="shared" si="3"/>
        <v>590.28488513879802</v>
      </c>
      <c r="N37" s="10">
        <f t="shared" si="4"/>
        <v>720.37934559395467</v>
      </c>
      <c r="O37" s="10">
        <f t="shared" si="5"/>
        <v>460.19042468364131</v>
      </c>
    </row>
    <row r="38" spans="2:21" x14ac:dyDescent="0.3">
      <c r="B38" s="9">
        <v>43912</v>
      </c>
      <c r="C38" s="4">
        <v>32</v>
      </c>
      <c r="D38" s="10">
        <f>'dpc-covid19-ita-andamento-naz'!L29</f>
        <v>59138</v>
      </c>
      <c r="E38" s="33">
        <f t="shared" si="8"/>
        <v>5560</v>
      </c>
      <c r="F38" s="8">
        <f t="shared" si="0"/>
        <v>54195.700693056795</v>
      </c>
      <c r="G38" s="24">
        <f t="shared" si="1"/>
        <v>5336.7873519484892</v>
      </c>
      <c r="H38" s="10">
        <f t="shared" si="6"/>
        <v>6315.6544110301265</v>
      </c>
      <c r="I38" s="10">
        <f t="shared" si="7"/>
        <v>4357.9202928668519</v>
      </c>
      <c r="J38" s="10">
        <f>'dpc-covid19-ita-andamento-naz'!K29</f>
        <v>5476</v>
      </c>
      <c r="K38" s="27">
        <f t="shared" si="9"/>
        <v>651</v>
      </c>
      <c r="L38" s="8">
        <f t="shared" si="2"/>
        <v>5296.5054981429166</v>
      </c>
      <c r="M38" s="24">
        <f t="shared" si="3"/>
        <v>626.81520841975737</v>
      </c>
      <c r="N38" s="10">
        <f t="shared" si="4"/>
        <v>756.90966887491413</v>
      </c>
      <c r="O38" s="10">
        <f t="shared" si="5"/>
        <v>496.72074796460066</v>
      </c>
    </row>
    <row r="39" spans="2:21" x14ac:dyDescent="0.3">
      <c r="B39" s="22">
        <v>43913</v>
      </c>
      <c r="C39" s="4">
        <v>33</v>
      </c>
      <c r="D39" s="10">
        <f>'dpc-covid19-ita-andamento-naz'!L30</f>
        <v>63927</v>
      </c>
      <c r="E39" s="33">
        <f t="shared" si="8"/>
        <v>4789</v>
      </c>
      <c r="F39" s="8">
        <f t="shared" ref="F39:F70" si="10">t0n*_xlfn.GAMMA.DIST($C39/t0n,wn+1,1,1)*_xlfn.GAMMA(wn+1)</f>
        <v>59581.555524737894</v>
      </c>
      <c r="G39" s="24">
        <f t="shared" ref="G39:G70" si="11">(($C39/t0n)^wn)*EXP(-($C39/t0n))</f>
        <v>5428.3940203054299</v>
      </c>
      <c r="H39" s="10">
        <f t="shared" si="6"/>
        <v>6407.2610793870672</v>
      </c>
      <c r="I39" s="10">
        <f t="shared" si="7"/>
        <v>4449.5269612237926</v>
      </c>
      <c r="J39" s="10">
        <f>'dpc-covid19-ita-andamento-naz'!K30</f>
        <v>6077</v>
      </c>
      <c r="K39" s="27">
        <f t="shared" si="9"/>
        <v>601</v>
      </c>
      <c r="L39" s="8">
        <f t="shared" ref="L39:L70" si="12">t0d*_xlfn.GAMMA.DIST($C39/t0d,wd+1,1,1)*_xlfn.GAMMA(wd+1)</f>
        <v>5940.6378991930151</v>
      </c>
      <c r="M39" s="24">
        <f t="shared" ref="M39:M70" si="13">(($C39/t0d)^wd)*EXP(-($C39/t0d))</f>
        <v>661.03617602212626</v>
      </c>
      <c r="N39" s="10">
        <f t="shared" si="4"/>
        <v>791.13063647728291</v>
      </c>
      <c r="O39" s="10">
        <f t="shared" si="5"/>
        <v>530.94171556696961</v>
      </c>
    </row>
    <row r="40" spans="2:21" x14ac:dyDescent="0.3">
      <c r="B40" s="9">
        <v>43914</v>
      </c>
      <c r="C40" s="4">
        <v>34</v>
      </c>
      <c r="D40" s="10">
        <f>'dpc-covid19-ita-andamento-naz'!L31</f>
        <v>69176</v>
      </c>
      <c r="E40" s="33">
        <f t="shared" si="8"/>
        <v>5249</v>
      </c>
      <c r="F40" s="8">
        <f t="shared" si="10"/>
        <v>65039.546271568142</v>
      </c>
      <c r="G40" s="24">
        <f t="shared" si="11"/>
        <v>5481.1980565648901</v>
      </c>
      <c r="H40" s="10">
        <f t="shared" si="6"/>
        <v>6460.0651156465274</v>
      </c>
      <c r="I40" s="10">
        <f t="shared" si="7"/>
        <v>4502.3309974832528</v>
      </c>
      <c r="J40" s="10">
        <f>'dpc-covid19-ita-andamento-naz'!K31</f>
        <v>6820</v>
      </c>
      <c r="K40" s="27">
        <f t="shared" si="9"/>
        <v>743</v>
      </c>
      <c r="L40" s="8">
        <f t="shared" si="12"/>
        <v>6617.6995162172407</v>
      </c>
      <c r="M40" s="24">
        <f t="shared" si="13"/>
        <v>692.62385777140526</v>
      </c>
      <c r="N40" s="10">
        <f t="shared" si="4"/>
        <v>822.71831822656191</v>
      </c>
      <c r="O40" s="10">
        <f t="shared" si="5"/>
        <v>562.52939731624861</v>
      </c>
    </row>
    <row r="41" spans="2:21" x14ac:dyDescent="0.3">
      <c r="B41" s="9">
        <v>43915</v>
      </c>
      <c r="C41" s="4">
        <v>35</v>
      </c>
      <c r="D41" s="10">
        <f>'dpc-covid19-ita-andamento-naz'!L32</f>
        <v>74386</v>
      </c>
      <c r="E41" s="33">
        <f t="shared" si="8"/>
        <v>5210</v>
      </c>
      <c r="F41" s="8">
        <f t="shared" si="10"/>
        <v>70531.405388564672</v>
      </c>
      <c r="G41" s="24">
        <f t="shared" si="11"/>
        <v>5496.384500664145</v>
      </c>
      <c r="H41" s="10">
        <f t="shared" si="6"/>
        <v>6475.2515597457823</v>
      </c>
      <c r="I41" s="10">
        <f t="shared" si="7"/>
        <v>4517.5174415825077</v>
      </c>
      <c r="J41" s="10">
        <f>'dpc-covid19-ita-andamento-naz'!K32</f>
        <v>7503</v>
      </c>
      <c r="K41" s="27">
        <f t="shared" si="9"/>
        <v>683</v>
      </c>
      <c r="L41" s="8">
        <f t="shared" si="12"/>
        <v>7324.9163878288628</v>
      </c>
      <c r="M41" s="24">
        <f t="shared" si="13"/>
        <v>721.30562590269074</v>
      </c>
      <c r="N41" s="10">
        <f t="shared" si="4"/>
        <v>851.40008635784739</v>
      </c>
      <c r="O41" s="10">
        <f t="shared" si="5"/>
        <v>591.21116544753409</v>
      </c>
    </row>
    <row r="42" spans="2:21" x14ac:dyDescent="0.3">
      <c r="B42" s="9">
        <v>43916</v>
      </c>
      <c r="C42" s="4">
        <v>36</v>
      </c>
      <c r="D42" s="10">
        <f>'dpc-covid19-ita-andamento-naz'!L33</f>
        <v>80539</v>
      </c>
      <c r="E42" s="33">
        <f t="shared" si="8"/>
        <v>6153</v>
      </c>
      <c r="F42" s="8">
        <f t="shared" si="10"/>
        <v>76020.376632281157</v>
      </c>
      <c r="G42" s="24">
        <f t="shared" si="11"/>
        <v>5475.7723903788774</v>
      </c>
      <c r="H42" s="10">
        <f t="shared" si="6"/>
        <v>6454.6394494605147</v>
      </c>
      <c r="I42" s="10">
        <f t="shared" si="7"/>
        <v>4496.9053312972401</v>
      </c>
      <c r="J42" s="10">
        <f>'dpc-covid19-ita-andamento-naz'!K33</f>
        <v>8165</v>
      </c>
      <c r="K42" s="27">
        <f t="shared" si="9"/>
        <v>662</v>
      </c>
      <c r="L42" s="8">
        <f t="shared" si="12"/>
        <v>8059.2682803015887</v>
      </c>
      <c r="M42" s="24">
        <f t="shared" si="13"/>
        <v>746.86170366240492</v>
      </c>
      <c r="N42" s="10">
        <f t="shared" si="4"/>
        <v>876.95616411756168</v>
      </c>
      <c r="O42" s="10">
        <f t="shared" si="5"/>
        <v>616.76724320724816</v>
      </c>
    </row>
    <row r="43" spans="2:21" x14ac:dyDescent="0.3">
      <c r="B43" s="9">
        <v>43917</v>
      </c>
      <c r="C43" s="4">
        <v>37</v>
      </c>
      <c r="D43" s="10">
        <f>'dpc-covid19-ita-andamento-naz'!L34</f>
        <v>86498</v>
      </c>
      <c r="E43" s="33">
        <f t="shared" si="8"/>
        <v>5959</v>
      </c>
      <c r="F43" s="8">
        <f t="shared" si="10"/>
        <v>81471.792794344816</v>
      </c>
      <c r="G43" s="24">
        <f t="shared" si="11"/>
        <v>5421.7017123104833</v>
      </c>
      <c r="H43" s="10">
        <f t="shared" si="6"/>
        <v>6400.5687713921207</v>
      </c>
      <c r="I43" s="10">
        <f t="shared" si="7"/>
        <v>4442.834653228846</v>
      </c>
      <c r="J43" s="10">
        <f>'dpc-covid19-ita-andamento-naz'!K34</f>
        <v>9134</v>
      </c>
      <c r="K43" s="27">
        <f t="shared" si="9"/>
        <v>969</v>
      </c>
      <c r="L43" s="8">
        <f t="shared" si="12"/>
        <v>8817.5417403533374</v>
      </c>
      <c r="M43" s="24">
        <f t="shared" si="13"/>
        <v>769.12535564201676</v>
      </c>
      <c r="N43" s="10">
        <f t="shared" si="4"/>
        <v>899.21981609717341</v>
      </c>
      <c r="O43" s="10">
        <f t="shared" si="5"/>
        <v>639.03089518686011</v>
      </c>
    </row>
    <row r="44" spans="2:21" x14ac:dyDescent="0.3">
      <c r="B44" s="9">
        <v>43918</v>
      </c>
      <c r="C44" s="4">
        <v>38</v>
      </c>
      <c r="D44" s="10">
        <f>'dpc-covid19-ita-andamento-naz'!L35</f>
        <v>92472</v>
      </c>
      <c r="E44" s="33">
        <f t="shared" si="8"/>
        <v>5974</v>
      </c>
      <c r="F44" s="8">
        <f t="shared" si="10"/>
        <v>86853.539619959876</v>
      </c>
      <c r="G44" s="24">
        <f t="shared" si="11"/>
        <v>5336.9195865406173</v>
      </c>
      <c r="H44" s="10">
        <f t="shared" si="6"/>
        <v>6315.7866456222546</v>
      </c>
      <c r="I44" s="10">
        <f>MAX(G44-CIn,0)</f>
        <v>4358.05252745898</v>
      </c>
      <c r="J44" s="10">
        <f>'dpc-covid19-ita-andamento-naz'!K35</f>
        <v>10023</v>
      </c>
      <c r="K44" s="27">
        <f t="shared" si="9"/>
        <v>889</v>
      </c>
      <c r="L44" s="8">
        <f t="shared" si="12"/>
        <v>9596.3827267840315</v>
      </c>
      <c r="M44" s="24">
        <f t="shared" si="13"/>
        <v>787.98188368645401</v>
      </c>
      <c r="N44" s="10">
        <f t="shared" si="4"/>
        <v>918.07634414161066</v>
      </c>
      <c r="O44" s="10">
        <f t="shared" si="5"/>
        <v>657.88742323129736</v>
      </c>
    </row>
    <row r="45" spans="2:21" x14ac:dyDescent="0.3">
      <c r="B45" s="9">
        <v>43919</v>
      </c>
      <c r="C45" s="4">
        <v>39</v>
      </c>
      <c r="D45" s="10">
        <f>'dpc-covid19-ita-andamento-naz'!L36</f>
        <v>97689</v>
      </c>
      <c r="E45" s="33">
        <f t="shared" si="8"/>
        <v>5217</v>
      </c>
      <c r="F45" s="8">
        <f t="shared" si="10"/>
        <v>92136.407293607728</v>
      </c>
      <c r="G45" s="24">
        <f t="shared" si="11"/>
        <v>5224.4698331908339</v>
      </c>
      <c r="H45" s="10">
        <f>G45+CIn</f>
        <v>6203.3368922724712</v>
      </c>
      <c r="I45" s="10">
        <f>MAX(G45-CIn,0)</f>
        <v>4245.6027741091966</v>
      </c>
      <c r="J45" s="10">
        <f>'dpc-covid19-ita-andamento-naz'!K36</f>
        <v>10779</v>
      </c>
      <c r="K45" s="27">
        <f t="shared" si="9"/>
        <v>756</v>
      </c>
      <c r="L45" s="8">
        <f t="shared" si="12"/>
        <v>10392.347713636756</v>
      </c>
      <c r="M45" s="24">
        <f t="shared" si="13"/>
        <v>803.3666037960536</v>
      </c>
      <c r="N45" s="10">
        <f t="shared" si="4"/>
        <v>933.46106425121025</v>
      </c>
      <c r="O45" s="10">
        <f t="shared" si="5"/>
        <v>673.27214334089695</v>
      </c>
    </row>
    <row r="46" spans="2:21" x14ac:dyDescent="0.3">
      <c r="B46" s="9">
        <v>43920</v>
      </c>
      <c r="C46" s="4">
        <v>40</v>
      </c>
      <c r="D46" s="10">
        <f>'dpc-covid19-ita-andamento-naz'!L37</f>
        <v>101739</v>
      </c>
      <c r="E46" s="33">
        <f t="shared" si="8"/>
        <v>4050</v>
      </c>
      <c r="F46" s="8">
        <f t="shared" si="10"/>
        <v>97294.334576627938</v>
      </c>
      <c r="G46" s="24">
        <f t="shared" si="11"/>
        <v>5087.5891800091176</v>
      </c>
      <c r="H46" s="10">
        <f>G46+CIn</f>
        <v>6066.4562390907549</v>
      </c>
      <c r="I46" s="10">
        <f>MAX(G46-CIn,0)</f>
        <v>4108.7221209274803</v>
      </c>
      <c r="J46" s="10">
        <f>'dpc-covid19-ita-andamento-naz'!K37</f>
        <v>11591</v>
      </c>
      <c r="K46" s="27">
        <f t="shared" si="9"/>
        <v>812</v>
      </c>
      <c r="L46" s="8">
        <f t="shared" si="12"/>
        <v>11201.95233541424</v>
      </c>
      <c r="M46" s="24">
        <f t="shared" si="13"/>
        <v>815.26198313040493</v>
      </c>
      <c r="N46" s="10">
        <f>M46+CId</f>
        <v>945.35644358556169</v>
      </c>
      <c r="O46" s="10">
        <f>MAX(M46-CId,0)</f>
        <v>685.16752267524816</v>
      </c>
    </row>
    <row r="47" spans="2:21" x14ac:dyDescent="0.3">
      <c r="B47" s="9">
        <v>43921</v>
      </c>
      <c r="C47" s="4">
        <v>41</v>
      </c>
      <c r="D47" s="10">
        <f>'dpc-covid19-ita-andamento-naz'!L38</f>
        <v>105792</v>
      </c>
      <c r="E47" s="33">
        <f t="shared" si="8"/>
        <v>4053</v>
      </c>
      <c r="F47" s="8">
        <f t="shared" si="10"/>
        <v>102304.55350923529</v>
      </c>
      <c r="G47" s="24">
        <f t="shared" si="11"/>
        <v>4929.6125167790633</v>
      </c>
      <c r="H47" s="10">
        <f>G47+CIn</f>
        <v>5908.4795758607006</v>
      </c>
      <c r="I47" s="10">
        <f>MAX(G47-CIn,0)</f>
        <v>3950.745457697426</v>
      </c>
      <c r="J47" s="10">
        <f>'dpc-covid19-ita-andamento-naz'!K38</f>
        <v>12428</v>
      </c>
      <c r="K47" s="27">
        <f t="shared" si="9"/>
        <v>837</v>
      </c>
      <c r="L47" s="8">
        <f t="shared" si="12"/>
        <v>12021.716823076413</v>
      </c>
      <c r="M47" s="24">
        <f t="shared" si="13"/>
        <v>823.6941134298512</v>
      </c>
      <c r="N47" s="10">
        <f>M47+CId</f>
        <v>953.78857388500796</v>
      </c>
      <c r="O47" s="10">
        <f>MAX(M47-CId,0)</f>
        <v>693.59965297469444</v>
      </c>
    </row>
    <row r="48" spans="2:21" x14ac:dyDescent="0.3">
      <c r="B48" s="9">
        <v>43922</v>
      </c>
      <c r="C48" s="4">
        <v>42</v>
      </c>
      <c r="D48" s="10">
        <f>'dpc-covid19-ita-andamento-naz'!L39</f>
        <v>110574</v>
      </c>
      <c r="E48" s="33">
        <f t="shared" si="8"/>
        <v>4782</v>
      </c>
      <c r="F48" s="8">
        <f t="shared" si="10"/>
        <v>107147.64459654312</v>
      </c>
      <c r="G48" s="24">
        <f t="shared" si="11"/>
        <v>4753.8888185053593</v>
      </c>
      <c r="H48" s="10">
        <f>G48+CIn</f>
        <v>5732.7558775869966</v>
      </c>
      <c r="I48" s="10">
        <f>MAX(G48-CIn,0)</f>
        <v>3775.021759423722</v>
      </c>
      <c r="J48" s="10">
        <f>'dpc-covid19-ita-andamento-naz'!K39</f>
        <v>13155</v>
      </c>
      <c r="K48" s="27">
        <f t="shared" si="9"/>
        <v>727</v>
      </c>
      <c r="L48" s="8">
        <f t="shared" si="12"/>
        <v>12848.207652275732</v>
      </c>
      <c r="M48" s="24">
        <f t="shared" si="13"/>
        <v>828.72868925420346</v>
      </c>
      <c r="N48" s="10">
        <f>M48+CId</f>
        <v>958.82314970936022</v>
      </c>
      <c r="O48" s="10">
        <f>MAX(M48-CId,0)</f>
        <v>698.6342287990467</v>
      </c>
    </row>
    <row r="49" spans="2:15" x14ac:dyDescent="0.3">
      <c r="B49" s="9">
        <v>43923</v>
      </c>
      <c r="C49" s="4">
        <v>43</v>
      </c>
      <c r="D49" s="10">
        <f>'dpc-covid19-ita-andamento-naz'!L40</f>
        <v>115242</v>
      </c>
      <c r="E49" s="33">
        <f t="shared" si="8"/>
        <v>4668</v>
      </c>
      <c r="F49" s="8">
        <f t="shared" si="10"/>
        <v>111807.51366558009</v>
      </c>
      <c r="G49" s="24">
        <f t="shared" si="11"/>
        <v>4563.7086667226486</v>
      </c>
      <c r="H49" s="10">
        <f>G49+CIn</f>
        <v>5542.5757258042859</v>
      </c>
      <c r="I49" s="10">
        <f>MAX(G49-CIn,0)</f>
        <v>3584.8416076410113</v>
      </c>
      <c r="J49" s="10">
        <f>'dpc-covid19-ita-andamento-naz'!K40</f>
        <v>13915</v>
      </c>
      <c r="K49" s="27">
        <f t="shared" si="9"/>
        <v>760</v>
      </c>
      <c r="L49" s="8">
        <f t="shared" si="12"/>
        <v>13678.074988070479</v>
      </c>
      <c r="M49" s="24">
        <f t="shared" si="13"/>
        <v>830.46664766334175</v>
      </c>
      <c r="N49" s="10">
        <f>M49+CId</f>
        <v>960.5611081184984</v>
      </c>
      <c r="O49" s="10">
        <f>MAX(M49-CId,0)</f>
        <v>700.3721872081851</v>
      </c>
    </row>
    <row r="50" spans="2:15" x14ac:dyDescent="0.3">
      <c r="B50" s="9">
        <v>43924</v>
      </c>
      <c r="C50" s="4">
        <v>44</v>
      </c>
      <c r="E50" s="33"/>
      <c r="F50" s="8">
        <f t="shared" si="10"/>
        <v>116271.30220597181</v>
      </c>
      <c r="G50" s="24">
        <f t="shared" si="11"/>
        <v>4362.2437086326254</v>
      </c>
      <c r="K50" s="27"/>
      <c r="L50" s="8">
        <f t="shared" si="12"/>
        <v>14508.085659917515</v>
      </c>
      <c r="M50" s="24">
        <f t="shared" si="13"/>
        <v>829.03961147192445</v>
      </c>
    </row>
    <row r="51" spans="2:15" x14ac:dyDescent="0.3">
      <c r="B51" s="9">
        <v>43925</v>
      </c>
      <c r="C51" s="4">
        <v>45</v>
      </c>
      <c r="E51" s="33"/>
      <c r="F51" s="8">
        <f t="shared" si="10"/>
        <v>120529.24309630743</v>
      </c>
      <c r="G51" s="24">
        <f t="shared" si="11"/>
        <v>4152.497910785657</v>
      </c>
      <c r="K51" s="27"/>
      <c r="L51" s="8">
        <f t="shared" si="12"/>
        <v>15335.151534878389</v>
      </c>
      <c r="M51" s="24">
        <f t="shared" si="13"/>
        <v>824.60526199997616</v>
      </c>
    </row>
    <row r="52" spans="2:15" x14ac:dyDescent="0.3">
      <c r="B52" s="9">
        <v>43926</v>
      </c>
      <c r="C52" s="4">
        <v>46</v>
      </c>
      <c r="E52" s="33"/>
      <c r="F52" s="8">
        <f t="shared" si="10"/>
        <v>124574.47327707738</v>
      </c>
      <c r="G52" s="24">
        <f t="shared" si="11"/>
        <v>3937.2700852402004</v>
      </c>
      <c r="K52" s="27"/>
      <c r="L52" s="8">
        <f t="shared" si="12"/>
        <v>16156.353274396412</v>
      </c>
      <c r="M52" s="24">
        <f t="shared" si="13"/>
        <v>817.3427501638057</v>
      </c>
    </row>
    <row r="53" spans="2:15" x14ac:dyDescent="0.3">
      <c r="B53" s="9">
        <v>43927</v>
      </c>
      <c r="C53" s="4">
        <v>47</v>
      </c>
      <c r="E53" s="33"/>
      <c r="F53" s="8">
        <f t="shared" si="10"/>
        <v>128402.81426054872</v>
      </c>
      <c r="G53" s="24">
        <f t="shared" si="11"/>
        <v>3719.1268846983153</v>
      </c>
      <c r="K53" s="27"/>
      <c r="L53" s="8">
        <f t="shared" si="12"/>
        <v>16968.959560214571</v>
      </c>
      <c r="M53" s="24">
        <f t="shared" si="13"/>
        <v>807.44823751129161</v>
      </c>
    </row>
    <row r="54" spans="2:15" x14ac:dyDescent="0.3">
      <c r="B54" s="9">
        <v>43928</v>
      </c>
      <c r="C54" s="4">
        <v>48</v>
      </c>
      <c r="E54" s="33"/>
      <c r="F54" s="8">
        <f t="shared" si="10"/>
        <v>132012.53046067368</v>
      </c>
      <c r="G54" s="24">
        <f t="shared" si="11"/>
        <v>3500.3852692550749</v>
      </c>
      <c r="K54" s="27"/>
      <c r="L54" s="8">
        <f t="shared" si="12"/>
        <v>17770.441958135147</v>
      </c>
      <c r="M54" s="24">
        <f t="shared" si="13"/>
        <v>795.13064196544622</v>
      </c>
    </row>
    <row r="55" spans="2:15" x14ac:dyDescent="0.3">
      <c r="B55" s="9">
        <v>43929</v>
      </c>
      <c r="C55" s="4">
        <v>49</v>
      </c>
      <c r="E55" s="33"/>
      <c r="F55" s="8">
        <f t="shared" si="10"/>
        <v>135404.07426405503</v>
      </c>
      <c r="G55" s="24">
        <f t="shared" si="11"/>
        <v>3283.1033296687506</v>
      </c>
      <c r="K55" s="27"/>
      <c r="L55" s="8">
        <f t="shared" si="12"/>
        <v>18558.485654997592</v>
      </c>
      <c r="M55" s="24">
        <f t="shared" si="13"/>
        <v>780.60764703365783</v>
      </c>
    </row>
    <row r="56" spans="2:15" x14ac:dyDescent="0.3">
      <c r="B56" s="9">
        <v>43930</v>
      </c>
      <c r="C56" s="4">
        <v>50</v>
      </c>
      <c r="E56" s="33"/>
      <c r="F56" s="8">
        <f t="shared" si="10"/>
        <v>138579.82561621288</v>
      </c>
      <c r="G56" s="24">
        <f t="shared" si="11"/>
        <v>3069.0782983354347</v>
      </c>
      <c r="K56" s="27"/>
      <c r="L56" s="8">
        <f t="shared" si="12"/>
        <v>19330.996355475349</v>
      </c>
      <c r="M56" s="24">
        <f t="shared" si="13"/>
        <v>764.10201838465082</v>
      </c>
    </row>
    <row r="57" spans="2:15" x14ac:dyDescent="0.3">
      <c r="B57" s="9">
        <v>43931</v>
      </c>
      <c r="C57" s="4">
        <v>51</v>
      </c>
      <c r="E57" s="33"/>
      <c r="F57" s="8">
        <f t="shared" si="10"/>
        <v>141543.83272385891</v>
      </c>
      <c r="G57" s="24">
        <f t="shared" si="11"/>
        <v>2859.8505773947786</v>
      </c>
      <c r="K57" s="27"/>
      <c r="L57" s="8">
        <f t="shared" si="12"/>
        <v>20086.103662328649</v>
      </c>
      <c r="M57" s="24">
        <f t="shared" si="13"/>
        <v>745.83825820627135</v>
      </c>
    </row>
    <row r="58" spans="2:15" x14ac:dyDescent="0.3">
      <c r="B58" s="9">
        <v>43932</v>
      </c>
      <c r="C58" s="4">
        <v>52</v>
      </c>
      <c r="E58" s="33"/>
      <c r="F58" s="8">
        <f t="shared" si="10"/>
        <v>144301.55931978286</v>
      </c>
      <c r="G58" s="24">
        <f t="shared" si="11"/>
        <v>2656.7126521902751</v>
      </c>
      <c r="K58" s="27"/>
      <c r="L58" s="8">
        <f t="shared" si="12"/>
        <v>20822.16128803941</v>
      </c>
      <c r="M58" s="24">
        <f t="shared" si="13"/>
        <v>726.03961576355857</v>
      </c>
    </row>
    <row r="59" spans="2:15" x14ac:dyDescent="0.3">
      <c r="B59" s="9">
        <v>43933</v>
      </c>
      <c r="C59" s="4">
        <v>53</v>
      </c>
      <c r="E59" s="33"/>
      <c r="F59" s="8">
        <f t="shared" si="10"/>
        <v>146859.642837536</v>
      </c>
      <c r="G59" s="24">
        <f t="shared" si="11"/>
        <v>2460.7218272441123</v>
      </c>
      <c r="K59" s="27"/>
      <c r="L59" s="8">
        <f t="shared" si="12"/>
        <v>21537.744458822148</v>
      </c>
      <c r="M59" s="24">
        <f t="shared" si="13"/>
        <v>704.92546213493404</v>
      </c>
    </row>
    <row r="60" spans="2:15" x14ac:dyDescent="0.3">
      <c r="B60" s="9">
        <v>43934</v>
      </c>
      <c r="C60" s="4">
        <v>54</v>
      </c>
      <c r="E60" s="33"/>
      <c r="F60" s="8">
        <f t="shared" si="10"/>
        <v>149225.66682380438</v>
      </c>
      <c r="G60" s="24">
        <f t="shared" si="11"/>
        <v>2272.7158117879558</v>
      </c>
      <c r="K60" s="27"/>
      <c r="L60" s="8">
        <f t="shared" si="12"/>
        <v>22231.644875410006</v>
      </c>
      <c r="M60" s="24">
        <f t="shared" si="13"/>
        <v>682.70902821302786</v>
      </c>
    </row>
    <row r="61" spans="2:15" x14ac:dyDescent="0.3">
      <c r="B61" s="9">
        <v>43935</v>
      </c>
      <c r="C61" s="4">
        <v>55</v>
      </c>
      <c r="E61" s="33"/>
      <c r="F61" s="8">
        <f t="shared" si="10"/>
        <v>151407.94999408055</v>
      </c>
      <c r="G61" s="24">
        <f t="shared" si="11"/>
        <v>2093.3302848410976</v>
      </c>
      <c r="K61" s="27"/>
      <c r="L61" s="8">
        <f t="shared" si="12"/>
        <v>22902.863590284374</v>
      </c>
      <c r="M61" s="24">
        <f t="shared" si="13"/>
        <v>659.59549766859504</v>
      </c>
    </row>
    <row r="62" spans="2:15" x14ac:dyDescent="0.3">
      <c r="B62" s="9">
        <v>43936</v>
      </c>
      <c r="C62" s="4">
        <v>56</v>
      </c>
      <c r="E62" s="33"/>
      <c r="F62" s="8">
        <f t="shared" si="10"/>
        <v>153415.35352167077</v>
      </c>
      <c r="G62" s="24">
        <f t="shared" si="11"/>
        <v>1923.0176793077312</v>
      </c>
      <c r="K62" s="27"/>
      <c r="L62" s="8">
        <f t="shared" si="12"/>
        <v>23550.602149618044</v>
      </c>
      <c r="M62" s="24">
        <f t="shared" si="13"/>
        <v>635.78044060953607</v>
      </c>
    </row>
    <row r="63" spans="2:15" x14ac:dyDescent="0.3">
      <c r="B63" s="9">
        <v>43937</v>
      </c>
      <c r="C63" s="4">
        <v>57</v>
      </c>
      <c r="E63" s="33"/>
      <c r="F63" s="8">
        <f t="shared" si="10"/>
        <v>155257.10744500012</v>
      </c>
      <c r="G63" s="24">
        <f t="shared" si="11"/>
        <v>1762.0665353119768</v>
      </c>
      <c r="K63" s="27"/>
      <c r="L63" s="8">
        <f t="shared" si="12"/>
        <v>24174.252331503401</v>
      </c>
      <c r="M63" s="24">
        <f t="shared" si="13"/>
        <v>611.44856901659114</v>
      </c>
    </row>
    <row r="64" spans="2:15" x14ac:dyDescent="0.3">
      <c r="B64" s="9">
        <v>43938</v>
      </c>
      <c r="C64" s="4">
        <v>58</v>
      </c>
      <c r="E64" s="33"/>
      <c r="F64" s="8">
        <f t="shared" si="10"/>
        <v>156942.65648274135</v>
      </c>
      <c r="G64" s="24">
        <f t="shared" si="11"/>
        <v>1610.6208809265136</v>
      </c>
      <c r="K64" s="27"/>
      <c r="L64" s="8">
        <f t="shared" si="12"/>
        <v>24773.38479129695</v>
      </c>
      <c r="M64" s="24">
        <f t="shared" si="13"/>
        <v>586.77279158080717</v>
      </c>
    </row>
    <row r="65" spans="2:13" x14ac:dyDescent="0.3">
      <c r="B65" s="9">
        <v>43939</v>
      </c>
      <c r="C65" s="4">
        <v>59</v>
      </c>
      <c r="E65" s="33"/>
      <c r="F65" s="8">
        <f t="shared" si="10"/>
        <v>158481.52505608686</v>
      </c>
      <c r="G65" s="24">
        <f t="shared" si="11"/>
        <v>1468.6992005564648</v>
      </c>
      <c r="K65" s="27"/>
      <c r="L65" s="8">
        <f t="shared" si="12"/>
        <v>25347.736901256234</v>
      </c>
      <c r="M65" s="24">
        <f t="shared" si="13"/>
        <v>561.9135431749495</v>
      </c>
    </row>
    <row r="66" spans="2:13" x14ac:dyDescent="0.3">
      <c r="B66" s="9">
        <v>43940</v>
      </c>
      <c r="C66" s="4">
        <v>60</v>
      </c>
      <c r="E66" s="33"/>
      <c r="F66" s="8">
        <f t="shared" si="10"/>
        <v>159883.20092555956</v>
      </c>
      <c r="G66" s="24">
        <f t="shared" si="11"/>
        <v>1336.2126454106381</v>
      </c>
      <c r="K66" s="27"/>
      <c r="L66" s="8">
        <f t="shared" si="12"/>
        <v>25897.200046074388</v>
      </c>
      <c r="M66" s="24">
        <f t="shared" si="13"/>
        <v>537.01836272762637</v>
      </c>
    </row>
    <row r="67" spans="2:13" x14ac:dyDescent="0.3">
      <c r="B67" s="9">
        <v>43941</v>
      </c>
      <c r="C67" s="4">
        <v>61</v>
      </c>
      <c r="E67" s="33"/>
      <c r="F67" s="8">
        <f t="shared" si="10"/>
        <v>161157.03654745268</v>
      </c>
      <c r="G67" s="24">
        <f t="shared" si="11"/>
        <v>1212.9822254014273</v>
      </c>
      <c r="K67" s="27"/>
      <c r="L67" s="8">
        <f t="shared" si="12"/>
        <v>26421.806609292238</v>
      </c>
      <c r="M67" s="24">
        <f t="shared" si="13"/>
        <v>512.22169260300302</v>
      </c>
    </row>
    <row r="68" spans="2:13" x14ac:dyDescent="0.3">
      <c r="B68" s="9">
        <v>43942</v>
      </c>
      <c r="C68" s="4">
        <v>62</v>
      </c>
      <c r="E68" s="33"/>
      <c r="F68" s="8">
        <f t="shared" si="10"/>
        <v>162312.16703265239</v>
      </c>
      <c r="G68" s="24">
        <f t="shared" si="11"/>
        <v>1098.7547967700391</v>
      </c>
      <c r="K68" s="27"/>
      <c r="L68" s="8">
        <f t="shared" si="12"/>
        <v>26921.716858621785</v>
      </c>
      <c r="M68" s="24">
        <f t="shared" si="13"/>
        <v>487.6448725926324</v>
      </c>
    </row>
    <row r="69" spans="2:13" x14ac:dyDescent="0.3">
      <c r="B69" s="9">
        <v>43943</v>
      </c>
      <c r="C69" s="4">
        <v>63</v>
      </c>
      <c r="E69" s="33"/>
      <c r="F69" s="8">
        <f t="shared" si="10"/>
        <v>163357.44343814364</v>
      </c>
      <c r="G69" s="24">
        <f t="shared" si="11"/>
        <v>993.21772455232349</v>
      </c>
      <c r="K69" s="27"/>
      <c r="L69" s="8">
        <f t="shared" si="12"/>
        <v>27397.205911557186</v>
      </c>
      <c r="M69" s="24">
        <f t="shared" si="13"/>
        <v>463.39630217984097</v>
      </c>
    </row>
    <row r="70" spans="2:13" x14ac:dyDescent="0.3">
      <c r="B70" s="9">
        <v>43944</v>
      </c>
      <c r="C70" s="4">
        <v>64</v>
      </c>
      <c r="E70" s="33"/>
      <c r="F70" s="8">
        <f t="shared" si="10"/>
        <v>164301.3800288708</v>
      </c>
      <c r="G70" s="24">
        <f t="shared" si="11"/>
        <v>896.01215388824949</v>
      </c>
      <c r="K70" s="27"/>
      <c r="L70" s="8">
        <f t="shared" si="12"/>
        <v>27848.650936774313</v>
      </c>
      <c r="M70" s="24">
        <f t="shared" si="13"/>
        <v>439.57174572990806</v>
      </c>
    </row>
    <row r="71" spans="2:13" x14ac:dyDescent="0.3">
      <c r="B71" s="9"/>
      <c r="C71" s="4"/>
    </row>
    <row r="72" spans="2:13" x14ac:dyDescent="0.3">
      <c r="B72" s="9"/>
      <c r="C72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40</vt:i4>
      </vt:variant>
    </vt:vector>
  </HeadingPairs>
  <TitlesOfParts>
    <vt:vector size="43" baseType="lpstr">
      <vt:lpstr>dpc-covid19-ita-andamento-naz</vt:lpstr>
      <vt:lpstr>Cumul_confirmed - Power law fit</vt:lpstr>
      <vt:lpstr>New_confirmed - Power law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df</vt:lpstr>
      <vt:lpstr>dfd</vt:lpstr>
      <vt:lpstr>dfh</vt:lpstr>
      <vt:lpstr>dfn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2020-04-02T21:02:52Z</dcterms:modified>
</cp:coreProperties>
</file>