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8_{9AED0225-738F-410A-9BDA-FE06743F2A5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Boltzmann fit" sheetId="12" r:id="rId2"/>
    <sheet name="New_confirmed - Boltzmann fit" sheetId="19" r:id="rId3"/>
  </sheets>
  <definedNames>
    <definedName name="_xlcn.WorksheetConnection_COVID19ItalycasestrendBfit.xlsxdpc_covid19_ita_andamento_nazionale" hidden="1">dpc_covid19_ita_andamento_nazionale</definedName>
    <definedName name="CI">'Cumul_confirmed - Boltzmann fit'!$N$15</definedName>
    <definedName name="CId">'New_confirmed - Boltzmann fit'!$R$26</definedName>
    <definedName name="CIh">'Cumul_confirmed - Boltzmann fit'!$N$26</definedName>
    <definedName name="CIn">'New_confirmed - Boltzmann fit'!$R$15</definedName>
    <definedName name="Critical_t">'Cumul_confirmed - Boltzmann fit'!$N$14</definedName>
    <definedName name="Critical_td">'New_confirmed - Boltzmann fit'!$R$25</definedName>
    <definedName name="Critical_th">'Cumul_confirmed - Boltzmann fit'!$N$25</definedName>
    <definedName name="Critical_tn">'New_confirmed - Boltzmann fit'!$R$14</definedName>
    <definedName name="DatiEsterni_1" localSheetId="0" hidden="1">'dpc-covid19-ita-andamento-naz'!$A$1:$O$39</definedName>
    <definedName name="DatiEsterni_2" localSheetId="0" hidden="1">'dpc-covid19-ita-andamento-naz'!#REF!</definedName>
    <definedName name="df">'Cumul_confirmed - Boltzmann fit'!$N$11</definedName>
    <definedName name="dfd">'New_confirmed - Boltzmann fit'!$R$22</definedName>
    <definedName name="dfh">'Cumul_confirmed - Boltzmann fit'!$N$22</definedName>
    <definedName name="dfn">'New_confirmed - Boltzmann fit'!$R$11</definedName>
    <definedName name="dpc_covid19_ita_andamento_nazionale_1" localSheetId="1" hidden="1">'Cumul_confirmed - Boltzmann fit'!#REF!</definedName>
    <definedName name="E_end">'New_confirmed - Boltzmann fit'!$E$47</definedName>
    <definedName name="E_start">'New_confirmed - Boltzmann fit'!$E$7</definedName>
    <definedName name="G_end">'New_confirmed - Boltzmann fit'!$G$47</definedName>
    <definedName name="G_start">'New_confirmed - Boltzmann fit'!$G$7</definedName>
    <definedName name="K">'Cumul_confirmed - Boltzmann fit'!$N$7</definedName>
    <definedName name="K_end">'New_confirmed - Boltzmann fit'!$K$47</definedName>
    <definedName name="K_start">'New_confirmed - Boltzmann fit'!$K$7</definedName>
    <definedName name="Kd">'New_confirmed - Boltzmann fit'!$R$18</definedName>
    <definedName name="Kh">'Cumul_confirmed - Boltzmann fit'!$N$18</definedName>
    <definedName name="Kn">'New_confirmed - Boltzmann fit'!$R$7</definedName>
    <definedName name="M_end">'New_confirmed - Boltzmann fit'!$M$47</definedName>
    <definedName name="M_start">'New_confirmed - Boltzmann fit'!$M$7</definedName>
    <definedName name="Mean_of_y">'Cumul_confirmed - Boltzmann fit'!$N$10</definedName>
    <definedName name="Mean_of_yd">'New_confirmed - Boltzmann fit'!$R$21</definedName>
    <definedName name="Mean_of_yh">'Cumul_confirmed - Boltzmann fit'!$N$21</definedName>
    <definedName name="Mean_of_yn">'New_confirmed - Boltzmann fit'!$R$10</definedName>
    <definedName name="RSQ">'Cumul_confirmed - Boltzmann fit'!$N$13</definedName>
    <definedName name="RSQd">'New_confirmed - Boltzmann fit'!$R$24</definedName>
    <definedName name="RSQh">'Cumul_confirmed - Boltzmann fit'!$N$24</definedName>
    <definedName name="RSQn">'New_confirmed - Boltzmann fit'!$R$13</definedName>
    <definedName name="SE_of_y">'Cumul_confirmed - Boltzmann fit'!$N$12</definedName>
    <definedName name="SE_of_yd">'New_confirmed - Boltzmann fit'!$R$23</definedName>
    <definedName name="SE_of_yh">'Cumul_confirmed - Boltzmann fit'!$N$23</definedName>
    <definedName name="SE_of_yn">'New_confirmed - Boltzmann fit'!$R$12</definedName>
    <definedName name="solver_adj" localSheetId="1" hidden="1">'Cumul_confirmed - Boltzmann fit'!$N$7,'Cumul_confirmed - Boltzmann fit'!$N$8,'Cumul_confirmed - Boltzmann fit'!$N$9</definedName>
    <definedName name="solver_adj" localSheetId="2" hidden="1">'New_confirmed - Boltzmann fit'!$R$18,'New_confirmed - Boltzmann fit'!$R$19,'New_confirmed - Boltzmann fit'!$R$20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Boltzmann fit'!$N$7</definedName>
    <definedName name="solver_lhs1" localSheetId="2" hidden="1">'New_confirmed - Boltzmann fit'!$R$18</definedName>
    <definedName name="solver_lhs2" localSheetId="1" hidden="1">'Cumul_confirmed - Boltzmann fit'!$N$8</definedName>
    <definedName name="solver_lhs2" localSheetId="2" hidden="1">'New_confirmed - Boltzmann fit'!$R$19</definedName>
    <definedName name="solver_lhs3" localSheetId="1" hidden="1">'Cumul_confirmed - Boltzmann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'Cumul_confirmed - Boltzmann fit'!$N$13</definedName>
    <definedName name="solver_opt" localSheetId="2" hidden="1">'New_confirmed - Boltzmann fit'!$R$24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Boltzmann fit'!$N$8</definedName>
    <definedName name="t0d">'New_confirmed - Boltzmann fit'!$R$19</definedName>
    <definedName name="t0h">'Cumul_confirmed - Boltzmann fit'!$N$19</definedName>
    <definedName name="t0n">'New_confirmed - Boltzmann fit'!$R$8</definedName>
    <definedName name="w">'Cumul_confirmed - Boltzmann fit'!$N$9</definedName>
    <definedName name="wd">'New_confirmed - Boltzmann fit'!$R$20</definedName>
    <definedName name="wh">'Cumul_confirmed - Boltzmann fit'!$N$20</definedName>
    <definedName name="wn">'New_confirmed - Boltzmann fit'!$R$9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0" i="19" l="1"/>
  <c r="L70" i="19"/>
  <c r="G70" i="19"/>
  <c r="F70" i="19"/>
  <c r="M69" i="19"/>
  <c r="L69" i="19"/>
  <c r="G69" i="19"/>
  <c r="F69" i="19"/>
  <c r="M68" i="19"/>
  <c r="L68" i="19"/>
  <c r="G68" i="19"/>
  <c r="F68" i="19"/>
  <c r="M67" i="19"/>
  <c r="L67" i="19"/>
  <c r="G67" i="19"/>
  <c r="F67" i="19"/>
  <c r="M66" i="19"/>
  <c r="L66" i="19"/>
  <c r="G66" i="19"/>
  <c r="F66" i="19"/>
  <c r="M65" i="19"/>
  <c r="L65" i="19"/>
  <c r="G65" i="19"/>
  <c r="F65" i="19"/>
  <c r="M64" i="19"/>
  <c r="L64" i="19"/>
  <c r="G64" i="19"/>
  <c r="F64" i="19"/>
  <c r="M63" i="19"/>
  <c r="L63" i="19"/>
  <c r="G63" i="19"/>
  <c r="F63" i="19"/>
  <c r="M62" i="19"/>
  <c r="L62" i="19"/>
  <c r="G62" i="19"/>
  <c r="F62" i="19"/>
  <c r="M61" i="19"/>
  <c r="L61" i="19"/>
  <c r="G61" i="19"/>
  <c r="F61" i="19"/>
  <c r="M60" i="19"/>
  <c r="L60" i="19"/>
  <c r="G60" i="19"/>
  <c r="F60" i="19"/>
  <c r="M59" i="19"/>
  <c r="L59" i="19"/>
  <c r="G59" i="19"/>
  <c r="F59" i="19"/>
  <c r="M58" i="19"/>
  <c r="L58" i="19"/>
  <c r="G58" i="19"/>
  <c r="F58" i="19"/>
  <c r="M57" i="19"/>
  <c r="L57" i="19"/>
  <c r="G57" i="19"/>
  <c r="F57" i="19"/>
  <c r="M56" i="19"/>
  <c r="L56" i="19"/>
  <c r="G56" i="19"/>
  <c r="F56" i="19"/>
  <c r="M55" i="19"/>
  <c r="L55" i="19"/>
  <c r="G55" i="19"/>
  <c r="F55" i="19"/>
  <c r="M54" i="19"/>
  <c r="L54" i="19"/>
  <c r="G54" i="19"/>
  <c r="F54" i="19"/>
  <c r="M53" i="19"/>
  <c r="L53" i="19"/>
  <c r="G53" i="19"/>
  <c r="F53" i="19"/>
  <c r="M52" i="19"/>
  <c r="L52" i="19"/>
  <c r="G52" i="19"/>
  <c r="F52" i="19"/>
  <c r="M51" i="19"/>
  <c r="L51" i="19"/>
  <c r="G51" i="19"/>
  <c r="F51" i="19"/>
  <c r="M50" i="19"/>
  <c r="L50" i="19"/>
  <c r="G50" i="19"/>
  <c r="F50" i="19"/>
  <c r="M49" i="19"/>
  <c r="L49" i="19"/>
  <c r="G49" i="19"/>
  <c r="F49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R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R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R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R24" i="19"/>
  <c r="R24" i="19" a="1"/>
  <c r="O24" i="19"/>
  <c r="N24" i="19"/>
  <c r="M24" i="19"/>
  <c r="L24" i="19"/>
  <c r="K24" i="19"/>
  <c r="J24" i="19"/>
  <c r="I24" i="19"/>
  <c r="H24" i="19"/>
  <c r="G24" i="19"/>
  <c r="F24" i="19"/>
  <c r="E24" i="19"/>
  <c r="D24" i="19"/>
  <c r="R23" i="19"/>
  <c r="R23" i="19" a="1"/>
  <c r="O23" i="19"/>
  <c r="N23" i="19"/>
  <c r="M23" i="19"/>
  <c r="L23" i="19"/>
  <c r="K23" i="19"/>
  <c r="J23" i="19"/>
  <c r="I23" i="19"/>
  <c r="H23" i="19"/>
  <c r="G23" i="19"/>
  <c r="F23" i="19"/>
  <c r="E23" i="19"/>
  <c r="D23" i="19"/>
  <c r="R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R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R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R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R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R13" i="19"/>
  <c r="R13" i="19" a="1"/>
  <c r="O13" i="19"/>
  <c r="N13" i="19"/>
  <c r="M13" i="19"/>
  <c r="L13" i="19"/>
  <c r="K13" i="19"/>
  <c r="J13" i="19"/>
  <c r="I13" i="19"/>
  <c r="H13" i="19"/>
  <c r="G13" i="19"/>
  <c r="F13" i="19"/>
  <c r="E13" i="19"/>
  <c r="D13" i="19"/>
  <c r="R12" i="19"/>
  <c r="R12" i="19" a="1"/>
  <c r="O12" i="19"/>
  <c r="N12" i="19"/>
  <c r="M12" i="19"/>
  <c r="L12" i="19"/>
  <c r="K12" i="19"/>
  <c r="J12" i="19"/>
  <c r="I12" i="19"/>
  <c r="H12" i="19"/>
  <c r="G12" i="19"/>
  <c r="F12" i="19"/>
  <c r="E12" i="19"/>
  <c r="D12" i="19"/>
  <c r="R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R10" i="19"/>
  <c r="O10" i="19"/>
  <c r="N10" i="19"/>
  <c r="M10" i="19"/>
  <c r="L10" i="19"/>
  <c r="K10" i="19"/>
  <c r="I10" i="19"/>
  <c r="H10" i="19"/>
  <c r="G10" i="19"/>
  <c r="F10" i="19"/>
  <c r="E10" i="19"/>
  <c r="O9" i="19"/>
  <c r="N9" i="19"/>
  <c r="M9" i="19"/>
  <c r="L9" i="19"/>
  <c r="K9" i="19"/>
  <c r="I9" i="19"/>
  <c r="H9" i="19"/>
  <c r="G9" i="19"/>
  <c r="F9" i="19"/>
  <c r="E9" i="19"/>
  <c r="O8" i="19"/>
  <c r="N8" i="19"/>
  <c r="M8" i="19"/>
  <c r="L8" i="19"/>
  <c r="K8" i="19"/>
  <c r="I8" i="19"/>
  <c r="H8" i="19"/>
  <c r="G8" i="19"/>
  <c r="F8" i="19"/>
  <c r="E8" i="19"/>
  <c r="O7" i="19"/>
  <c r="N7" i="19"/>
  <c r="M7" i="19"/>
  <c r="L7" i="19"/>
  <c r="K7" i="19"/>
  <c r="I7" i="19"/>
  <c r="H7" i="19"/>
  <c r="G7" i="19"/>
  <c r="F7" i="19"/>
  <c r="E7" i="19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K48" i="12"/>
  <c r="J48" i="12"/>
  <c r="I48" i="12"/>
  <c r="H48" i="12"/>
  <c r="G48" i="12"/>
  <c r="F48" i="12"/>
  <c r="E48" i="12"/>
  <c r="D48" i="12"/>
  <c r="K47" i="12"/>
  <c r="J47" i="12"/>
  <c r="I47" i="12"/>
  <c r="H47" i="12"/>
  <c r="G47" i="12"/>
  <c r="F47" i="12"/>
  <c r="E47" i="12"/>
  <c r="D47" i="12"/>
  <c r="K46" i="12"/>
  <c r="J46" i="12"/>
  <c r="I46" i="12"/>
  <c r="H46" i="12"/>
  <c r="G46" i="12"/>
  <c r="F46" i="12"/>
  <c r="E46" i="12"/>
  <c r="D46" i="12"/>
  <c r="K45" i="12"/>
  <c r="J45" i="12"/>
  <c r="I45" i="12"/>
  <c r="H45" i="12"/>
  <c r="G45" i="12"/>
  <c r="F45" i="12"/>
  <c r="E45" i="12"/>
  <c r="D45" i="12"/>
  <c r="K44" i="12"/>
  <c r="J44" i="12"/>
  <c r="I44" i="12"/>
  <c r="H44" i="12"/>
  <c r="G44" i="12"/>
  <c r="F44" i="12"/>
  <c r="E44" i="12"/>
  <c r="D44" i="12"/>
  <c r="K43" i="12"/>
  <c r="J43" i="12"/>
  <c r="I43" i="12"/>
  <c r="H43" i="12"/>
  <c r="G43" i="12"/>
  <c r="F43" i="12"/>
  <c r="E43" i="12"/>
  <c r="D43" i="12"/>
  <c r="K42" i="12"/>
  <c r="J42" i="12"/>
  <c r="I42" i="12"/>
  <c r="H42" i="12"/>
  <c r="G42" i="12"/>
  <c r="F42" i="12"/>
  <c r="E42" i="12"/>
  <c r="D42" i="12"/>
  <c r="K41" i="12"/>
  <c r="J41" i="12"/>
  <c r="I41" i="12"/>
  <c r="H41" i="12"/>
  <c r="G41" i="12"/>
  <c r="F41" i="12"/>
  <c r="E41" i="12"/>
  <c r="D41" i="12"/>
  <c r="K40" i="12"/>
  <c r="J40" i="12"/>
  <c r="I40" i="12"/>
  <c r="H40" i="12"/>
  <c r="G40" i="12"/>
  <c r="F40" i="12"/>
  <c r="E40" i="12"/>
  <c r="D40" i="12"/>
  <c r="K39" i="12"/>
  <c r="J39" i="12"/>
  <c r="I39" i="12"/>
  <c r="H39" i="12"/>
  <c r="G39" i="12"/>
  <c r="F39" i="12"/>
  <c r="E39" i="12"/>
  <c r="D39" i="12"/>
  <c r="K38" i="12"/>
  <c r="J38" i="12"/>
  <c r="I38" i="12"/>
  <c r="H38" i="12"/>
  <c r="G38" i="12"/>
  <c r="F38" i="12"/>
  <c r="E38" i="12"/>
  <c r="D38" i="12"/>
  <c r="K37" i="12"/>
  <c r="J37" i="12"/>
  <c r="I37" i="12"/>
  <c r="H37" i="12"/>
  <c r="G37" i="12"/>
  <c r="F37" i="12"/>
  <c r="E37" i="12"/>
  <c r="D37" i="12"/>
  <c r="K36" i="12"/>
  <c r="J36" i="12"/>
  <c r="I36" i="12"/>
  <c r="H36" i="12"/>
  <c r="G36" i="12"/>
  <c r="F36" i="12"/>
  <c r="E36" i="12"/>
  <c r="D36" i="12"/>
  <c r="K35" i="12"/>
  <c r="J35" i="12"/>
  <c r="I35" i="12"/>
  <c r="H35" i="12"/>
  <c r="G35" i="12"/>
  <c r="F35" i="12"/>
  <c r="E35" i="12"/>
  <c r="D35" i="12"/>
  <c r="K34" i="12"/>
  <c r="J34" i="12"/>
  <c r="I34" i="12"/>
  <c r="H34" i="12"/>
  <c r="G34" i="12"/>
  <c r="F34" i="12"/>
  <c r="E34" i="12"/>
  <c r="D34" i="12"/>
  <c r="K33" i="12"/>
  <c r="J33" i="12"/>
  <c r="I33" i="12"/>
  <c r="H33" i="12"/>
  <c r="G33" i="12"/>
  <c r="F33" i="12"/>
  <c r="E33" i="12"/>
  <c r="D33" i="12"/>
  <c r="K32" i="12"/>
  <c r="J32" i="12"/>
  <c r="I32" i="12"/>
  <c r="H32" i="12"/>
  <c r="G32" i="12"/>
  <c r="F32" i="12"/>
  <c r="E32" i="12"/>
  <c r="D32" i="12"/>
  <c r="K31" i="12"/>
  <c r="J31" i="12"/>
  <c r="I31" i="12"/>
  <c r="H31" i="12"/>
  <c r="G31" i="12"/>
  <c r="F31" i="12"/>
  <c r="E31" i="12"/>
  <c r="D31" i="12"/>
  <c r="K30" i="12"/>
  <c r="J30" i="12"/>
  <c r="I30" i="12"/>
  <c r="H30" i="12"/>
  <c r="G30" i="12"/>
  <c r="F30" i="12"/>
  <c r="E30" i="12"/>
  <c r="D30" i="12"/>
  <c r="K29" i="12"/>
  <c r="J29" i="12"/>
  <c r="I29" i="12"/>
  <c r="H29" i="12"/>
  <c r="G29" i="12"/>
  <c r="F29" i="12"/>
  <c r="E29" i="12"/>
  <c r="D29" i="12"/>
  <c r="K28" i="12"/>
  <c r="J28" i="12"/>
  <c r="I28" i="12"/>
  <c r="H28" i="12"/>
  <c r="G28" i="12"/>
  <c r="F28" i="12"/>
  <c r="E28" i="12"/>
  <c r="D28" i="12"/>
  <c r="K27" i="12"/>
  <c r="J27" i="12"/>
  <c r="I27" i="12"/>
  <c r="H27" i="12"/>
  <c r="G27" i="12"/>
  <c r="F27" i="12"/>
  <c r="E27" i="12"/>
  <c r="D27" i="12"/>
  <c r="N26" i="12"/>
  <c r="K26" i="12"/>
  <c r="J26" i="12"/>
  <c r="I26" i="12"/>
  <c r="H26" i="12"/>
  <c r="G26" i="12"/>
  <c r="F26" i="12"/>
  <c r="E26" i="12"/>
  <c r="D26" i="12"/>
  <c r="N25" i="12"/>
  <c r="K25" i="12"/>
  <c r="J25" i="12"/>
  <c r="I25" i="12"/>
  <c r="H25" i="12"/>
  <c r="G25" i="12"/>
  <c r="F25" i="12"/>
  <c r="E25" i="12"/>
  <c r="D25" i="12"/>
  <c r="N24" i="12"/>
  <c r="N24" i="12" a="1"/>
  <c r="K24" i="12"/>
  <c r="J24" i="12"/>
  <c r="I24" i="12"/>
  <c r="H24" i="12"/>
  <c r="G24" i="12"/>
  <c r="F24" i="12"/>
  <c r="E24" i="12"/>
  <c r="D24" i="12"/>
  <c r="N23" i="12"/>
  <c r="N23" i="12" a="1"/>
  <c r="K23" i="12"/>
  <c r="J23" i="12"/>
  <c r="I23" i="12"/>
  <c r="H23" i="12"/>
  <c r="G23" i="12"/>
  <c r="F23" i="12"/>
  <c r="E23" i="12"/>
  <c r="D23" i="12"/>
  <c r="N22" i="12"/>
  <c r="K22" i="12"/>
  <c r="J22" i="12"/>
  <c r="I22" i="12"/>
  <c r="H22" i="12"/>
  <c r="G22" i="12"/>
  <c r="F22" i="12"/>
  <c r="E22" i="12"/>
  <c r="D22" i="12"/>
  <c r="N21" i="12"/>
  <c r="K21" i="12"/>
  <c r="J21" i="12"/>
  <c r="I21" i="12"/>
  <c r="H21" i="12"/>
  <c r="G21" i="12"/>
  <c r="F21" i="12"/>
  <c r="E21" i="12"/>
  <c r="D21" i="12"/>
  <c r="K20" i="12"/>
  <c r="J20" i="12"/>
  <c r="I20" i="12"/>
  <c r="H20" i="12"/>
  <c r="G20" i="12"/>
  <c r="F20" i="12"/>
  <c r="E20" i="12"/>
  <c r="D20" i="12"/>
  <c r="K19" i="12"/>
  <c r="J19" i="12"/>
  <c r="I19" i="12"/>
  <c r="H19" i="12"/>
  <c r="G19" i="12"/>
  <c r="F19" i="12"/>
  <c r="E19" i="12"/>
  <c r="D19" i="12"/>
  <c r="K18" i="12"/>
  <c r="J18" i="12"/>
  <c r="I18" i="12"/>
  <c r="H18" i="12"/>
  <c r="G18" i="12"/>
  <c r="F18" i="12"/>
  <c r="E18" i="12"/>
  <c r="D18" i="12"/>
  <c r="K17" i="12"/>
  <c r="J17" i="12"/>
  <c r="I17" i="12"/>
  <c r="H17" i="12"/>
  <c r="G17" i="12"/>
  <c r="F17" i="12"/>
  <c r="E17" i="12"/>
  <c r="D17" i="12"/>
  <c r="K16" i="12"/>
  <c r="J16" i="12"/>
  <c r="I16" i="12"/>
  <c r="H16" i="12"/>
  <c r="G16" i="12"/>
  <c r="F16" i="12"/>
  <c r="E16" i="12"/>
  <c r="D16" i="12"/>
  <c r="N15" i="12"/>
  <c r="K15" i="12"/>
  <c r="J15" i="12"/>
  <c r="I15" i="12"/>
  <c r="H15" i="12"/>
  <c r="G15" i="12"/>
  <c r="F15" i="12"/>
  <c r="E15" i="12"/>
  <c r="D15" i="12"/>
  <c r="N14" i="12"/>
  <c r="K14" i="12"/>
  <c r="J14" i="12"/>
  <c r="I14" i="12"/>
  <c r="H14" i="12"/>
  <c r="G14" i="12"/>
  <c r="F14" i="12"/>
  <c r="E14" i="12"/>
  <c r="D14" i="12"/>
  <c r="N13" i="12"/>
  <c r="N13" i="12" a="1"/>
  <c r="K13" i="12"/>
  <c r="J13" i="12"/>
  <c r="I13" i="12"/>
  <c r="H13" i="12"/>
  <c r="G13" i="12"/>
  <c r="F13" i="12"/>
  <c r="E13" i="12"/>
  <c r="D13" i="12"/>
  <c r="N12" i="12"/>
  <c r="N12" i="12" a="1"/>
  <c r="K12" i="12"/>
  <c r="J12" i="12"/>
  <c r="I12" i="12"/>
  <c r="H12" i="12"/>
  <c r="G12" i="12"/>
  <c r="F12" i="12"/>
  <c r="E12" i="12"/>
  <c r="D12" i="12"/>
  <c r="N11" i="12"/>
  <c r="K11" i="12"/>
  <c r="J11" i="12"/>
  <c r="I11" i="12"/>
  <c r="H11" i="12"/>
  <c r="G11" i="12"/>
  <c r="F11" i="12"/>
  <c r="E11" i="12"/>
  <c r="D11" i="12"/>
  <c r="N10" i="12"/>
  <c r="K10" i="12"/>
  <c r="J10" i="12"/>
  <c r="I10" i="12"/>
  <c r="G10" i="12"/>
  <c r="F10" i="12"/>
  <c r="E10" i="12"/>
  <c r="K9" i="12"/>
  <c r="J9" i="12"/>
  <c r="I9" i="12"/>
  <c r="G9" i="12"/>
  <c r="F9" i="12"/>
  <c r="E9" i="12"/>
  <c r="K8" i="12"/>
  <c r="J8" i="12"/>
  <c r="I8" i="12"/>
  <c r="G8" i="12"/>
  <c r="F8" i="12"/>
  <c r="E8" i="12"/>
  <c r="K7" i="12"/>
  <c r="J7" i="12"/>
  <c r="I7" i="12"/>
  <c r="G7" i="12"/>
  <c r="F7" i="12"/>
  <c r="E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tc={72AF2297-8B28-419B-B702-DE9C5B9C6056}</author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72AF2297-8B28-419B-B702-DE9C5B9C605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7" authorId="2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6" authorId="5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tc={6ABD3661-8066-4E44-BA0D-35D35302F623}</author>
    <author>tc={6F280F21-F37E-4D54-8202-F02FF9F60413}</author>
    <author>tc={8C2E90DC-6FBB-4F6F-A491-7F04B14E3003}</author>
    <author>tc={165FF3CB-B6DD-4A5B-BEAB-465BE46910E5}</author>
    <author>tc={7F2EC179-DDA6-4C29-9AE2-3E7B978CA4FE}</author>
    <author>tc={330B5948-4F91-4530-8246-D8E052E48EC7}</author>
    <author>tc={B00751F2-9E53-4B46-A4E1-C852EDF26698}</author>
    <author>tc={F0A6F119-92D4-458E-9366-D89100014E7A}</author>
  </authors>
  <commentList>
    <comment ref="B7" authorId="0" shapeId="0" xr:uid="{6ABD3661-8066-4E44-BA0D-35D35302F62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6F280F21-F37E-4D54-8202-F02FF9F6041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7" authorId="2" shapeId="0" xr:uid="{8C2E90DC-6FBB-4F6F-A491-7F04B14E300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165FF3CB-B6DD-4A5B-BEAB-465BE46910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7F2EC179-DDA6-4C29-9AE2-3E7B978CA4F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6" authorId="5" shapeId="0" xr:uid="{330B5948-4F91-4530-8246-D8E052E48EC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B00751F2-9E53-4B46-A4E1-C852EDF266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F0A6F119-92D4-458E-9366-D89100014E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86DEF9B-B6EF-473E-B763-5372677BF1D3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0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<sst xmlns="http://schemas.openxmlformats.org/spreadsheetml/2006/main" count="213" uniqueCount="73">
  <si>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</si>
  <si>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</si>
  <si>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</si>
  <si>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</si>
  <si>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</si>
  <si>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</si>
  <si>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</si>
  <si>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</si>
  <si>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</si>
  <si>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</si>
  <si>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</si>
  <si>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</si>
  <si>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</si>
  <si>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</si>
  <si>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</si>
  <si>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</si>
  <si>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</si>
  <si>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</si>
  <si>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</si>
  <si>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</si>
  <si>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</si>
  <si>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</si>
  <si>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</si>
  <si>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</si>
  <si>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</si>
  <si>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</si>
  <si>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</si>
  <si>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</si>
  <si>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</si>
  <si>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</si>
  <si>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</si>
  <si>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</si>
  <si>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</si>
  <si>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</si>
  <si>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</si>
  <si>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</si>
  <si>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</si>
  <si>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</si>
  <si>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</si>
  <si>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</si>
  <si>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</si>
  <si>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</si>
  <si>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</si>
  <si>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</si>
  <si>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</si>
  <si>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</si>
  <si>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</si>
  <si>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Confirmed fit</t>
  </si>
  <si>
    <t>C. Upper CI</t>
  </si>
  <si>
    <t>C. Lower CI</t>
  </si>
  <si>
    <t>Confirmed</t>
  </si>
  <si>
    <t>pd-IT-0009</t>
  </si>
  <si>
    <t>pd-EN-0009</t>
  </si>
  <si>
    <t>Deaths</t>
  </si>
  <si>
    <t>Deaths fit</t>
  </si>
  <si>
    <t>saturation value - constraint (integer)</t>
  </si>
  <si>
    <t>crossover point - constraint (integer)</t>
  </si>
  <si>
    <t>Solver method: GRG non linear engine - option: integer optimization 0%</t>
  </si>
  <si>
    <t>width of crossover region - constraint (none)</t>
  </si>
  <si>
    <t>Cum_fit</t>
  </si>
  <si>
    <t>New_fit</t>
  </si>
  <si>
    <t>Cum_deaths</t>
  </si>
  <si>
    <t>New deaths</t>
  </si>
  <si>
    <t>Cum_D_fit</t>
  </si>
  <si>
    <t>New_D_fit</t>
  </si>
  <si>
    <t>ND_Upper CI</t>
  </si>
  <si>
    <t>ND_Lower CI</t>
  </si>
  <si>
    <t>K/4w=</t>
  </si>
  <si>
    <t>D. Upper CI</t>
  </si>
  <si>
    <t>D. Lower CI</t>
  </si>
  <si>
    <t>totale_positivi</t>
  </si>
  <si>
    <t>variazione_totale_positivi</t>
  </si>
  <si>
    <t>nuovi_positivi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</si>
</sst>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3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2" borderId="0" xfId="0" applyNumberFormat="1" applyFill="1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1" fillId="0" borderId="0" xfId="0" applyFont="1" applyFill="1"/>
    <xf numFmtId="0" fontId="10" fillId="0" borderId="0" xfId="0" applyFont="1" applyFill="1"/>
    <xf numFmtId="1" fontId="11" fillId="0" borderId="0" xfId="0" applyNumberFormat="1" applyFont="1"/>
    <xf numFmtId="1" fontId="10" fillId="0" borderId="0" xfId="0" applyNumberFormat="1" applyFont="1"/>
    <xf numFmtId="0" fontId="11" fillId="0" borderId="0" xfId="0" applyFont="1" applyAlignment="1">
      <alignment horizontal="center" wrapText="1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Cumulative Cases and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400</c:v>
                </c:pt>
                <c:pt idx="7">
                  <c:v>650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15113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  <c:pt idx="33">
                  <c:v>69176</c:v>
                </c:pt>
                <c:pt idx="34">
                  <c:v>74386</c:v>
                </c:pt>
                <c:pt idx="35">
                  <c:v>80539</c:v>
                </c:pt>
                <c:pt idx="36">
                  <c:v>86498</c:v>
                </c:pt>
                <c:pt idx="37">
                  <c:v>92472</c:v>
                </c:pt>
                <c:pt idx="38">
                  <c:v>97689</c:v>
                </c:pt>
                <c:pt idx="39">
                  <c:v>101739</c:v>
                </c:pt>
                <c:pt idx="40">
                  <c:v>105792</c:v>
                </c:pt>
                <c:pt idx="41">
                  <c:v>110574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Boltzmann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fit'!$E$7:$E$70</c:f>
              <c:numCache>
                <c:formatCode>0</c:formatCode>
                <c:ptCount val="64"/>
                <c:pt idx="0">
                  <c:v>232.87149949883457</c:v>
                </c:pt>
                <c:pt idx="1">
                  <c:v>284.69961283307862</c:v>
                </c:pt>
                <c:pt idx="2">
                  <c:v>348.02912313101069</c:v>
                </c:pt>
                <c:pt idx="3">
                  <c:v>425.3957979112617</c:v>
                </c:pt>
                <c:pt idx="4">
                  <c:v>519.88631138372625</c:v>
                </c:pt>
                <c:pt idx="5">
                  <c:v>635.25390668426496</c:v>
                </c:pt>
                <c:pt idx="6">
                  <c:v>776.05635234772046</c:v>
                </c:pt>
                <c:pt idx="7">
                  <c:v>947.81949296887899</c:v>
                </c:pt>
                <c:pt idx="8">
                  <c:v>1157.2296538989933</c:v>
                </c:pt>
                <c:pt idx="9">
                  <c:v>1412.3577686438518</c:v>
                </c:pt>
                <c:pt idx="10">
                  <c:v>1722.9171408399056</c:v>
                </c:pt>
                <c:pt idx="11">
                  <c:v>2100.5549256544382</c:v>
                </c:pt>
                <c:pt idx="12">
                  <c:v>2559.1743005311578</c:v>
                </c:pt>
                <c:pt idx="13">
                  <c:v>3115.2793441272706</c:v>
                </c:pt>
                <c:pt idx="14">
                  <c:v>3788.3271766861785</c:v>
                </c:pt>
                <c:pt idx="15">
                  <c:v>4601.0611681390028</c:v>
                </c:pt>
                <c:pt idx="16">
                  <c:v>5579.7842574966007</c:v>
                </c:pt>
                <c:pt idx="17">
                  <c:v>6754.5122024339671</c:v>
                </c:pt>
                <c:pt idx="18">
                  <c:v>8158.9231949340337</c:v>
                </c:pt>
                <c:pt idx="19">
                  <c:v>9829.9945231236798</c:v>
                </c:pt>
                <c:pt idx="20">
                  <c:v>11807.193111250645</c:v>
                </c:pt>
                <c:pt idx="21">
                  <c:v>14131.072747994009</c:v>
                </c:pt>
                <c:pt idx="22">
                  <c:v>16841.138991005315</c:v>
                </c:pt>
                <c:pt idx="23">
                  <c:v>19972.889495142099</c:v>
                </c:pt>
                <c:pt idx="24">
                  <c:v>23554.040127068372</c:v>
                </c:pt>
                <c:pt idx="25">
                  <c:v>27600.116622047863</c:v>
                </c:pt>
                <c:pt idx="26">
                  <c:v>32109.820660359823</c:v>
                </c:pt>
                <c:pt idx="27">
                  <c:v>37060.830027771583</c:v>
                </c:pt>
                <c:pt idx="28">
                  <c:v>42406.889265126782</c:v>
                </c:pt>
                <c:pt idx="29">
                  <c:v>48077.087725696008</c:v>
                </c:pt>
                <c:pt idx="30">
                  <c:v>53978.014594373482</c:v>
                </c:pt>
                <c:pt idx="31">
                  <c:v>59999</c:v>
                </c:pt>
                <c:pt idx="32">
                  <c:v>66019.985405626518</c:v>
                </c:pt>
                <c:pt idx="33">
                  <c:v>71920.912274303992</c:v>
                </c:pt>
                <c:pt idx="34">
                  <c:v>77591.110734873218</c:v>
                </c:pt>
                <c:pt idx="35">
                  <c:v>82937.16997222841</c:v>
                </c:pt>
                <c:pt idx="36">
                  <c:v>87888.179339640177</c:v>
                </c:pt>
                <c:pt idx="37">
                  <c:v>92397.883377952137</c:v>
                </c:pt>
                <c:pt idx="38">
                  <c:v>96443.959872931635</c:v>
                </c:pt>
                <c:pt idx="39">
                  <c:v>100025.1105048579</c:v>
                </c:pt>
                <c:pt idx="40">
                  <c:v>103156.86100899467</c:v>
                </c:pt>
                <c:pt idx="41">
                  <c:v>105866.927252006</c:v>
                </c:pt>
                <c:pt idx="42">
                  <c:v>108190.80688874936</c:v>
                </c:pt>
                <c:pt idx="43">
                  <c:v>110168.00547687632</c:v>
                </c:pt>
                <c:pt idx="44">
                  <c:v>111839.07680506598</c:v>
                </c:pt>
                <c:pt idx="45">
                  <c:v>113243.48779756602</c:v>
                </c:pt>
                <c:pt idx="46">
                  <c:v>114418.21574250339</c:v>
                </c:pt>
                <c:pt idx="47">
                  <c:v>115396.938831861</c:v>
                </c:pt>
                <c:pt idx="48">
                  <c:v>116209.67282331381</c:v>
                </c:pt>
                <c:pt idx="49">
                  <c:v>116882.72065587273</c:v>
                </c:pt>
                <c:pt idx="50">
                  <c:v>117438.82569946884</c:v>
                </c:pt>
                <c:pt idx="51">
                  <c:v>117897.44507434557</c:v>
                </c:pt>
                <c:pt idx="52">
                  <c:v>118275.08285916009</c:v>
                </c:pt>
                <c:pt idx="53">
                  <c:v>118585.64223135615</c:v>
                </c:pt>
                <c:pt idx="54">
                  <c:v>118840.770346101</c:v>
                </c:pt>
                <c:pt idx="55">
                  <c:v>119050.18050703111</c:v>
                </c:pt>
                <c:pt idx="56">
                  <c:v>119221.94364765228</c:v>
                </c:pt>
                <c:pt idx="57">
                  <c:v>119362.74609331573</c:v>
                </c:pt>
                <c:pt idx="58">
                  <c:v>119478.11368861626</c:v>
                </c:pt>
                <c:pt idx="59">
                  <c:v>119572.60420208874</c:v>
                </c:pt>
                <c:pt idx="60">
                  <c:v>119649.97087686899</c:v>
                </c:pt>
                <c:pt idx="61">
                  <c:v>119713.30038716691</c:v>
                </c:pt>
                <c:pt idx="62">
                  <c:v>119765.12850050117</c:v>
                </c:pt>
                <c:pt idx="63">
                  <c:v>119807.53658110314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Boltzmann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fit'!$F$7:$F$70</c:f>
              <c:numCache>
                <c:formatCode>0</c:formatCode>
                <c:ptCount val="64"/>
                <c:pt idx="0">
                  <c:v>3075.7744019905958</c:v>
                </c:pt>
                <c:pt idx="1">
                  <c:v>3127.6025153248402</c:v>
                </c:pt>
                <c:pt idx="2">
                  <c:v>3190.932025622772</c:v>
                </c:pt>
                <c:pt idx="3">
                  <c:v>3268.2987004030228</c:v>
                </c:pt>
                <c:pt idx="4">
                  <c:v>3362.7892138754878</c:v>
                </c:pt>
                <c:pt idx="5">
                  <c:v>3478.1568091760264</c:v>
                </c:pt>
                <c:pt idx="6">
                  <c:v>3618.9592548394817</c:v>
                </c:pt>
                <c:pt idx="7">
                  <c:v>3790.7223954606402</c:v>
                </c:pt>
                <c:pt idx="8">
                  <c:v>4000.1325563907549</c:v>
                </c:pt>
                <c:pt idx="9">
                  <c:v>4255.2606711356129</c:v>
                </c:pt>
                <c:pt idx="10">
                  <c:v>4565.820043331667</c:v>
                </c:pt>
                <c:pt idx="11">
                  <c:v>4943.4578281462</c:v>
                </c:pt>
                <c:pt idx="12">
                  <c:v>5402.0772030229191</c:v>
                </c:pt>
                <c:pt idx="13">
                  <c:v>5958.1822466190315</c:v>
                </c:pt>
                <c:pt idx="14">
                  <c:v>6631.2300791779398</c:v>
                </c:pt>
                <c:pt idx="15">
                  <c:v>7443.9640706307637</c:v>
                </c:pt>
                <c:pt idx="16">
                  <c:v>8422.6871599883616</c:v>
                </c:pt>
                <c:pt idx="17">
                  <c:v>9597.4151049257289</c:v>
                </c:pt>
                <c:pt idx="18">
                  <c:v>11001.826097425796</c:v>
                </c:pt>
                <c:pt idx="19">
                  <c:v>12672.897425615442</c:v>
                </c:pt>
                <c:pt idx="20">
                  <c:v>14650.096013742406</c:v>
                </c:pt>
                <c:pt idx="21">
                  <c:v>16973.975650485769</c:v>
                </c:pt>
                <c:pt idx="22">
                  <c:v>19684.041893497077</c:v>
                </c:pt>
                <c:pt idx="23">
                  <c:v>22815.792397633861</c:v>
                </c:pt>
                <c:pt idx="24">
                  <c:v>26396.943029560134</c:v>
                </c:pt>
                <c:pt idx="25">
                  <c:v>30443.019524539624</c:v>
                </c:pt>
                <c:pt idx="26">
                  <c:v>34952.723562851585</c:v>
                </c:pt>
                <c:pt idx="27">
                  <c:v>39903.732930263344</c:v>
                </c:pt>
                <c:pt idx="28">
                  <c:v>45249.792167618543</c:v>
                </c:pt>
                <c:pt idx="29">
                  <c:v>50919.99062818777</c:v>
                </c:pt>
                <c:pt idx="30">
                  <c:v>56820.917496865244</c:v>
                </c:pt>
                <c:pt idx="31">
                  <c:v>62841.902902491762</c:v>
                </c:pt>
                <c:pt idx="32">
                  <c:v>68862.888308118272</c:v>
                </c:pt>
                <c:pt idx="33">
                  <c:v>74763.815176795746</c:v>
                </c:pt>
                <c:pt idx="34">
                  <c:v>80434.013637364973</c:v>
                </c:pt>
                <c:pt idx="35">
                  <c:v>85780.072874720165</c:v>
                </c:pt>
                <c:pt idx="36">
                  <c:v>90731.082242131932</c:v>
                </c:pt>
                <c:pt idx="37">
                  <c:v>95240.786280443892</c:v>
                </c:pt>
                <c:pt idx="38">
                  <c:v>99286.862775423389</c:v>
                </c:pt>
                <c:pt idx="39">
                  <c:v>102868.01340734966</c:v>
                </c:pt>
                <c:pt idx="40">
                  <c:v>105999.76391148643</c:v>
                </c:pt>
                <c:pt idx="41">
                  <c:v>108709.83015449776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Boltzmann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272.37644163550931</c:v>
                </c:pt>
                <c:pt idx="14">
                  <c:v>945.42427419441719</c:v>
                </c:pt>
                <c:pt idx="15">
                  <c:v>1758.1582656472415</c:v>
                </c:pt>
                <c:pt idx="16">
                  <c:v>2736.8813550048394</c:v>
                </c:pt>
                <c:pt idx="17">
                  <c:v>3911.6092999422058</c:v>
                </c:pt>
                <c:pt idx="18">
                  <c:v>5316.020292442272</c:v>
                </c:pt>
                <c:pt idx="19">
                  <c:v>6987.091620631918</c:v>
                </c:pt>
                <c:pt idx="20">
                  <c:v>8964.2902087588827</c:v>
                </c:pt>
                <c:pt idx="21">
                  <c:v>11288.169845502247</c:v>
                </c:pt>
                <c:pt idx="22">
                  <c:v>13998.236088513553</c:v>
                </c:pt>
                <c:pt idx="23">
                  <c:v>17129.986592650337</c:v>
                </c:pt>
                <c:pt idx="24">
                  <c:v>20711.137224576611</c:v>
                </c:pt>
                <c:pt idx="25">
                  <c:v>24757.213719556101</c:v>
                </c:pt>
                <c:pt idx="26">
                  <c:v>29266.917757868061</c:v>
                </c:pt>
                <c:pt idx="27">
                  <c:v>34217.927125279821</c:v>
                </c:pt>
                <c:pt idx="28">
                  <c:v>39563.98636263502</c:v>
                </c:pt>
                <c:pt idx="29">
                  <c:v>45234.184823204247</c:v>
                </c:pt>
                <c:pt idx="30">
                  <c:v>51135.111691881721</c:v>
                </c:pt>
                <c:pt idx="31">
                  <c:v>57156.097097508238</c:v>
                </c:pt>
                <c:pt idx="32">
                  <c:v>63177.082503134756</c:v>
                </c:pt>
                <c:pt idx="33">
                  <c:v>69078.009371812237</c:v>
                </c:pt>
                <c:pt idx="34">
                  <c:v>74748.207832381464</c:v>
                </c:pt>
                <c:pt idx="35">
                  <c:v>80094.267069736656</c:v>
                </c:pt>
                <c:pt idx="36">
                  <c:v>85045.276437148423</c:v>
                </c:pt>
                <c:pt idx="37">
                  <c:v>89554.980475460383</c:v>
                </c:pt>
                <c:pt idx="38">
                  <c:v>93601.05697043988</c:v>
                </c:pt>
                <c:pt idx="39">
                  <c:v>97182.20760236615</c:v>
                </c:pt>
                <c:pt idx="40">
                  <c:v>100313.95810650292</c:v>
                </c:pt>
                <c:pt idx="41">
                  <c:v>103024.02434951425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Boltzmann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Boltzmann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 formatCode="0">
                  <c:v>7</c:v>
                </c:pt>
                <c:pt idx="5" formatCode="0">
                  <c:v>10</c:v>
                </c:pt>
                <c:pt idx="6" formatCode="0">
                  <c:v>12</c:v>
                </c:pt>
                <c:pt idx="7" formatCode="0">
                  <c:v>17</c:v>
                </c:pt>
                <c:pt idx="8" formatCode="0">
                  <c:v>21</c:v>
                </c:pt>
                <c:pt idx="9" formatCode="0">
                  <c:v>29</c:v>
                </c:pt>
                <c:pt idx="10" formatCode="0">
                  <c:v>34</c:v>
                </c:pt>
                <c:pt idx="11" formatCode="0">
                  <c:v>52</c:v>
                </c:pt>
                <c:pt idx="12" formatCode="0">
                  <c:v>79</c:v>
                </c:pt>
                <c:pt idx="13" formatCode="0">
                  <c:v>107</c:v>
                </c:pt>
                <c:pt idx="14" formatCode="0">
                  <c:v>148</c:v>
                </c:pt>
                <c:pt idx="15" formatCode="0">
                  <c:v>197</c:v>
                </c:pt>
                <c:pt idx="16" formatCode="0">
                  <c:v>233</c:v>
                </c:pt>
                <c:pt idx="17" formatCode="0">
                  <c:v>366</c:v>
                </c:pt>
                <c:pt idx="18" formatCode="0">
                  <c:v>463</c:v>
                </c:pt>
                <c:pt idx="19" formatCode="0">
                  <c:v>631</c:v>
                </c:pt>
                <c:pt idx="20" formatCode="0">
                  <c:v>827</c:v>
                </c:pt>
                <c:pt idx="21" formatCode="0">
                  <c:v>1016</c:v>
                </c:pt>
                <c:pt idx="22" formatCode="0">
                  <c:v>1266</c:v>
                </c:pt>
                <c:pt idx="23" formatCode="0">
                  <c:v>1441</c:v>
                </c:pt>
                <c:pt idx="24" formatCode="0">
                  <c:v>1809</c:v>
                </c:pt>
                <c:pt idx="25" formatCode="0">
                  <c:v>2158</c:v>
                </c:pt>
                <c:pt idx="26" formatCode="0">
                  <c:v>2503</c:v>
                </c:pt>
                <c:pt idx="27" formatCode="0">
                  <c:v>2978</c:v>
                </c:pt>
                <c:pt idx="28" formatCode="0">
                  <c:v>3405</c:v>
                </c:pt>
                <c:pt idx="29" formatCode="0">
                  <c:v>4032</c:v>
                </c:pt>
                <c:pt idx="30" formatCode="0">
                  <c:v>4825</c:v>
                </c:pt>
                <c:pt idx="31" formatCode="0">
                  <c:v>5476</c:v>
                </c:pt>
                <c:pt idx="32" formatCode="0">
                  <c:v>6077</c:v>
                </c:pt>
                <c:pt idx="33" formatCode="0">
                  <c:v>6820</c:v>
                </c:pt>
                <c:pt idx="34" formatCode="0">
                  <c:v>7503</c:v>
                </c:pt>
                <c:pt idx="35" formatCode="0">
                  <c:v>8165</c:v>
                </c:pt>
                <c:pt idx="36" formatCode="0">
                  <c:v>9134</c:v>
                </c:pt>
                <c:pt idx="37" formatCode="0">
                  <c:v>10023</c:v>
                </c:pt>
                <c:pt idx="38" formatCode="0">
                  <c:v>10779</c:v>
                </c:pt>
                <c:pt idx="39" formatCode="0">
                  <c:v>11591</c:v>
                </c:pt>
                <c:pt idx="40" formatCode="0">
                  <c:v>12428</c:v>
                </c:pt>
                <c:pt idx="41" formatCode="0">
                  <c:v>13155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Boltzmann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fit'!$I$7:$I$70</c:f>
              <c:numCache>
                <c:formatCode>0</c:formatCode>
                <c:ptCount val="64"/>
                <c:pt idx="0">
                  <c:v>14.200858695071741</c:v>
                </c:pt>
                <c:pt idx="1">
                  <c:v>17.462247095345361</c:v>
                </c:pt>
                <c:pt idx="2">
                  <c:v>21.471654154977067</c:v>
                </c:pt>
                <c:pt idx="3">
                  <c:v>26.400132590796684</c:v>
                </c:pt>
                <c:pt idx="4">
                  <c:v>32.457589816281889</c:v>
                </c:pt>
                <c:pt idx="5">
                  <c:v>39.901480552039665</c:v>
                </c:pt>
                <c:pt idx="6">
                  <c:v>49.047375971620873</c:v>
                </c:pt>
                <c:pt idx="7">
                  <c:v>60.281779389245848</c:v>
                </c:pt>
                <c:pt idx="8">
                  <c:v>74.077613014897196</c:v>
                </c:pt>
                <c:pt idx="9">
                  <c:v>91.01285249023033</c:v>
                </c:pt>
                <c:pt idx="10">
                  <c:v>111.7928282853787</c:v>
                </c:pt>
                <c:pt idx="11">
                  <c:v>137.27673335357048</c:v>
                </c:pt>
                <c:pt idx="12">
                  <c:v>168.50885554891522</c:v>
                </c:pt>
                <c:pt idx="13">
                  <c:v>206.75496220689871</c:v>
                </c:pt>
                <c:pt idx="14">
                  <c:v>253.54406044444448</c:v>
                </c:pt>
                <c:pt idx="15">
                  <c:v>310.71537989806387</c:v>
                </c:pt>
                <c:pt idx="16">
                  <c:v>380.46979271001271</c:v>
                </c:pt>
                <c:pt idx="17">
                  <c:v>465.42389237284539</c:v>
                </c:pt>
                <c:pt idx="18">
                  <c:v>568.66347079162597</c:v>
                </c:pt>
                <c:pt idx="19">
                  <c:v>693.79102549603419</c:v>
                </c:pt>
                <c:pt idx="20">
                  <c:v>844.95908454137725</c:v>
                </c:pt>
                <c:pt idx="21">
                  <c:v>1026.8775325095316</c:v>
                </c:pt>
                <c:pt idx="22">
                  <c:v>1244.7789340984782</c:v>
                </c:pt>
                <c:pt idx="23">
                  <c:v>1504.3216240560641</c:v>
                </c:pt>
                <c:pt idx="24">
                  <c:v>1811.4071783383745</c:v>
                </c:pt>
                <c:pt idx="25">
                  <c:v>2171.8886781830465</c:v>
                </c:pt>
                <c:pt idx="26">
                  <c:v>2591.1515935608631</c:v>
                </c:pt>
                <c:pt idx="27">
                  <c:v>3073.5632255363462</c:v>
                </c:pt>
                <c:pt idx="28">
                  <c:v>3621.8118723210264</c:v>
                </c:pt>
                <c:pt idx="29">
                  <c:v>4236.1930327352002</c:v>
                </c:pt>
                <c:pt idx="30">
                  <c:v>4913.9418093760596</c:v>
                </c:pt>
                <c:pt idx="31">
                  <c:v>5648.7463000881116</c:v>
                </c:pt>
                <c:pt idx="32">
                  <c:v>6430.5887776394038</c:v>
                </c:pt>
                <c:pt idx="33">
                  <c:v>7246.032938411965</c:v>
                </c:pt>
                <c:pt idx="34">
                  <c:v>8079</c:v>
                </c:pt>
                <c:pt idx="35">
                  <c:v>8911.967061588035</c:v>
                </c:pt>
                <c:pt idx="36">
                  <c:v>9727.4112223605971</c:v>
                </c:pt>
                <c:pt idx="37">
                  <c:v>10509.253699911887</c:v>
                </c:pt>
                <c:pt idx="38">
                  <c:v>11244.05819062394</c:v>
                </c:pt>
                <c:pt idx="39">
                  <c:v>11921.8069672648</c:v>
                </c:pt>
                <c:pt idx="40">
                  <c:v>12536.188127678974</c:v>
                </c:pt>
                <c:pt idx="41">
                  <c:v>13084.436774463655</c:v>
                </c:pt>
                <c:pt idx="42">
                  <c:v>13566.848406439138</c:v>
                </c:pt>
                <c:pt idx="43">
                  <c:v>13986.111321816954</c:v>
                </c:pt>
                <c:pt idx="44">
                  <c:v>14346.592821661625</c:v>
                </c:pt>
                <c:pt idx="45">
                  <c:v>14653.678375943935</c:v>
                </c:pt>
                <c:pt idx="46">
                  <c:v>14913.22106590152</c:v>
                </c:pt>
                <c:pt idx="47">
                  <c:v>15131.122467490466</c:v>
                </c:pt>
                <c:pt idx="48">
                  <c:v>15313.040915458621</c:v>
                </c:pt>
                <c:pt idx="49">
                  <c:v>15464.208974503967</c:v>
                </c:pt>
                <c:pt idx="50">
                  <c:v>15589.336529208373</c:v>
                </c:pt>
                <c:pt idx="51">
                  <c:v>15692.576107627154</c:v>
                </c:pt>
                <c:pt idx="52">
                  <c:v>15777.530207289987</c:v>
                </c:pt>
                <c:pt idx="53">
                  <c:v>15847.284620101937</c:v>
                </c:pt>
                <c:pt idx="54">
                  <c:v>15904.455939555555</c:v>
                </c:pt>
                <c:pt idx="55">
                  <c:v>15951.245037793102</c:v>
                </c:pt>
                <c:pt idx="56">
                  <c:v>15989.491144451085</c:v>
                </c:pt>
                <c:pt idx="57">
                  <c:v>16020.723266646428</c:v>
                </c:pt>
                <c:pt idx="58">
                  <c:v>16046.207171714621</c:v>
                </c:pt>
                <c:pt idx="59">
                  <c:v>16066.98714750977</c:v>
                </c:pt>
                <c:pt idx="60">
                  <c:v>16083.922386985105</c:v>
                </c:pt>
                <c:pt idx="61">
                  <c:v>16097.718220610754</c:v>
                </c:pt>
                <c:pt idx="62">
                  <c:v>16108.952624028379</c:v>
                </c:pt>
                <c:pt idx="63">
                  <c:v>16118.09851944796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Boltzmann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fit'!$J$7:$J$70</c:f>
              <c:numCache>
                <c:formatCode>0</c:formatCode>
                <c:ptCount val="64"/>
                <c:pt idx="0">
                  <c:v>514.98983089669139</c:v>
                </c:pt>
                <c:pt idx="1">
                  <c:v>518.25121929696502</c:v>
                </c:pt>
                <c:pt idx="2">
                  <c:v>522.26062635659673</c:v>
                </c:pt>
                <c:pt idx="3">
                  <c:v>527.1891047924164</c:v>
                </c:pt>
                <c:pt idx="4">
                  <c:v>533.24656201790162</c:v>
                </c:pt>
                <c:pt idx="5">
                  <c:v>540.69045275365932</c:v>
                </c:pt>
                <c:pt idx="6">
                  <c:v>549.83634817324059</c:v>
                </c:pt>
                <c:pt idx="7">
                  <c:v>561.07075159086548</c:v>
                </c:pt>
                <c:pt idx="8">
                  <c:v>574.86658521651691</c:v>
                </c:pt>
                <c:pt idx="9">
                  <c:v>591.80182469185002</c:v>
                </c:pt>
                <c:pt idx="10">
                  <c:v>612.58180048699842</c:v>
                </c:pt>
                <c:pt idx="11">
                  <c:v>638.06570555519011</c:v>
                </c:pt>
                <c:pt idx="12">
                  <c:v>669.29782775053491</c:v>
                </c:pt>
                <c:pt idx="13">
                  <c:v>707.54393440851845</c:v>
                </c:pt>
                <c:pt idx="14">
                  <c:v>754.33303264606411</c:v>
                </c:pt>
                <c:pt idx="15">
                  <c:v>811.5043520996835</c:v>
                </c:pt>
                <c:pt idx="16">
                  <c:v>881.2587649116324</c:v>
                </c:pt>
                <c:pt idx="17">
                  <c:v>966.21286457446513</c:v>
                </c:pt>
                <c:pt idx="18">
                  <c:v>1069.4524429932458</c:v>
                </c:pt>
                <c:pt idx="19">
                  <c:v>1194.5799976976539</c:v>
                </c:pt>
                <c:pt idx="20">
                  <c:v>1345.7480567429971</c:v>
                </c:pt>
                <c:pt idx="21">
                  <c:v>1527.6665047111514</c:v>
                </c:pt>
                <c:pt idx="22">
                  <c:v>1745.567906300098</c:v>
                </c:pt>
                <c:pt idx="23">
                  <c:v>2005.1105962576839</c:v>
                </c:pt>
                <c:pt idx="24">
                  <c:v>2312.1961505399941</c:v>
                </c:pt>
                <c:pt idx="25">
                  <c:v>2672.6776503846663</c:v>
                </c:pt>
                <c:pt idx="26">
                  <c:v>3091.9405657624829</c:v>
                </c:pt>
                <c:pt idx="27">
                  <c:v>3574.352197737966</c:v>
                </c:pt>
                <c:pt idx="28">
                  <c:v>4122.6008445226462</c:v>
                </c:pt>
                <c:pt idx="29">
                  <c:v>4736.98200493682</c:v>
                </c:pt>
                <c:pt idx="30">
                  <c:v>5414.7307815776794</c:v>
                </c:pt>
                <c:pt idx="31">
                  <c:v>6149.5352722897314</c:v>
                </c:pt>
                <c:pt idx="32">
                  <c:v>6931.3777498410236</c:v>
                </c:pt>
                <c:pt idx="33">
                  <c:v>7746.8219106135848</c:v>
                </c:pt>
                <c:pt idx="34">
                  <c:v>8579.7889722016189</c:v>
                </c:pt>
                <c:pt idx="35">
                  <c:v>9412.7560337896539</c:v>
                </c:pt>
                <c:pt idx="36">
                  <c:v>10228.200194562216</c:v>
                </c:pt>
                <c:pt idx="37">
                  <c:v>11010.042672113506</c:v>
                </c:pt>
                <c:pt idx="38">
                  <c:v>11744.847162825559</c:v>
                </c:pt>
                <c:pt idx="39">
                  <c:v>12422.595939466419</c:v>
                </c:pt>
                <c:pt idx="40">
                  <c:v>13036.977099880593</c:v>
                </c:pt>
                <c:pt idx="41">
                  <c:v>13585.225746665274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Boltzmann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67.874498590006283</c:v>
                </c:pt>
                <c:pt idx="19">
                  <c:v>193.00205329441451</c:v>
                </c:pt>
                <c:pt idx="20">
                  <c:v>344.17011233975757</c:v>
                </c:pt>
                <c:pt idx="21">
                  <c:v>526.08856030791196</c:v>
                </c:pt>
                <c:pt idx="22">
                  <c:v>743.98996189685852</c:v>
                </c:pt>
                <c:pt idx="23">
                  <c:v>1003.5326518544445</c:v>
                </c:pt>
                <c:pt idx="24">
                  <c:v>1310.6182061367549</c:v>
                </c:pt>
                <c:pt idx="25">
                  <c:v>1671.0997059814267</c:v>
                </c:pt>
                <c:pt idx="26">
                  <c:v>2090.3626213592433</c:v>
                </c:pt>
                <c:pt idx="27">
                  <c:v>2572.7742533347264</c:v>
                </c:pt>
                <c:pt idx="28">
                  <c:v>3121.0229001194066</c:v>
                </c:pt>
                <c:pt idx="29">
                  <c:v>3735.4040605335804</c:v>
                </c:pt>
                <c:pt idx="30">
                  <c:v>4413.1528371744398</c:v>
                </c:pt>
                <c:pt idx="31">
                  <c:v>5147.9573278864918</c:v>
                </c:pt>
                <c:pt idx="32">
                  <c:v>5929.799805437784</c:v>
                </c:pt>
                <c:pt idx="33">
                  <c:v>6745.2439662103452</c:v>
                </c:pt>
                <c:pt idx="34">
                  <c:v>7578.2110277983802</c:v>
                </c:pt>
                <c:pt idx="35">
                  <c:v>8411.1780893864161</c:v>
                </c:pt>
                <c:pt idx="36">
                  <c:v>9226.6222501589782</c:v>
                </c:pt>
                <c:pt idx="37">
                  <c:v>10008.464727710269</c:v>
                </c:pt>
                <c:pt idx="38">
                  <c:v>10743.269218422322</c:v>
                </c:pt>
                <c:pt idx="39">
                  <c:v>11421.017995063181</c:v>
                </c:pt>
                <c:pt idx="40">
                  <c:v>12035.399155477355</c:v>
                </c:pt>
                <c:pt idx="41">
                  <c:v>12583.647802262036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Daily</a:t>
            </a:r>
            <a:r>
              <a:rPr lang="it-IT" baseline="0"/>
              <a:t> </a:t>
            </a:r>
            <a:r>
              <a:rPr lang="it-IT"/>
              <a:t>New Cases and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Boltzmann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fit'!$E$7:$E$70</c:f>
              <c:numCache>
                <c:formatCode>0</c:formatCode>
                <c:ptCount val="64"/>
                <c:pt idx="0">
                  <c:v>0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Boltzmann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fit'!$G$7:$G$70</c:f>
              <c:numCache>
                <c:formatCode>0</c:formatCode>
                <c:ptCount val="64"/>
                <c:pt idx="0">
                  <c:v>0</c:v>
                </c:pt>
                <c:pt idx="1">
                  <c:v>105.9941063813543</c:v>
                </c:pt>
                <c:pt idx="2">
                  <c:v>124.9361003291931</c:v>
                </c:pt>
                <c:pt idx="3">
                  <c:v>147.21996065983103</c:v>
                </c:pt>
                <c:pt idx="4">
                  <c:v>173.41842535622209</c:v>
                </c:pt>
                <c:pt idx="5">
                  <c:v>204.19581848870689</c:v>
                </c:pt>
                <c:pt idx="6">
                  <c:v>240.32011379842425</c:v>
                </c:pt>
                <c:pt idx="7">
                  <c:v>282.67553521548462</c:v>
                </c:pt>
                <c:pt idx="8">
                  <c:v>332.27521999740202</c:v>
                </c:pt>
                <c:pt idx="9">
                  <c:v>390.27320499424513</c:v>
                </c:pt>
                <c:pt idx="10">
                  <c:v>457.97463926466526</c:v>
                </c:pt>
                <c:pt idx="11">
                  <c:v>536.8426574129644</c:v>
                </c:pt>
                <c:pt idx="12">
                  <c:v>628.49975076086412</c:v>
                </c:pt>
                <c:pt idx="13">
                  <c:v>734.72073947345871</c:v>
                </c:pt>
                <c:pt idx="14">
                  <c:v>857.41358782929274</c:v>
                </c:pt>
                <c:pt idx="15">
                  <c:v>998.5833595956201</c:v>
                </c:pt>
                <c:pt idx="16">
                  <c:v>1160.2736771367254</c:v>
                </c:pt>
                <c:pt idx="17">
                  <c:v>1344.4793027905926</c:v>
                </c:pt>
                <c:pt idx="18">
                  <c:v>1553.0231903551576</c:v>
                </c:pt>
                <c:pt idx="19">
                  <c:v>1787.3919792769721</c:v>
                </c:pt>
                <c:pt idx="20">
                  <c:v>2048.5259854012638</c:v>
                </c:pt>
                <c:pt idx="21">
                  <c:v>2336.563940822125</c:v>
                </c:pt>
                <c:pt idx="22">
                  <c:v>2650.549691767068</c:v>
                </c:pt>
                <c:pt idx="23">
                  <c:v>2988.1181598566982</c:v>
                </c:pt>
                <c:pt idx="24">
                  <c:v>3345.1908600357565</c:v>
                </c:pt>
                <c:pt idx="25">
                  <c:v>3715.7257970571882</c:v>
                </c:pt>
                <c:pt idx="26">
                  <c:v>4091.5797452015577</c:v>
                </c:pt>
                <c:pt idx="27">
                  <c:v>4462.5482072811792</c:v>
                </c:pt>
                <c:pt idx="28">
                  <c:v>4816.6441002941283</c:v>
                </c:pt>
                <c:pt idx="29">
                  <c:v>5140.6552260567551</c:v>
                </c:pt>
                <c:pt idx="30">
                  <c:v>5420.9806164408874</c:v>
                </c:pt>
                <c:pt idx="31">
                  <c:v>5644.6903893400522</c:v>
                </c:pt>
                <c:pt idx="32">
                  <c:v>5800.6936385260778</c:v>
                </c:pt>
                <c:pt idx="33">
                  <c:v>5880.8510070198099</c:v>
                </c:pt>
                <c:pt idx="34">
                  <c:v>5880.8510070198099</c:v>
                </c:pt>
                <c:pt idx="35">
                  <c:v>5800.6936385260778</c:v>
                </c:pt>
                <c:pt idx="36">
                  <c:v>5644.6903893400449</c:v>
                </c:pt>
                <c:pt idx="37">
                  <c:v>5420.9806164408801</c:v>
                </c:pt>
                <c:pt idx="38">
                  <c:v>5140.6552260567551</c:v>
                </c:pt>
                <c:pt idx="39">
                  <c:v>4816.6441002941428</c:v>
                </c:pt>
                <c:pt idx="40">
                  <c:v>4462.5482072811865</c:v>
                </c:pt>
                <c:pt idx="41">
                  <c:v>4091.5797452015395</c:v>
                </c:pt>
                <c:pt idx="42">
                  <c:v>3715.72579705721</c:v>
                </c:pt>
                <c:pt idx="43">
                  <c:v>3345.1908600357419</c:v>
                </c:pt>
                <c:pt idx="44">
                  <c:v>2988.1181598567055</c:v>
                </c:pt>
                <c:pt idx="45">
                  <c:v>2650.5496917670534</c:v>
                </c:pt>
                <c:pt idx="46">
                  <c:v>2336.5639408221468</c:v>
                </c:pt>
                <c:pt idx="47">
                  <c:v>2048.5259854012402</c:v>
                </c:pt>
                <c:pt idx="48">
                  <c:v>1787.3919792769739</c:v>
                </c:pt>
                <c:pt idx="49">
                  <c:v>1553.0231903551612</c:v>
                </c:pt>
                <c:pt idx="50">
                  <c:v>1344.479302790598</c:v>
                </c:pt>
                <c:pt idx="51">
                  <c:v>1160.2736771367199</c:v>
                </c:pt>
                <c:pt idx="52">
                  <c:v>998.583359595621</c:v>
                </c:pt>
                <c:pt idx="53">
                  <c:v>857.41358782930183</c:v>
                </c:pt>
                <c:pt idx="54">
                  <c:v>734.72073947344325</c:v>
                </c:pt>
                <c:pt idx="55">
                  <c:v>628.49975076087867</c:v>
                </c:pt>
                <c:pt idx="56">
                  <c:v>536.8426574129553</c:v>
                </c:pt>
                <c:pt idx="57">
                  <c:v>457.97463926469209</c:v>
                </c:pt>
                <c:pt idx="58">
                  <c:v>390.2732049942133</c:v>
                </c:pt>
                <c:pt idx="59">
                  <c:v>332.2752199973911</c:v>
                </c:pt>
                <c:pt idx="60">
                  <c:v>282.67553521553054</c:v>
                </c:pt>
                <c:pt idx="61">
                  <c:v>240.32011379839969</c:v>
                </c:pt>
                <c:pt idx="62">
                  <c:v>204.19581848871894</c:v>
                </c:pt>
                <c:pt idx="63">
                  <c:v>173.41842535621254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fit'!$H$7:$H$70</c:f>
              <c:numCache>
                <c:formatCode>0</c:formatCode>
                <c:ptCount val="64"/>
                <c:pt idx="0">
                  <c:v>917.39276633518296</c:v>
                </c:pt>
                <c:pt idx="1">
                  <c:v>1023.3868727165373</c:v>
                </c:pt>
                <c:pt idx="2">
                  <c:v>1042.3288666643762</c:v>
                </c:pt>
                <c:pt idx="3">
                  <c:v>1064.6127269950139</c:v>
                </c:pt>
                <c:pt idx="4">
                  <c:v>1090.8111916914049</c:v>
                </c:pt>
                <c:pt idx="5">
                  <c:v>1121.58858482389</c:v>
                </c:pt>
                <c:pt idx="6">
                  <c:v>1157.7128801336071</c:v>
                </c:pt>
                <c:pt idx="7">
                  <c:v>1200.0683015506675</c:v>
                </c:pt>
                <c:pt idx="8">
                  <c:v>1249.6679863325849</c:v>
                </c:pt>
                <c:pt idx="9">
                  <c:v>1307.665971329428</c:v>
                </c:pt>
                <c:pt idx="10">
                  <c:v>1375.3674055998481</c:v>
                </c:pt>
                <c:pt idx="11">
                  <c:v>1454.2354237481472</c:v>
                </c:pt>
                <c:pt idx="12">
                  <c:v>1545.892517096047</c:v>
                </c:pt>
                <c:pt idx="13">
                  <c:v>1652.1135058086415</c:v>
                </c:pt>
                <c:pt idx="14">
                  <c:v>1774.8063541644756</c:v>
                </c:pt>
                <c:pt idx="15">
                  <c:v>1915.9761259308029</c:v>
                </c:pt>
                <c:pt idx="16">
                  <c:v>2077.6664434719082</c:v>
                </c:pt>
                <c:pt idx="17">
                  <c:v>2261.8720691257754</c:v>
                </c:pt>
                <c:pt idx="18">
                  <c:v>2470.4159566903404</c:v>
                </c:pt>
                <c:pt idx="19">
                  <c:v>2704.7847456121549</c:v>
                </c:pt>
                <c:pt idx="20">
                  <c:v>2965.9187517364467</c:v>
                </c:pt>
                <c:pt idx="21">
                  <c:v>3253.9567071573078</c:v>
                </c:pt>
                <c:pt idx="22">
                  <c:v>3567.9424581022508</c:v>
                </c:pt>
                <c:pt idx="23">
                  <c:v>3905.510926191881</c:v>
                </c:pt>
                <c:pt idx="24">
                  <c:v>4262.5836263709398</c:v>
                </c:pt>
                <c:pt idx="25">
                  <c:v>4633.1185633923715</c:v>
                </c:pt>
                <c:pt idx="26">
                  <c:v>5008.972511536741</c:v>
                </c:pt>
                <c:pt idx="27">
                  <c:v>5379.9409736163625</c:v>
                </c:pt>
                <c:pt idx="28">
                  <c:v>5734.0368666293116</c:v>
                </c:pt>
                <c:pt idx="29">
                  <c:v>6058.0479923919384</c:v>
                </c:pt>
                <c:pt idx="30">
                  <c:v>6338.3733827760707</c:v>
                </c:pt>
                <c:pt idx="31">
                  <c:v>6562.0831556752355</c:v>
                </c:pt>
                <c:pt idx="32">
                  <c:v>6718.0864048612611</c:v>
                </c:pt>
                <c:pt idx="33">
                  <c:v>6798.2437733549932</c:v>
                </c:pt>
                <c:pt idx="34">
                  <c:v>6798.2437733549932</c:v>
                </c:pt>
                <c:pt idx="35">
                  <c:v>6718.0864048612611</c:v>
                </c:pt>
                <c:pt idx="36">
                  <c:v>6562.0831556752282</c:v>
                </c:pt>
                <c:pt idx="37">
                  <c:v>6338.3733827760634</c:v>
                </c:pt>
                <c:pt idx="38">
                  <c:v>6058.0479923919384</c:v>
                </c:pt>
                <c:pt idx="39">
                  <c:v>5734.0368666293261</c:v>
                </c:pt>
                <c:pt idx="40">
                  <c:v>5379.9409736163698</c:v>
                </c:pt>
                <c:pt idx="41">
                  <c:v>5008.9725115367228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81.19059326043714</c:v>
                </c:pt>
                <c:pt idx="16">
                  <c:v>242.88091080154243</c:v>
                </c:pt>
                <c:pt idx="17">
                  <c:v>427.0865364554096</c:v>
                </c:pt>
                <c:pt idx="18">
                  <c:v>635.63042401997461</c:v>
                </c:pt>
                <c:pt idx="19">
                  <c:v>869.9992129417891</c:v>
                </c:pt>
                <c:pt idx="20">
                  <c:v>1131.133219066081</c:v>
                </c:pt>
                <c:pt idx="21">
                  <c:v>1419.1711744869422</c:v>
                </c:pt>
                <c:pt idx="22">
                  <c:v>1733.1569254318852</c:v>
                </c:pt>
                <c:pt idx="23">
                  <c:v>2070.7253935215153</c:v>
                </c:pt>
                <c:pt idx="24">
                  <c:v>2427.7980937005736</c:v>
                </c:pt>
                <c:pt idx="25">
                  <c:v>2798.3330307220053</c:v>
                </c:pt>
                <c:pt idx="26">
                  <c:v>3174.1869788663748</c:v>
                </c:pt>
                <c:pt idx="27">
                  <c:v>3545.1554409459964</c:v>
                </c:pt>
                <c:pt idx="28">
                  <c:v>3899.2513339589455</c:v>
                </c:pt>
                <c:pt idx="29">
                  <c:v>4223.2624597215718</c:v>
                </c:pt>
                <c:pt idx="30">
                  <c:v>4503.5878501057041</c:v>
                </c:pt>
                <c:pt idx="31">
                  <c:v>4727.2976230048689</c:v>
                </c:pt>
                <c:pt idx="32">
                  <c:v>4883.3008721908946</c:v>
                </c:pt>
                <c:pt idx="33">
                  <c:v>4963.4582406846266</c:v>
                </c:pt>
                <c:pt idx="34">
                  <c:v>4963.4582406846266</c:v>
                </c:pt>
                <c:pt idx="35">
                  <c:v>4883.3008721908946</c:v>
                </c:pt>
                <c:pt idx="36">
                  <c:v>4727.2976230048616</c:v>
                </c:pt>
                <c:pt idx="37">
                  <c:v>4503.5878501056968</c:v>
                </c:pt>
                <c:pt idx="38">
                  <c:v>4223.2624597215718</c:v>
                </c:pt>
                <c:pt idx="39">
                  <c:v>3899.25133395896</c:v>
                </c:pt>
                <c:pt idx="40">
                  <c:v>3545.1554409460036</c:v>
                </c:pt>
                <c:pt idx="41">
                  <c:v>3174.1869788663566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ser>
          <c:idx val="4"/>
          <c:order val="4"/>
          <c:tx>
            <c:strRef>
              <c:f>'New_confirmed - Boltzmann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Boltzmann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4-4C6D-B8AE-A194F4E0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'New_confirmed - Boltzmann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fit'!$M$7:$M$70</c:f>
              <c:numCache>
                <c:formatCode>0</c:formatCode>
                <c:ptCount val="64"/>
                <c:pt idx="0">
                  <c:v>0</c:v>
                </c:pt>
                <c:pt idx="1">
                  <c:v>8.7131464087462689</c:v>
                </c:pt>
                <c:pt idx="2">
                  <c:v>10.244937570924108</c:v>
                </c:pt>
                <c:pt idx="3">
                  <c:v>12.044052872944647</c:v>
                </c:pt>
                <c:pt idx="4">
                  <c:v>14.156391393232553</c:v>
                </c:pt>
                <c:pt idx="5">
                  <c:v>16.635444507759985</c:v>
                </c:pt>
                <c:pt idx="6">
                  <c:v>19.543440868025016</c:v>
                </c:pt>
                <c:pt idx="7">
                  <c:v>22.952620662025453</c:v>
                </c:pt>
                <c:pt idx="8">
                  <c:v>26.946635664232133</c:v>
                </c:pt>
                <c:pt idx="9">
                  <c:v>31.622061929664767</c:v>
                </c:pt>
                <c:pt idx="10">
                  <c:v>37.089997816763997</c:v>
                </c:pt>
                <c:pt idx="11">
                  <c:v>43.47769983660217</c:v>
                </c:pt>
                <c:pt idx="12">
                  <c:v>50.930180804258953</c:v>
                </c:pt>
                <c:pt idx="13">
                  <c:v>59.611656804305881</c:v>
                </c:pt>
                <c:pt idx="14">
                  <c:v>69.706679296805532</c:v>
                </c:pt>
                <c:pt idx="15">
                  <c:v>81.420724098216681</c:v>
                </c:pt>
                <c:pt idx="16">
                  <c:v>94.979928385043308</c:v>
                </c:pt>
                <c:pt idx="17">
                  <c:v>110.62957014869494</c:v>
                </c:pt>
                <c:pt idx="18">
                  <c:v>128.63077433007959</c:v>
                </c:pt>
                <c:pt idx="19">
                  <c:v>149.25481358327409</c:v>
                </c:pt>
                <c:pt idx="20">
                  <c:v>172.77426405283313</c:v>
                </c:pt>
                <c:pt idx="21">
                  <c:v>199.45020309531719</c:v>
                </c:pt>
                <c:pt idx="22">
                  <c:v>229.51463582310248</c:v>
                </c:pt>
                <c:pt idx="23">
                  <c:v>263.14746612935824</c:v>
                </c:pt>
                <c:pt idx="24">
                  <c:v>300.44765618305883</c:v>
                </c:pt>
                <c:pt idx="25">
                  <c:v>341.39882513073098</c:v>
                </c:pt>
                <c:pt idx="26">
                  <c:v>385.83049249861369</c:v>
                </c:pt>
                <c:pt idx="27">
                  <c:v>433.37750343902917</c:v>
                </c:pt>
                <c:pt idx="28">
                  <c:v>483.44182352732287</c:v>
                </c:pt>
                <c:pt idx="29">
                  <c:v>535.16266108690479</c:v>
                </c:pt>
                <c:pt idx="30">
                  <c:v>587.40238064793994</c:v>
                </c:pt>
                <c:pt idx="31">
                  <c:v>638.75634210889621</c:v>
                </c:pt>
                <c:pt idx="32">
                  <c:v>687.59396492477572</c:v>
                </c:pt>
                <c:pt idx="33">
                  <c:v>732.1354006796355</c:v>
                </c:pt>
                <c:pt idx="34">
                  <c:v>770.56302135391797</c:v>
                </c:pt>
                <c:pt idx="35">
                  <c:v>801.16001690808935</c:v>
                </c:pt>
                <c:pt idx="36">
                  <c:v>822.46111709473735</c:v>
                </c:pt>
                <c:pt idx="37">
                  <c:v>833.39484212164643</c:v>
                </c:pt>
                <c:pt idx="38">
                  <c:v>833.39484212164643</c:v>
                </c:pt>
                <c:pt idx="39">
                  <c:v>822.46111709473553</c:v>
                </c:pt>
                <c:pt idx="40">
                  <c:v>801.16001690809208</c:v>
                </c:pt>
                <c:pt idx="41">
                  <c:v>770.56302135391525</c:v>
                </c:pt>
                <c:pt idx="42">
                  <c:v>732.1354006796355</c:v>
                </c:pt>
                <c:pt idx="43">
                  <c:v>687.59396492477754</c:v>
                </c:pt>
                <c:pt idx="44">
                  <c:v>638.75634210889621</c:v>
                </c:pt>
                <c:pt idx="45">
                  <c:v>587.40238064793994</c:v>
                </c:pt>
                <c:pt idx="46">
                  <c:v>535.16266108690616</c:v>
                </c:pt>
                <c:pt idx="47">
                  <c:v>483.44182352732241</c:v>
                </c:pt>
                <c:pt idx="48">
                  <c:v>433.37750343903099</c:v>
                </c:pt>
                <c:pt idx="49">
                  <c:v>385.83049249861142</c:v>
                </c:pt>
                <c:pt idx="50">
                  <c:v>341.39882513072735</c:v>
                </c:pt>
                <c:pt idx="51">
                  <c:v>300.44765618305973</c:v>
                </c:pt>
                <c:pt idx="52">
                  <c:v>263.14746612936142</c:v>
                </c:pt>
                <c:pt idx="53">
                  <c:v>229.51463582309952</c:v>
                </c:pt>
                <c:pt idx="54">
                  <c:v>199.45020309531901</c:v>
                </c:pt>
                <c:pt idx="55">
                  <c:v>172.77426405283404</c:v>
                </c:pt>
                <c:pt idx="56">
                  <c:v>149.25481358327306</c:v>
                </c:pt>
                <c:pt idx="57">
                  <c:v>128.63077433007857</c:v>
                </c:pt>
                <c:pt idx="58">
                  <c:v>110.62957014869608</c:v>
                </c:pt>
                <c:pt idx="59">
                  <c:v>94.979928385044332</c:v>
                </c:pt>
                <c:pt idx="60">
                  <c:v>81.420724098217761</c:v>
                </c:pt>
                <c:pt idx="61">
                  <c:v>69.706679296803486</c:v>
                </c:pt>
                <c:pt idx="62">
                  <c:v>59.611656804307131</c:v>
                </c:pt>
                <c:pt idx="63">
                  <c:v>50.930180804258271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44-4C6D-B8AE-A194F4E036FC}"/>
            </c:ext>
          </c:extLst>
        </c:ser>
        <c:ser>
          <c:idx val="6"/>
          <c:order val="6"/>
          <c:tx>
            <c:strRef>
              <c:f>'New_confirmed - Boltzmann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fit'!$N$7:$N$70</c:f>
              <c:numCache>
                <c:formatCode>0</c:formatCode>
                <c:ptCount val="64"/>
                <c:pt idx="0">
                  <c:v>126.32661855558402</c:v>
                </c:pt>
                <c:pt idx="1">
                  <c:v>135.03976496433029</c:v>
                </c:pt>
                <c:pt idx="2">
                  <c:v>136.57155612650814</c:v>
                </c:pt>
                <c:pt idx="3">
                  <c:v>138.37067142852868</c:v>
                </c:pt>
                <c:pt idx="4">
                  <c:v>140.48300994881657</c:v>
                </c:pt>
                <c:pt idx="5">
                  <c:v>142.962063063344</c:v>
                </c:pt>
                <c:pt idx="6">
                  <c:v>145.87005942360904</c:v>
                </c:pt>
                <c:pt idx="7">
                  <c:v>149.27923921760947</c:v>
                </c:pt>
                <c:pt idx="8">
                  <c:v>153.27325421981615</c:v>
                </c:pt>
                <c:pt idx="9">
                  <c:v>157.94868048524879</c:v>
                </c:pt>
                <c:pt idx="10">
                  <c:v>163.41661637234802</c:v>
                </c:pt>
                <c:pt idx="11">
                  <c:v>169.80431839218619</c:v>
                </c:pt>
                <c:pt idx="12">
                  <c:v>177.25679935984297</c:v>
                </c:pt>
                <c:pt idx="13">
                  <c:v>185.9382753598899</c:v>
                </c:pt>
                <c:pt idx="14">
                  <c:v>196.03329785238955</c:v>
                </c:pt>
                <c:pt idx="15">
                  <c:v>207.7473426538007</c:v>
                </c:pt>
                <c:pt idx="16">
                  <c:v>221.30654694062733</c:v>
                </c:pt>
                <c:pt idx="17">
                  <c:v>236.95618870427896</c:v>
                </c:pt>
                <c:pt idx="18">
                  <c:v>254.95739288566361</c:v>
                </c:pt>
                <c:pt idx="19">
                  <c:v>275.58143213885808</c:v>
                </c:pt>
                <c:pt idx="20">
                  <c:v>299.10088260841712</c:v>
                </c:pt>
                <c:pt idx="21">
                  <c:v>325.77682165090118</c:v>
                </c:pt>
                <c:pt idx="22">
                  <c:v>355.84125437868647</c:v>
                </c:pt>
                <c:pt idx="23">
                  <c:v>389.47408468494223</c:v>
                </c:pt>
                <c:pt idx="24">
                  <c:v>426.77427473864282</c:v>
                </c:pt>
                <c:pt idx="25">
                  <c:v>467.72544368631497</c:v>
                </c:pt>
                <c:pt idx="26">
                  <c:v>512.15711105419769</c:v>
                </c:pt>
                <c:pt idx="27">
                  <c:v>559.70412199461316</c:v>
                </c:pt>
                <c:pt idx="28">
                  <c:v>609.76844208290686</c:v>
                </c:pt>
                <c:pt idx="29">
                  <c:v>661.48927964248878</c:v>
                </c:pt>
                <c:pt idx="30">
                  <c:v>713.72899920352393</c:v>
                </c:pt>
                <c:pt idx="31">
                  <c:v>765.0829606644802</c:v>
                </c:pt>
                <c:pt idx="32">
                  <c:v>813.92058348035971</c:v>
                </c:pt>
                <c:pt idx="33">
                  <c:v>858.46201923521949</c:v>
                </c:pt>
                <c:pt idx="34">
                  <c:v>896.88963990950197</c:v>
                </c:pt>
                <c:pt idx="35">
                  <c:v>927.48663546367334</c:v>
                </c:pt>
                <c:pt idx="36">
                  <c:v>948.78773565032134</c:v>
                </c:pt>
                <c:pt idx="37">
                  <c:v>959.72146067723043</c:v>
                </c:pt>
                <c:pt idx="38">
                  <c:v>959.72146067723043</c:v>
                </c:pt>
                <c:pt idx="39">
                  <c:v>948.78773565031952</c:v>
                </c:pt>
                <c:pt idx="40">
                  <c:v>927.48663546367607</c:v>
                </c:pt>
                <c:pt idx="41">
                  <c:v>896.88963990949924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44-4C6D-B8AE-A194F4E036FC}"/>
            </c:ext>
          </c:extLst>
        </c:ser>
        <c:ser>
          <c:idx val="7"/>
          <c:order val="7"/>
          <c:tx>
            <c:strRef>
              <c:f>'New_confirmed - Boltzmann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2.3041557744955696</c:v>
                </c:pt>
                <c:pt idx="19">
                  <c:v>22.928195027690066</c:v>
                </c:pt>
                <c:pt idx="20">
                  <c:v>46.447645497249113</c:v>
                </c:pt>
                <c:pt idx="21">
                  <c:v>73.123584539733173</c:v>
                </c:pt>
                <c:pt idx="22">
                  <c:v>103.18801726751846</c:v>
                </c:pt>
                <c:pt idx="23">
                  <c:v>136.82084757377422</c:v>
                </c:pt>
                <c:pt idx="24">
                  <c:v>174.12103762747481</c:v>
                </c:pt>
                <c:pt idx="25">
                  <c:v>215.07220657514696</c:v>
                </c:pt>
                <c:pt idx="26">
                  <c:v>259.5038739430297</c:v>
                </c:pt>
                <c:pt idx="27">
                  <c:v>307.05088488344518</c:v>
                </c:pt>
                <c:pt idx="28">
                  <c:v>357.11520497173888</c:v>
                </c:pt>
                <c:pt idx="29">
                  <c:v>408.8360425313208</c:v>
                </c:pt>
                <c:pt idx="30">
                  <c:v>461.07576209235594</c:v>
                </c:pt>
                <c:pt idx="31">
                  <c:v>512.42972355331221</c:v>
                </c:pt>
                <c:pt idx="32">
                  <c:v>561.26734636919173</c:v>
                </c:pt>
                <c:pt idx="33">
                  <c:v>605.8087821240515</c:v>
                </c:pt>
                <c:pt idx="34">
                  <c:v>644.23640279833398</c:v>
                </c:pt>
                <c:pt idx="35">
                  <c:v>674.83339835250536</c:v>
                </c:pt>
                <c:pt idx="36">
                  <c:v>696.13449853915336</c:v>
                </c:pt>
                <c:pt idx="37">
                  <c:v>707.06822356606244</c:v>
                </c:pt>
                <c:pt idx="38">
                  <c:v>707.06822356606244</c:v>
                </c:pt>
                <c:pt idx="39">
                  <c:v>696.13449853915154</c:v>
                </c:pt>
                <c:pt idx="40">
                  <c:v>674.83339835250808</c:v>
                </c:pt>
                <c:pt idx="41">
                  <c:v>644.23640279833126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44-4C6D-B8AE-A194F4E0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541020</xdr:colOff>
      <xdr:row>2</xdr:row>
      <xdr:rowOff>152400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295900" y="7315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295900" y="7315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37</xdr:row>
      <xdr:rowOff>144779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8476706" y="1284514"/>
          <a:ext cx="6938554" cy="6131922"/>
          <a:chOff x="6629400" y="1287780"/>
          <a:chExt cx="6941820" cy="5303520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D7E1A92A-3CA9-4350-9FDC-7482CD6BAA0A}"/>
              </a:ext>
            </a:extLst>
          </xdr:cNvPr>
          <xdr:cNvGrpSpPr/>
        </xdr:nvGrpSpPr>
        <xdr:grpSpPr>
          <a:xfrm>
            <a:off x="6629400" y="1287780"/>
            <a:ext cx="6941820" cy="5303520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9745980" y="1991766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 xmlns="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9745980" y="1991766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𝑦=𝐾/(</a:t>
                  </a:r>
                  <a:r>
                    <a:rPr lang="it-IT" sz="14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8031480" y="2609725"/>
            <a:ext cx="1828800" cy="12000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119998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32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4.966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0.9986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2843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0.62971</cdr:x>
      <cdr:y>0.445</cdr:y>
    </cdr:from>
    <cdr:to>
      <cdr:x>0.89315</cdr:x>
      <cdr:y>0.68256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371361" y="2702541"/>
          <a:ext cx="1828753" cy="144274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16158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4.832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0.9965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501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670560</xdr:colOff>
      <xdr:row>1</xdr:row>
      <xdr:rowOff>274320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5699760" y="4572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5699760" y="4572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4</xdr:row>
      <xdr:rowOff>228599</xdr:rowOff>
    </xdr:from>
    <xdr:to>
      <xdr:col>29</xdr:col>
      <xdr:colOff>99060</xdr:colOff>
      <xdr:row>37</xdr:row>
      <xdr:rowOff>144777</xdr:rowOff>
    </xdr:to>
    <xdr:grpSp>
      <xdr:nvGrpSpPr>
        <xdr:cNvPr id="20" name="Gruppo 19">
          <a:extLst>
            <a:ext uri="{FF2B5EF4-FFF2-40B4-BE49-F238E27FC236}">
              <a16:creationId xmlns:a16="http://schemas.microsoft.com/office/drawing/2014/main" id="{95F3DA41-4DFD-45B3-8167-891DCA1368C7}"/>
            </a:ext>
          </a:extLst>
        </xdr:cNvPr>
        <xdr:cNvGrpSpPr/>
      </xdr:nvGrpSpPr>
      <xdr:grpSpPr>
        <a:xfrm>
          <a:off x="11034849" y="1284513"/>
          <a:ext cx="6938554" cy="6131921"/>
          <a:chOff x="8846820" y="1287779"/>
          <a:chExt cx="6941820" cy="5303518"/>
        </a:xfrm>
      </xdr:grpSpPr>
      <xdr:grpSp>
        <xdr:nvGrpSpPr>
          <xdr:cNvPr id="19" name="Gruppo 18">
            <a:extLst>
              <a:ext uri="{FF2B5EF4-FFF2-40B4-BE49-F238E27FC236}">
                <a16:creationId xmlns:a16="http://schemas.microsoft.com/office/drawing/2014/main" id="{D25FE9E0-6E39-41D0-A756-6C7FAD1336E5}"/>
              </a:ext>
            </a:extLst>
          </xdr:cNvPr>
          <xdr:cNvGrpSpPr/>
        </xdr:nvGrpSpPr>
        <xdr:grpSpPr>
          <a:xfrm>
            <a:off x="8846820" y="1287779"/>
            <a:ext cx="6941820" cy="5303518"/>
            <a:chOff x="8846820" y="1287779"/>
            <a:chExt cx="6941820" cy="5303518"/>
          </a:xfrm>
        </xdr:grpSpPr>
        <xdr:grpSp>
          <xdr:nvGrpSpPr>
            <xdr:cNvPr id="18" name="Gruppo 17">
              <a:extLst>
                <a:ext uri="{FF2B5EF4-FFF2-40B4-BE49-F238E27FC236}">
                  <a16:creationId xmlns:a16="http://schemas.microsoft.com/office/drawing/2014/main" id="{2CA05283-5F31-4B63-8812-E61CCEB33C10}"/>
                </a:ext>
              </a:extLst>
            </xdr:cNvPr>
            <xdr:cNvGrpSpPr/>
          </xdr:nvGrpSpPr>
          <xdr:grpSpPr>
            <a:xfrm>
              <a:off x="8846820" y="1287779"/>
              <a:ext cx="6941820" cy="5303518"/>
              <a:chOff x="8846820" y="1287779"/>
              <a:chExt cx="6941820" cy="5303518"/>
            </a:xfrm>
          </xdr:grpSpPr>
          <xdr:graphicFrame macro="">
            <xdr:nvGraphicFramePr>
              <xdr:cNvPr id="2" name="Grafico 1">
                <a:extLst>
                  <a:ext uri="{FF2B5EF4-FFF2-40B4-BE49-F238E27FC236}">
                    <a16:creationId xmlns:a16="http://schemas.microsoft.com/office/drawing/2014/main" id="{F5082D72-C1F7-4963-A285-6EBE98D385D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8846820" y="1287779"/>
              <a:ext cx="6941820" cy="530351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" name="CasellaDiTesto 2">
                    <a:extLst>
                      <a:ext uri="{FF2B5EF4-FFF2-40B4-BE49-F238E27FC236}">
                        <a16:creationId xmlns:a16="http://schemas.microsoft.com/office/drawing/2014/main" id="{F60049A7-7A9D-42EC-BA7A-E00A5179BC56}"/>
                      </a:ext>
                    </a:extLst>
                  </xdr:cNvPr>
                  <xdr:cNvSpPr txBox="1"/>
                </xdr:nvSpPr>
                <xdr:spPr>
                  <a:xfrm>
                    <a:off x="12161520" y="2537460"/>
                    <a:ext cx="3017520" cy="66294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𝐵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(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)=</m:t>
                          </m:r>
                          <m:f>
                            <m:f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𝐾</m:t>
                              </m:r>
                            </m:num>
                            <m:den>
                              <m:d>
                                <m:d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1+</m:t>
                                  </m:r>
                                  <m:sSup>
                                    <m:sSup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𝑒</m:t>
                                      </m:r>
                                    </m:e>
                                    <m:sup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 </m:t>
                                      </m:r>
                                      <m:box>
                                        <m:box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boxPr>
                                        <m:e>
                                          <m:argPr>
                                            <m:argSz m:val="-1"/>
                                          </m:argPr>
                                          <m:f>
                                            <m:fPr>
                                              <m:ctrlP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fPr>
                                            <m:num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−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  <m:t>𝑡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  <m:t>0</m:t>
                                                  </m:r>
                                                </m:sub>
                                              </m:sSub>
                                            </m:num>
                                            <m:den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𝑤</m:t>
                                              </m:r>
                                            </m:den>
                                          </m:f>
                                        </m:e>
                                      </m:box>
                                    </m:sup>
                                  </m:sSup>
                                </m:e>
                              </m:d>
                            </m:den>
                          </m:f>
                        </m:oMath>
                      </m:oMathPara>
                    </a14:m>
                    <a:endParaRPr lang="it-IT" sz="16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3" name="CasellaDiTesto 2">
                    <a:extLst>
                      <a:ext uri="{FF2B5EF4-FFF2-40B4-BE49-F238E27FC236}">
                        <a16:creationId xmlns:a16="http://schemas.microsoft.com/office/drawing/2014/main" id="{F60049A7-7A9D-42EC-BA7A-E00A5179BC56}"/>
                      </a:ext>
                    </a:extLst>
                  </xdr:cNvPr>
                  <xdr:cNvSpPr txBox="1"/>
                </xdr:nvSpPr>
                <xdr:spPr>
                  <a:xfrm>
                    <a:off x="12161520" y="2537460"/>
                    <a:ext cx="3017520" cy="66294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𝐵(𝑡)=𝐾/(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(1+𝑒^(− □(64&amp;(𝑡−𝑡_0)/𝑤)) ) )</a:t>
                    </a:r>
                    <a:endParaRPr lang="it-IT" sz="16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  <xdr:cxnSp macro="">
          <xdr:nvCxnSpPr>
            <xdr:cNvPr id="7" name="Connettore diritto 6">
              <a:extLst>
                <a:ext uri="{FF2B5EF4-FFF2-40B4-BE49-F238E27FC236}">
                  <a16:creationId xmlns:a16="http://schemas.microsoft.com/office/drawing/2014/main" id="{F2565D0C-65C1-4565-A4DC-96DFBF81741D}"/>
                </a:ext>
              </a:extLst>
            </xdr:cNvPr>
            <xdr:cNvCxnSpPr/>
          </xdr:nvCxnSpPr>
          <xdr:spPr>
            <a:xfrm>
              <a:off x="9296400" y="2888717"/>
              <a:ext cx="3489960" cy="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𝑦=𝐵(𝑡+1)−𝐵(𝑡)</a:t>
                </a:r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18</xdr:col>
      <xdr:colOff>502920</xdr:colOff>
      <xdr:row>15</xdr:row>
      <xdr:rowOff>80556</xdr:rowOff>
    </xdr:from>
    <xdr:to>
      <xdr:col>21</xdr:col>
      <xdr:colOff>502920</xdr:colOff>
      <xdr:row>22</xdr:row>
      <xdr:rowOff>171995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9293C884-D776-4B8E-9F62-AF94A78AF218}"/>
            </a:ext>
          </a:extLst>
        </xdr:cNvPr>
        <xdr:cNvSpPr txBox="1"/>
      </xdr:nvSpPr>
      <xdr:spPr>
        <a:xfrm>
          <a:off x="11530149" y="3248299"/>
          <a:ext cx="1828800" cy="139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K/4w=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5894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6.022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0.9621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917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25</xdr:col>
      <xdr:colOff>571500</xdr:colOff>
      <xdr:row>18</xdr:row>
      <xdr:rowOff>189411</xdr:rowOff>
    </xdr:from>
    <xdr:to>
      <xdr:col>28</xdr:col>
      <xdr:colOff>571453</xdr:colOff>
      <xdr:row>26</xdr:row>
      <xdr:rowOff>102325</xdr:rowOff>
    </xdr:to>
    <xdr:sp macro="" textlink="">
      <xdr:nvSpPr>
        <xdr:cNvPr id="16" name="CasellaDiTesto 6">
          <a:extLst>
            <a:ext uri="{FF2B5EF4-FFF2-40B4-BE49-F238E27FC236}">
              <a16:creationId xmlns:a16="http://schemas.microsoft.com/office/drawing/2014/main" id="{CEB1BF83-AB2A-4FDF-92A5-CE635460130E}"/>
            </a:ext>
          </a:extLst>
        </xdr:cNvPr>
        <xdr:cNvSpPr txBox="1"/>
      </xdr:nvSpPr>
      <xdr:spPr>
        <a:xfrm>
          <a:off x="16007443" y="3912325"/>
          <a:ext cx="1828753" cy="1426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 new deaths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K/4w=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835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38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6.140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0.9650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126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18</xdr:col>
      <xdr:colOff>449580</xdr:colOff>
      <xdr:row>29</xdr:row>
      <xdr:rowOff>22860</xdr:rowOff>
    </xdr:from>
    <xdr:to>
      <xdr:col>24</xdr:col>
      <xdr:colOff>137160</xdr:colOff>
      <xdr:row>29</xdr:row>
      <xdr:rowOff>22862</xdr:rowOff>
    </xdr:to>
    <xdr:cxnSp macro="">
      <xdr:nvCxnSpPr>
        <xdr:cNvPr id="17" name="Connettore diritto 16">
          <a:extLst>
            <a:ext uri="{FF2B5EF4-FFF2-40B4-BE49-F238E27FC236}">
              <a16:creationId xmlns:a16="http://schemas.microsoft.com/office/drawing/2014/main" id="{EB0DF4AC-5E4A-4DC2-BC30-DFE6FF957242}"/>
            </a:ext>
          </a:extLst>
        </xdr:cNvPr>
        <xdr:cNvCxnSpPr/>
      </xdr:nvCxnSpPr>
      <xdr:spPr>
        <a:xfrm>
          <a:off x="11460480" y="5775960"/>
          <a:ext cx="3489960" cy="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0.2082</cdr:x>
      <cdr:y>0.2356</cdr:y>
    </cdr:from>
    <cdr:to>
      <cdr:x>0.27706</cdr:x>
      <cdr:y>0.28115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4607" y="1444671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 xmlns="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4607" y="1444671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0070C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2C472245-A03D-4A71-9570-BE0D48B366C0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38269-E2C7-4D0F-B397-CB7C63C69247}" name="dpc_covid19_ita_andamento_nazionale__8" displayName="dpc_covid19_ita_andamento_nazionale__8" ref="A1:O39" tableType="queryTable" totalsRowShown="0">
  <autoFilter ref="A1:O39" xr:uid="{46EDFBA1-D4C7-48DD-807A-5BA4A2158DD5}"/>
  <tableColumns count="15">
    <tableColumn id="1" xr3:uid="{1597B4C5-C435-4062-B545-93C389BD10FD}" uniqueName="1" name="data" queryTableFieldId="1" dataDxfId="3"/>
    <tableColumn id="2" xr3:uid="{C9DFBF57-23AC-42CC-8F4C-3F76C465A55E}" uniqueName="2" name="stato" queryTableFieldId="2" dataDxfId="2"/>
    <tableColumn id="3" xr3:uid="{7604452C-2DC4-4E04-B26E-BEE2B3EAD53E}" uniqueName="3" name="ricoverati_con_sintomi" queryTableFieldId="3"/>
    <tableColumn id="4" xr3:uid="{8D512155-3BD5-4A69-B8CE-4331BA2012A3}" uniqueName="4" name="terapia_intensiva" queryTableFieldId="4"/>
    <tableColumn id="5" xr3:uid="{07E78C5F-AD7E-469D-BC71-DF89B9FC92E9}" uniqueName="5" name="totale_ospedalizzati" queryTableFieldId="5"/>
    <tableColumn id="6" xr3:uid="{5D1A6368-3039-481A-A029-D870A1988E2C}" uniqueName="6" name="isolamento_domiciliare" queryTableFieldId="6"/>
    <tableColumn id="7" xr3:uid="{ADDC5A4F-AC57-4C0C-84A4-956511D02C18}" uniqueName="7" name="totale_positivi" queryTableFieldId="7"/>
    <tableColumn id="8" xr3:uid="{3B9203F4-1719-494E-9E03-AF543553CB17}" uniqueName="8" name="variazione_totale_positivi" queryTableFieldId="8"/>
    <tableColumn id="9" xr3:uid="{8B11D556-1269-411C-B5B3-2C26B63DF39F}" uniqueName="9" name="nuovi_positivi" queryTableFieldId="9"/>
    <tableColumn id="10" xr3:uid="{89DACC67-0BA3-494B-AB48-C27AD24ABB7E}" uniqueName="10" name="dimessi_guariti" queryTableFieldId="10"/>
    <tableColumn id="11" xr3:uid="{F30DDA0F-52BB-496C-B126-1D724A447981}" uniqueName="11" name="deceduti" queryTableFieldId="11"/>
    <tableColumn id="12" xr3:uid="{4C74A0BB-6CDD-473A-B78A-4DF4E7DA6A3C}" uniqueName="12" name="totale_casi" queryTableFieldId="12"/>
    <tableColumn id="13" xr3:uid="{A612C32C-635D-4E7A-8FE9-8E4897D106AC}" uniqueName="13" name="tamponi" queryTableFieldId="13"/>
    <tableColumn id="14" xr3:uid="{C064B719-C1F9-47A4-B109-75B44C8FDA9D}" uniqueName="14" name="note_it" queryTableFieldId="14" dataDxfId="1"/>
    <tableColumn id="15" xr3:uid="{4ED24097-F667-4B3A-A74B-6206A5A621A4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30T22:47:17.14" personId="{46504131-ADD3-4530-BCC7-16E4FED1C2C4}" id="{72AF2297-8B28-419B-B702-DE9C5B9C6056}">
    <text>Worldometer data</text>
  </threadedComment>
  <threadedComment ref="B11" dT="2020-03-21T22:11:56.31" personId="{46504131-ADD3-4530-BCC7-16E4FED1C2C4}" id="{6AE41525-C545-4B83-8686-2D973E356B51}">
    <text>first red zones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(northern Italy)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B39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30T22:47:17.14" personId="{46504131-ADD3-4530-BCC7-16E4FED1C2C4}" id="{6ABD3661-8066-4E44-BA0D-35D35302F623}">
    <text>Worldometer data</text>
  </threadedComment>
  <threadedComment ref="B11" dT="2020-03-21T22:11:56.31" personId="{46504131-ADD3-4530-BCC7-16E4FED1C2C4}" id="{6F280F21-F37E-4D54-8202-F02FF9F60413}">
    <text>first red zones</text>
  </threadedComment>
  <threadedComment ref="B17" dT="2020-03-21T22:12:51.46" personId="{46504131-ADD3-4530-BCC7-16E4FED1C2C4}" id="{8C2E90DC-6FBB-4F6F-A491-7F04B14E3003}">
    <text>partial lockdown (north)</text>
  </threadedComment>
  <threadedComment ref="B21" dT="2020-03-21T22:13:52.19" personId="{46504131-ADD3-4530-BCC7-16E4FED1C2C4}" id="{165FF3CB-B6DD-4A5B-BEAB-465BE46910E5}">
    <text>school closure (Italy)</text>
  </threadedComment>
  <threadedComment ref="B24" dT="2020-03-21T22:14:24.84" personId="{46504131-ADD3-4530-BCC7-16E4FED1C2C4}" id="{7F2EC179-DDA6-4C29-9AE2-3E7B978CA4FE}">
    <text>lockdown (northern Italy)</text>
  </threadedComment>
  <threadedComment ref="B26" dT="2020-03-21T22:14:52.14" personId="{46504131-ADD3-4530-BCC7-16E4FED1C2C4}" id="{330B5948-4F91-4530-8246-D8E052E48EC7}">
    <text>partial lockdown (Italy)</text>
  </threadedComment>
  <threadedComment ref="B28" dT="2020-03-21T22:15:16.77" personId="{46504131-ADD3-4530-BCC7-16E4FED1C2C4}" id="{B00751F2-9E53-4B46-A4E1-C852EDF26698}">
    <text>lockdown (Italy)</text>
  </threadedComment>
  <threadedComment ref="B39" dT="2020-03-23T21:41:16.67" personId="{46504131-ADD3-4530-BCC7-16E4FED1C2C4}" id="{F0A6F119-92D4-458E-9366-D89100014E7A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39"/>
  <sheetViews>
    <sheetView topLeftCell="A13" workbookViewId="0">
      <selection activeCell="K2" sqref="K2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70</v>
      </c>
      <c r="H1" t="s">
        <v>71</v>
      </c>
      <c r="I1" t="s">
        <v>72</v>
      </c>
      <c r="J1" t="s">
        <v>20</v>
      </c>
      <c r="K1" t="s">
        <v>21</v>
      </c>
      <c r="L1" t="s">
        <v>22</v>
      </c>
      <c r="M1" t="s">
        <v>23</v>
      </c>
      <c r="N1" t="s">
        <v>30</v>
      </c>
      <c r="O1" t="s">
        <v>31</v>
      </c>
    </row>
    <row r="2" spans="1:15" x14ac:dyDescent="0.3">
      <c r="A2" s="19">
        <v>43885.75</v>
      </c>
      <c r="B2" s="18" t="s">
        <v>24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8" t="s">
        <v>32</v>
      </c>
      <c r="O2" s="18" t="s">
        <v>32</v>
      </c>
    </row>
    <row r="3" spans="1:15" x14ac:dyDescent="0.3">
      <c r="A3" s="19">
        <v>43886.75</v>
      </c>
      <c r="B3" s="18" t="s">
        <v>24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8" t="s">
        <v>32</v>
      </c>
      <c r="O3" s="18" t="s">
        <v>32</v>
      </c>
    </row>
    <row r="4" spans="1:15" x14ac:dyDescent="0.3">
      <c r="A4" s="19">
        <v>43887.75</v>
      </c>
      <c r="B4" s="18" t="s">
        <v>24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8" t="s">
        <v>32</v>
      </c>
      <c r="O4" s="18" t="s">
        <v>32</v>
      </c>
    </row>
    <row r="5" spans="1:15" x14ac:dyDescent="0.3">
      <c r="A5" s="19">
        <v>43888.75</v>
      </c>
      <c r="B5" s="18" t="s">
        <v>24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8" t="s">
        <v>32</v>
      </c>
      <c r="O5" s="18" t="s">
        <v>32</v>
      </c>
    </row>
    <row r="6" spans="1:15" x14ac:dyDescent="0.3">
      <c r="A6" s="19">
        <v>43889.75</v>
      </c>
      <c r="B6" s="18" t="s">
        <v>24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8" t="s">
        <v>32</v>
      </c>
      <c r="O6" s="18" t="s">
        <v>32</v>
      </c>
    </row>
    <row r="7" spans="1:15" x14ac:dyDescent="0.3">
      <c r="A7" s="19">
        <v>43890.75</v>
      </c>
      <c r="B7" s="18" t="s">
        <v>24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8" t="s">
        <v>32</v>
      </c>
      <c r="O7" s="18" t="s">
        <v>32</v>
      </c>
    </row>
    <row r="8" spans="1:15" x14ac:dyDescent="0.3">
      <c r="A8" s="19">
        <v>43891.75</v>
      </c>
      <c r="B8" s="18" t="s">
        <v>24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8" t="s">
        <v>32</v>
      </c>
      <c r="O8" s="18" t="s">
        <v>32</v>
      </c>
    </row>
    <row r="9" spans="1:15" x14ac:dyDescent="0.3">
      <c r="A9" s="19">
        <v>43892.75</v>
      </c>
      <c r="B9" s="18" t="s">
        <v>24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8" t="s">
        <v>32</v>
      </c>
      <c r="O9" s="18" t="s">
        <v>32</v>
      </c>
    </row>
    <row r="10" spans="1:15" x14ac:dyDescent="0.3">
      <c r="A10" s="19">
        <v>43893.75</v>
      </c>
      <c r="B10" s="18" t="s">
        <v>24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8" t="s">
        <v>32</v>
      </c>
      <c r="O10" s="18" t="s">
        <v>32</v>
      </c>
    </row>
    <row r="11" spans="1:15" x14ac:dyDescent="0.3">
      <c r="A11" s="19">
        <v>43894.75</v>
      </c>
      <c r="B11" s="18" t="s">
        <v>24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8" t="s">
        <v>32</v>
      </c>
      <c r="O11" s="18" t="s">
        <v>32</v>
      </c>
    </row>
    <row r="12" spans="1:15" x14ac:dyDescent="0.3">
      <c r="A12" s="19">
        <v>43895.75</v>
      </c>
      <c r="B12" s="18" t="s">
        <v>24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8" t="s">
        <v>32</v>
      </c>
      <c r="O12" s="18" t="s">
        <v>32</v>
      </c>
    </row>
    <row r="13" spans="1:15" x14ac:dyDescent="0.3">
      <c r="A13" s="19">
        <v>43896.75</v>
      </c>
      <c r="B13" s="18" t="s">
        <v>24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8" t="s">
        <v>32</v>
      </c>
      <c r="O13" s="18" t="s">
        <v>32</v>
      </c>
    </row>
    <row r="14" spans="1:15" x14ac:dyDescent="0.3">
      <c r="A14" s="19">
        <v>43897.75</v>
      </c>
      <c r="B14" s="18" t="s">
        <v>24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8" t="s">
        <v>33</v>
      </c>
      <c r="O14" s="18" t="s">
        <v>34</v>
      </c>
    </row>
    <row r="15" spans="1:15" x14ac:dyDescent="0.3">
      <c r="A15" s="19">
        <v>43898.75</v>
      </c>
      <c r="B15" s="18" t="s">
        <v>24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8" t="s">
        <v>32</v>
      </c>
      <c r="O15" s="18" t="s">
        <v>32</v>
      </c>
    </row>
    <row r="16" spans="1:15" x14ac:dyDescent="0.3">
      <c r="A16" s="19">
        <v>43899.75</v>
      </c>
      <c r="B16" s="18" t="s">
        <v>24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8" t="s">
        <v>32</v>
      </c>
      <c r="O16" s="18" t="s">
        <v>32</v>
      </c>
    </row>
    <row r="17" spans="1:15" x14ac:dyDescent="0.3">
      <c r="A17" s="19">
        <v>43900.75</v>
      </c>
      <c r="B17" s="18" t="s">
        <v>24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8" t="s">
        <v>35</v>
      </c>
      <c r="O17" s="18" t="s">
        <v>36</v>
      </c>
    </row>
    <row r="18" spans="1:15" x14ac:dyDescent="0.3">
      <c r="A18" s="19">
        <v>43901.708333333336</v>
      </c>
      <c r="B18" s="18" t="s">
        <v>24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8" t="s">
        <v>37</v>
      </c>
      <c r="O18" s="18" t="s">
        <v>38</v>
      </c>
    </row>
    <row r="19" spans="1:15" x14ac:dyDescent="0.3">
      <c r="A19" s="19">
        <v>43902.708333333336</v>
      </c>
      <c r="B19" s="18" t="s">
        <v>24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8" t="s">
        <v>32</v>
      </c>
      <c r="O19" s="18" t="s">
        <v>32</v>
      </c>
    </row>
    <row r="20" spans="1:15" x14ac:dyDescent="0.3">
      <c r="A20" s="19">
        <v>43903.708333333336</v>
      </c>
      <c r="B20" s="18" t="s">
        <v>24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8" t="s">
        <v>32</v>
      </c>
      <c r="O20" s="18" t="s">
        <v>32</v>
      </c>
    </row>
    <row r="21" spans="1:15" x14ac:dyDescent="0.3">
      <c r="A21" s="19">
        <v>43904.708333333336</v>
      </c>
      <c r="B21" s="18" t="s">
        <v>24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8" t="s">
        <v>32</v>
      </c>
      <c r="O21" s="18" t="s">
        <v>32</v>
      </c>
    </row>
    <row r="22" spans="1:15" x14ac:dyDescent="0.3">
      <c r="A22" s="19">
        <v>43905.708333333336</v>
      </c>
      <c r="B22" s="18" t="s">
        <v>24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8" t="s">
        <v>32</v>
      </c>
      <c r="O22" s="18" t="s">
        <v>32</v>
      </c>
    </row>
    <row r="23" spans="1:15" x14ac:dyDescent="0.3">
      <c r="A23" s="19">
        <v>43906.708333333336</v>
      </c>
      <c r="B23" s="18" t="s">
        <v>24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8" t="s">
        <v>39</v>
      </c>
      <c r="O23" s="18" t="s">
        <v>40</v>
      </c>
    </row>
    <row r="24" spans="1:15" x14ac:dyDescent="0.3">
      <c r="A24" s="19">
        <v>43907.708333333336</v>
      </c>
      <c r="B24" s="18" t="s">
        <v>24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8" t="s">
        <v>41</v>
      </c>
      <c r="O24" s="18" t="s">
        <v>42</v>
      </c>
    </row>
    <row r="25" spans="1:15" x14ac:dyDescent="0.3">
      <c r="A25" s="19">
        <v>43908.708333333336</v>
      </c>
      <c r="B25" s="18" t="s">
        <v>24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8" t="s">
        <v>43</v>
      </c>
      <c r="O25" s="18" t="s">
        <v>44</v>
      </c>
    </row>
    <row r="26" spans="1:15" x14ac:dyDescent="0.3">
      <c r="A26" s="19">
        <v>43909.708333333336</v>
      </c>
      <c r="B26" s="18" t="s">
        <v>24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8" t="s">
        <v>32</v>
      </c>
      <c r="O26" s="18" t="s">
        <v>32</v>
      </c>
    </row>
    <row r="27" spans="1:15" x14ac:dyDescent="0.3">
      <c r="A27" s="19">
        <v>43910.708333333336</v>
      </c>
      <c r="B27" s="18" t="s">
        <v>24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8" t="s">
        <v>32</v>
      </c>
      <c r="O27" s="18" t="s">
        <v>32</v>
      </c>
    </row>
    <row r="28" spans="1:15" x14ac:dyDescent="0.3">
      <c r="A28" s="19">
        <v>43911.708333333336</v>
      </c>
      <c r="B28" s="18" t="s">
        <v>24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8" t="s">
        <v>32</v>
      </c>
      <c r="O28" s="18" t="s">
        <v>32</v>
      </c>
    </row>
    <row r="29" spans="1:15" x14ac:dyDescent="0.3">
      <c r="A29" s="19">
        <v>43912.708333333336</v>
      </c>
      <c r="B29" s="18" t="s">
        <v>24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8" t="s">
        <v>32</v>
      </c>
      <c r="O29" s="18" t="s">
        <v>32</v>
      </c>
    </row>
    <row r="30" spans="1:15" x14ac:dyDescent="0.3">
      <c r="A30" s="19">
        <v>43913.708333333336</v>
      </c>
      <c r="B30" s="18" t="s">
        <v>24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8" t="s">
        <v>32</v>
      </c>
      <c r="O30" s="18" t="s">
        <v>32</v>
      </c>
    </row>
    <row r="31" spans="1:15" x14ac:dyDescent="0.3">
      <c r="A31" s="19">
        <v>43914.708333333336</v>
      </c>
      <c r="B31" s="18" t="s">
        <v>24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8" t="s">
        <v>32</v>
      </c>
      <c r="O31" s="18" t="s">
        <v>32</v>
      </c>
    </row>
    <row r="32" spans="1:15" x14ac:dyDescent="0.3">
      <c r="A32" s="19">
        <v>43915.708333333336</v>
      </c>
      <c r="B32" s="18" t="s">
        <v>24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8" t="s">
        <v>32</v>
      </c>
      <c r="O32" s="18" t="s">
        <v>32</v>
      </c>
    </row>
    <row r="33" spans="1:15" x14ac:dyDescent="0.3">
      <c r="A33" s="19">
        <v>43916.708333333336</v>
      </c>
      <c r="B33" s="18" t="s">
        <v>24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8" t="s">
        <v>45</v>
      </c>
      <c r="O33" s="18" t="s">
        <v>46</v>
      </c>
    </row>
    <row r="34" spans="1:15" x14ac:dyDescent="0.3">
      <c r="A34" s="19">
        <v>43917.708333333336</v>
      </c>
      <c r="B34" s="18" t="s">
        <v>24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8" t="s">
        <v>32</v>
      </c>
      <c r="O34" s="18" t="s">
        <v>32</v>
      </c>
    </row>
    <row r="35" spans="1:15" x14ac:dyDescent="0.3">
      <c r="A35" s="19">
        <v>43918.708333333336</v>
      </c>
      <c r="B35" s="18" t="s">
        <v>24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8" t="s">
        <v>32</v>
      </c>
      <c r="O35" s="18" t="s">
        <v>32</v>
      </c>
    </row>
    <row r="36" spans="1:15" x14ac:dyDescent="0.3">
      <c r="A36" s="19">
        <v>43919.708333333336</v>
      </c>
      <c r="B36" s="18" t="s">
        <v>24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8" t="s">
        <v>51</v>
      </c>
      <c r="O36" s="18" t="s">
        <v>52</v>
      </c>
    </row>
    <row r="37" spans="1:15" x14ac:dyDescent="0.3">
      <c r="A37" s="19">
        <v>43920.708333333336</v>
      </c>
      <c r="B37" s="18" t="s">
        <v>24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8" t="s">
        <v>32</v>
      </c>
      <c r="O37" s="18" t="s">
        <v>32</v>
      </c>
    </row>
    <row r="38" spans="1:15" x14ac:dyDescent="0.3">
      <c r="A38" s="19">
        <v>43921.708333333336</v>
      </c>
      <c r="B38" s="18" t="s">
        <v>24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8" t="s">
        <v>32</v>
      </c>
      <c r="O38" s="18" t="s">
        <v>32</v>
      </c>
    </row>
    <row r="39" spans="1:15" x14ac:dyDescent="0.3">
      <c r="A39" s="19">
        <v>43922.708333333336</v>
      </c>
      <c r="B39" s="18" t="s">
        <v>24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8" t="s">
        <v>32</v>
      </c>
      <c r="O39" s="18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72"/>
  <sheetViews>
    <sheetView zoomScale="70" zoomScaleNormal="70" workbookViewId="0">
      <selection activeCell="AE14" sqref="AE14"/>
    </sheetView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5546875" style="2" bestFit="1" customWidth="1"/>
    <col min="5" max="5" width="11.77734375" style="2" bestFit="1" customWidth="1"/>
    <col min="6" max="6" width="10.21875" style="2" bestFit="1" customWidth="1"/>
    <col min="7" max="7" width="10.33203125" style="2" bestFit="1" customWidth="1"/>
    <col min="8" max="8" width="6.6640625" style="2" bestFit="1" customWidth="1"/>
    <col min="9" max="9" width="8.88671875" style="2" bestFit="1" customWidth="1"/>
    <col min="10" max="10" width="10.33203125" style="2" bestFit="1" customWidth="1"/>
    <col min="11" max="11" width="10.44140625" style="2" bestFit="1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2" t="s">
        <v>13</v>
      </c>
    </row>
    <row r="3" spans="2:18" ht="17.399999999999999" customHeight="1" x14ac:dyDescent="0.6">
      <c r="B3" s="13"/>
      <c r="C3" s="14"/>
      <c r="D3" s="14"/>
      <c r="E3" s="14"/>
      <c r="F3" s="14"/>
      <c r="H3" s="14"/>
      <c r="I3" s="14"/>
      <c r="J3" s="14"/>
      <c r="O3" s="21" t="s">
        <v>0</v>
      </c>
      <c r="P3" s="20" t="s">
        <v>55</v>
      </c>
      <c r="Q3" s="17"/>
      <c r="R3" s="17"/>
    </row>
    <row r="4" spans="2:18" ht="20.399999999999999" x14ac:dyDescent="0.35">
      <c r="B4" s="16" t="s">
        <v>25</v>
      </c>
      <c r="C4" s="15"/>
      <c r="D4" s="14"/>
      <c r="E4" s="14"/>
      <c r="F4" s="14"/>
      <c r="H4" s="14"/>
      <c r="I4" s="14"/>
      <c r="J4" s="14"/>
      <c r="O4" s="21" t="s">
        <v>26</v>
      </c>
      <c r="P4" s="20" t="s">
        <v>56</v>
      </c>
      <c r="Q4" s="17"/>
      <c r="R4" s="17"/>
    </row>
    <row r="5" spans="2:18" ht="18" x14ac:dyDescent="0.35">
      <c r="B5" s="16" t="s">
        <v>57</v>
      </c>
      <c r="C5" s="14"/>
      <c r="D5" s="14"/>
      <c r="E5" s="14"/>
      <c r="F5" s="14"/>
      <c r="H5" s="14"/>
      <c r="I5" s="14"/>
      <c r="J5" s="14"/>
      <c r="O5" s="21" t="s">
        <v>1</v>
      </c>
      <c r="P5" s="20" t="s">
        <v>58</v>
      </c>
      <c r="Q5" s="17"/>
      <c r="R5" s="17"/>
    </row>
    <row r="6" spans="2:18" x14ac:dyDescent="0.3">
      <c r="B6" s="4" t="s">
        <v>10</v>
      </c>
      <c r="C6" s="4" t="s">
        <v>11</v>
      </c>
      <c r="D6" s="4" t="s">
        <v>12</v>
      </c>
      <c r="E6" s="9" t="s">
        <v>47</v>
      </c>
      <c r="F6" s="9" t="s">
        <v>48</v>
      </c>
      <c r="G6" s="9" t="s">
        <v>49</v>
      </c>
      <c r="H6" s="4" t="s">
        <v>53</v>
      </c>
      <c r="I6" s="9" t="s">
        <v>54</v>
      </c>
      <c r="J6" s="9" t="s">
        <v>68</v>
      </c>
      <c r="K6" s="9" t="s">
        <v>69</v>
      </c>
      <c r="L6" s="9"/>
      <c r="M6" s="33" t="s">
        <v>50</v>
      </c>
      <c r="N6" s="3"/>
      <c r="O6" s="3"/>
    </row>
    <row r="7" spans="2:18" x14ac:dyDescent="0.3">
      <c r="B7" s="26">
        <v>43881</v>
      </c>
      <c r="C7" s="27">
        <v>1</v>
      </c>
      <c r="D7" s="28">
        <v>3</v>
      </c>
      <c r="E7" s="11">
        <f t="shared" ref="E7:E38" si="0">K/(1+EXP(-($C7-t0)/w))</f>
        <v>232.87149949883457</v>
      </c>
      <c r="F7" s="11">
        <f>E7+CI</f>
        <v>3075.7744019905958</v>
      </c>
      <c r="G7" s="11">
        <f>MAX(E7-CI,0)</f>
        <v>0</v>
      </c>
      <c r="H7" s="27">
        <v>0</v>
      </c>
      <c r="I7" s="11">
        <f t="shared" ref="I7:I38" si="1">Kh/(1+EXP(-($C7-t0h)/wh))</f>
        <v>14.200858695071741</v>
      </c>
      <c r="J7" s="11">
        <f t="shared" ref="J7:J47" si="2">I7+CIh</f>
        <v>514.98983089669139</v>
      </c>
      <c r="K7" s="11">
        <f t="shared" ref="K7:K46" si="3">MAX(I7-CIh,0)</f>
        <v>0</v>
      </c>
      <c r="L7" s="9"/>
      <c r="M7" s="22" t="s">
        <v>0</v>
      </c>
      <c r="N7" s="5">
        <v>119998</v>
      </c>
      <c r="O7" s="3"/>
    </row>
    <row r="8" spans="2:18" ht="15.6" x14ac:dyDescent="0.35">
      <c r="B8" s="26">
        <v>43882</v>
      </c>
      <c r="C8" s="27">
        <v>2</v>
      </c>
      <c r="D8" s="28">
        <v>20</v>
      </c>
      <c r="E8" s="11">
        <f t="shared" si="0"/>
        <v>284.69961283307862</v>
      </c>
      <c r="F8" s="11">
        <f>E8+CI</f>
        <v>3127.6025153248402</v>
      </c>
      <c r="G8" s="11">
        <f>MAX(E8-CI,0)</f>
        <v>0</v>
      </c>
      <c r="H8" s="27">
        <v>1</v>
      </c>
      <c r="I8" s="11">
        <f t="shared" si="1"/>
        <v>17.462247095345361</v>
      </c>
      <c r="J8" s="11">
        <f t="shared" si="2"/>
        <v>518.25121929696502</v>
      </c>
      <c r="K8" s="11">
        <f t="shared" si="3"/>
        <v>0</v>
      </c>
      <c r="L8" s="9"/>
      <c r="M8" s="22" t="s">
        <v>27</v>
      </c>
      <c r="N8" s="5">
        <v>32</v>
      </c>
      <c r="O8" s="3"/>
    </row>
    <row r="9" spans="2:18" x14ac:dyDescent="0.3">
      <c r="B9" s="26">
        <v>43883</v>
      </c>
      <c r="C9" s="27">
        <v>3</v>
      </c>
      <c r="D9" s="28">
        <v>62</v>
      </c>
      <c r="E9" s="11">
        <f t="shared" si="0"/>
        <v>348.02912313101069</v>
      </c>
      <c r="F9" s="11">
        <f>E9+CI</f>
        <v>3190.932025622772</v>
      </c>
      <c r="G9" s="11">
        <f>MAX(E9-CI,0)</f>
        <v>0</v>
      </c>
      <c r="H9" s="27">
        <v>2</v>
      </c>
      <c r="I9" s="11">
        <f t="shared" si="1"/>
        <v>21.471654154977067</v>
      </c>
      <c r="J9" s="11">
        <f t="shared" si="2"/>
        <v>522.26062635659673</v>
      </c>
      <c r="K9" s="11">
        <f t="shared" si="3"/>
        <v>0</v>
      </c>
      <c r="L9" s="9"/>
      <c r="M9" s="22" t="s">
        <v>1</v>
      </c>
      <c r="N9" s="25">
        <v>4.9657196794438159</v>
      </c>
      <c r="O9" s="3"/>
    </row>
    <row r="10" spans="2:18" x14ac:dyDescent="0.3">
      <c r="B10" s="26">
        <v>43884</v>
      </c>
      <c r="C10" s="27">
        <v>4</v>
      </c>
      <c r="D10" s="28">
        <v>155</v>
      </c>
      <c r="E10" s="11">
        <f t="shared" si="0"/>
        <v>425.3957979112617</v>
      </c>
      <c r="F10" s="11">
        <f>E10+CI</f>
        <v>3268.2987004030228</v>
      </c>
      <c r="G10" s="11">
        <f>MAX(E10-CI,0)</f>
        <v>0</v>
      </c>
      <c r="H10" s="27">
        <v>3</v>
      </c>
      <c r="I10" s="11">
        <f t="shared" si="1"/>
        <v>26.400132590796684</v>
      </c>
      <c r="J10" s="11">
        <f t="shared" si="2"/>
        <v>527.1891047924164</v>
      </c>
      <c r="K10" s="11">
        <f t="shared" si="3"/>
        <v>0</v>
      </c>
      <c r="L10" s="9"/>
      <c r="M10" s="6" t="s">
        <v>2</v>
      </c>
      <c r="N10" s="1">
        <f>AVERAGE(D7:D48)</f>
        <v>31527.452380952382</v>
      </c>
      <c r="O10" s="3"/>
    </row>
    <row r="11" spans="2:18" x14ac:dyDescent="0.3">
      <c r="B11" s="23">
        <v>43885</v>
      </c>
      <c r="C11" s="4">
        <v>5</v>
      </c>
      <c r="D11" s="11">
        <f>'dpc-covid19-ita-andamento-naz'!L2</f>
        <v>229</v>
      </c>
      <c r="E11" s="11">
        <f t="shared" si="0"/>
        <v>519.88631138372625</v>
      </c>
      <c r="F11" s="11">
        <f t="shared" ref="F11:F33" si="4">E11+CI</f>
        <v>3362.7892138754878</v>
      </c>
      <c r="G11" s="11">
        <f t="shared" ref="G11:G37" si="5">MAX(E11-CI,0)</f>
        <v>0</v>
      </c>
      <c r="H11" s="11">
        <f>'dpc-covid19-ita-andamento-naz'!K2</f>
        <v>7</v>
      </c>
      <c r="I11" s="11">
        <f t="shared" si="1"/>
        <v>32.457589816281889</v>
      </c>
      <c r="J11" s="11">
        <f t="shared" si="2"/>
        <v>533.24656201790162</v>
      </c>
      <c r="K11" s="11">
        <f t="shared" si="3"/>
        <v>0</v>
      </c>
      <c r="L11" s="1"/>
      <c r="M11" s="6" t="s">
        <v>3</v>
      </c>
      <c r="N11" s="1">
        <f>COUNT(D7:D48)-COUNT(N7:N9)</f>
        <v>39</v>
      </c>
    </row>
    <row r="12" spans="2:18" x14ac:dyDescent="0.3">
      <c r="B12" s="10">
        <v>43886</v>
      </c>
      <c r="C12" s="4">
        <v>6</v>
      </c>
      <c r="D12" s="11">
        <f>'dpc-covid19-ita-andamento-naz'!L3</f>
        <v>322</v>
      </c>
      <c r="E12" s="11">
        <f t="shared" si="0"/>
        <v>635.25390668426496</v>
      </c>
      <c r="F12" s="11">
        <f t="shared" si="4"/>
        <v>3478.1568091760264</v>
      </c>
      <c r="G12" s="11">
        <f t="shared" si="5"/>
        <v>0</v>
      </c>
      <c r="H12" s="11">
        <f>'dpc-covid19-ita-andamento-naz'!K3</f>
        <v>10</v>
      </c>
      <c r="I12" s="11">
        <f t="shared" si="1"/>
        <v>39.901480552039665</v>
      </c>
      <c r="J12" s="11">
        <f t="shared" si="2"/>
        <v>540.69045275365932</v>
      </c>
      <c r="K12" s="11">
        <f t="shared" si="3"/>
        <v>0</v>
      </c>
      <c r="L12" s="1"/>
      <c r="M12" s="6" t="s">
        <v>4</v>
      </c>
      <c r="N12" s="7" cm="1">
        <f t="array" ref="N12">SQRT(SUM((D7:D48-E7:E48)^2)/df)</f>
        <v>1405.5053465311921</v>
      </c>
    </row>
    <row r="13" spans="2:18" ht="16.2" x14ac:dyDescent="0.3">
      <c r="B13" s="10">
        <v>43887</v>
      </c>
      <c r="C13" s="4">
        <v>7</v>
      </c>
      <c r="D13" s="11">
        <f>'dpc-covid19-ita-andamento-naz'!L4</f>
        <v>400</v>
      </c>
      <c r="E13" s="11">
        <f t="shared" si="0"/>
        <v>776.05635234772046</v>
      </c>
      <c r="F13" s="11">
        <f t="shared" si="4"/>
        <v>3618.9592548394817</v>
      </c>
      <c r="G13" s="11">
        <f t="shared" si="5"/>
        <v>0</v>
      </c>
      <c r="H13" s="11">
        <f>'dpc-covid19-ita-andamento-naz'!K4</f>
        <v>12</v>
      </c>
      <c r="I13" s="11">
        <f t="shared" si="1"/>
        <v>49.047375971620873</v>
      </c>
      <c r="J13" s="11">
        <f t="shared" si="2"/>
        <v>549.83634817324059</v>
      </c>
      <c r="K13" s="11">
        <f t="shared" si="3"/>
        <v>0</v>
      </c>
      <c r="L13" s="1"/>
      <c r="M13" s="6" t="s">
        <v>5</v>
      </c>
      <c r="N13" s="8" cm="1">
        <f t="array" ref="N13">1-SUM((D7:D48-E7:E48)^2)/SUM((D7:D48-Mean_of_y)^2)</f>
        <v>0.99857057766972546</v>
      </c>
    </row>
    <row r="14" spans="2:18" x14ac:dyDescent="0.3">
      <c r="B14" s="10">
        <v>43888</v>
      </c>
      <c r="C14" s="4">
        <v>8</v>
      </c>
      <c r="D14" s="11">
        <f>'dpc-covid19-ita-andamento-naz'!L5</f>
        <v>650</v>
      </c>
      <c r="E14" s="11">
        <f t="shared" si="0"/>
        <v>947.81949296887899</v>
      </c>
      <c r="F14" s="11">
        <f t="shared" si="4"/>
        <v>3790.7223954606402</v>
      </c>
      <c r="G14" s="11">
        <f t="shared" si="5"/>
        <v>0</v>
      </c>
      <c r="H14" s="11">
        <f>'dpc-covid19-ita-andamento-naz'!K5</f>
        <v>17</v>
      </c>
      <c r="I14" s="11">
        <f t="shared" si="1"/>
        <v>60.281779389245848</v>
      </c>
      <c r="J14" s="11">
        <f t="shared" si="2"/>
        <v>561.07075159086548</v>
      </c>
      <c r="K14" s="11">
        <f t="shared" si="3"/>
        <v>0</v>
      </c>
      <c r="L14" s="1"/>
      <c r="M14" s="6" t="s">
        <v>6</v>
      </c>
      <c r="N14" s="8">
        <f>TINV(0.05,df)</f>
        <v>2.0226909200367595</v>
      </c>
    </row>
    <row r="15" spans="2:18" x14ac:dyDescent="0.3">
      <c r="B15" s="10">
        <v>43889</v>
      </c>
      <c r="C15" s="4">
        <v>9</v>
      </c>
      <c r="D15" s="11">
        <f>'dpc-covid19-ita-andamento-naz'!L6</f>
        <v>888</v>
      </c>
      <c r="E15" s="11">
        <f t="shared" si="0"/>
        <v>1157.2296538989933</v>
      </c>
      <c r="F15" s="11">
        <f t="shared" si="4"/>
        <v>4000.1325563907549</v>
      </c>
      <c r="G15" s="11">
        <f t="shared" si="5"/>
        <v>0</v>
      </c>
      <c r="H15" s="11">
        <f>'dpc-covid19-ita-andamento-naz'!K6</f>
        <v>21</v>
      </c>
      <c r="I15" s="11">
        <f t="shared" si="1"/>
        <v>74.077613014897196</v>
      </c>
      <c r="J15" s="11">
        <f t="shared" si="2"/>
        <v>574.86658521651691</v>
      </c>
      <c r="K15" s="11">
        <f t="shared" si="3"/>
        <v>0</v>
      </c>
      <c r="L15" s="1"/>
      <c r="M15" s="6" t="s">
        <v>7</v>
      </c>
      <c r="N15" s="1">
        <f>Critical_t*SE_of_y</f>
        <v>2842.9029024917613</v>
      </c>
    </row>
    <row r="16" spans="2:18" x14ac:dyDescent="0.3">
      <c r="B16" s="10">
        <v>43890</v>
      </c>
      <c r="C16" s="4">
        <v>10</v>
      </c>
      <c r="D16" s="11">
        <f>'dpc-covid19-ita-andamento-naz'!L7</f>
        <v>1128</v>
      </c>
      <c r="E16" s="11">
        <f t="shared" si="0"/>
        <v>1412.3577686438518</v>
      </c>
      <c r="F16" s="11">
        <f t="shared" si="4"/>
        <v>4255.2606711356129</v>
      </c>
      <c r="G16" s="11">
        <f t="shared" si="5"/>
        <v>0</v>
      </c>
      <c r="H16" s="11">
        <f>'dpc-covid19-ita-andamento-naz'!K7</f>
        <v>29</v>
      </c>
      <c r="I16" s="11">
        <f t="shared" si="1"/>
        <v>91.01285249023033</v>
      </c>
      <c r="J16" s="11">
        <f t="shared" si="2"/>
        <v>591.80182469185002</v>
      </c>
      <c r="K16" s="11">
        <f t="shared" si="3"/>
        <v>0</v>
      </c>
      <c r="L16" s="1"/>
      <c r="M16" s="6"/>
    </row>
    <row r="17" spans="2:14" x14ac:dyDescent="0.3">
      <c r="B17" s="23">
        <v>43891</v>
      </c>
      <c r="C17" s="4">
        <v>11</v>
      </c>
      <c r="D17" s="11">
        <f>'dpc-covid19-ita-andamento-naz'!L8</f>
        <v>1694</v>
      </c>
      <c r="E17" s="11">
        <f t="shared" si="0"/>
        <v>1722.9171408399056</v>
      </c>
      <c r="F17" s="11">
        <f t="shared" si="4"/>
        <v>4565.820043331667</v>
      </c>
      <c r="G17" s="11">
        <f t="shared" si="5"/>
        <v>0</v>
      </c>
      <c r="H17" s="11">
        <f>'dpc-covid19-ita-andamento-naz'!K8</f>
        <v>34</v>
      </c>
      <c r="I17" s="11">
        <f t="shared" si="1"/>
        <v>111.7928282853787</v>
      </c>
      <c r="J17" s="11">
        <f t="shared" si="2"/>
        <v>612.58180048699842</v>
      </c>
      <c r="K17" s="11">
        <f t="shared" si="3"/>
        <v>0</v>
      </c>
      <c r="L17" s="1"/>
      <c r="M17" s="24" t="s">
        <v>53</v>
      </c>
      <c r="N17" s="3"/>
    </row>
    <row r="18" spans="2:14" x14ac:dyDescent="0.3">
      <c r="B18" s="10">
        <v>43892</v>
      </c>
      <c r="C18" s="4">
        <v>12</v>
      </c>
      <c r="D18" s="11">
        <f>'dpc-covid19-ita-andamento-naz'!L9</f>
        <v>2036</v>
      </c>
      <c r="E18" s="11">
        <f t="shared" si="0"/>
        <v>2100.5549256544382</v>
      </c>
      <c r="F18" s="11">
        <f t="shared" si="4"/>
        <v>4943.4578281462</v>
      </c>
      <c r="G18" s="11">
        <f t="shared" si="5"/>
        <v>0</v>
      </c>
      <c r="H18" s="11">
        <f>'dpc-covid19-ita-andamento-naz'!K9</f>
        <v>52</v>
      </c>
      <c r="I18" s="11">
        <f t="shared" si="1"/>
        <v>137.27673335357048</v>
      </c>
      <c r="J18" s="11">
        <f t="shared" si="2"/>
        <v>638.06570555519011</v>
      </c>
      <c r="K18" s="11">
        <f t="shared" si="3"/>
        <v>0</v>
      </c>
      <c r="L18" s="1"/>
      <c r="M18" s="22" t="s">
        <v>0</v>
      </c>
      <c r="N18" s="5">
        <v>16158</v>
      </c>
    </row>
    <row r="19" spans="2:14" ht="15.6" x14ac:dyDescent="0.35">
      <c r="B19" s="10">
        <v>43893</v>
      </c>
      <c r="C19" s="4">
        <v>13</v>
      </c>
      <c r="D19" s="11">
        <f>'dpc-covid19-ita-andamento-naz'!L10</f>
        <v>2502</v>
      </c>
      <c r="E19" s="11">
        <f t="shared" si="0"/>
        <v>2559.1743005311578</v>
      </c>
      <c r="F19" s="11">
        <f t="shared" si="4"/>
        <v>5402.0772030229191</v>
      </c>
      <c r="G19" s="11">
        <f t="shared" si="5"/>
        <v>0</v>
      </c>
      <c r="H19" s="11">
        <f>'dpc-covid19-ita-andamento-naz'!K10</f>
        <v>79</v>
      </c>
      <c r="I19" s="11">
        <f t="shared" si="1"/>
        <v>168.50885554891522</v>
      </c>
      <c r="J19" s="11">
        <f t="shared" si="2"/>
        <v>669.29782775053491</v>
      </c>
      <c r="K19" s="11">
        <f t="shared" si="3"/>
        <v>0</v>
      </c>
      <c r="L19" s="1"/>
      <c r="M19" s="22" t="s">
        <v>27</v>
      </c>
      <c r="N19" s="5">
        <v>35</v>
      </c>
    </row>
    <row r="20" spans="2:14" x14ac:dyDescent="0.3">
      <c r="B20" s="10">
        <v>43894</v>
      </c>
      <c r="C20" s="4">
        <v>14</v>
      </c>
      <c r="D20" s="11">
        <f>'dpc-covid19-ita-andamento-naz'!L11</f>
        <v>3089</v>
      </c>
      <c r="E20" s="11">
        <f t="shared" si="0"/>
        <v>3115.2793441272706</v>
      </c>
      <c r="F20" s="11">
        <f t="shared" si="4"/>
        <v>5958.1822466190315</v>
      </c>
      <c r="G20" s="11">
        <f t="shared" si="5"/>
        <v>272.37644163550931</v>
      </c>
      <c r="H20" s="11">
        <f>'dpc-covid19-ita-andamento-naz'!K11</f>
        <v>107</v>
      </c>
      <c r="I20" s="11">
        <f t="shared" si="1"/>
        <v>206.75496220689871</v>
      </c>
      <c r="J20" s="11">
        <f t="shared" si="2"/>
        <v>707.54393440851845</v>
      </c>
      <c r="K20" s="11">
        <f t="shared" si="3"/>
        <v>0</v>
      </c>
      <c r="L20" s="1"/>
      <c r="M20" s="22" t="s">
        <v>1</v>
      </c>
      <c r="N20" s="25">
        <v>4.8322987208794759</v>
      </c>
    </row>
    <row r="21" spans="2:14" x14ac:dyDescent="0.3">
      <c r="B21" s="23">
        <v>43895</v>
      </c>
      <c r="C21" s="4">
        <v>15</v>
      </c>
      <c r="D21" s="11">
        <f>'dpc-covid19-ita-andamento-naz'!L12</f>
        <v>3858</v>
      </c>
      <c r="E21" s="11">
        <f t="shared" si="0"/>
        <v>3788.3271766861785</v>
      </c>
      <c r="F21" s="11">
        <f t="shared" si="4"/>
        <v>6631.2300791779398</v>
      </c>
      <c r="G21" s="11">
        <f t="shared" si="5"/>
        <v>945.42427419441719</v>
      </c>
      <c r="H21" s="11">
        <f>'dpc-covid19-ita-andamento-naz'!K12</f>
        <v>148</v>
      </c>
      <c r="I21" s="11">
        <f t="shared" si="1"/>
        <v>253.54406044444448</v>
      </c>
      <c r="J21" s="11">
        <f t="shared" si="2"/>
        <v>754.33303264606411</v>
      </c>
      <c r="K21" s="11">
        <f t="shared" si="3"/>
        <v>0</v>
      </c>
      <c r="L21" s="1"/>
      <c r="M21" s="2" t="s">
        <v>2</v>
      </c>
      <c r="N21" s="1">
        <f>AVERAGE(H7:H48)</f>
        <v>3091.0238095238096</v>
      </c>
    </row>
    <row r="22" spans="2:14" x14ac:dyDescent="0.3">
      <c r="B22" s="10">
        <v>43896</v>
      </c>
      <c r="C22" s="4">
        <v>16</v>
      </c>
      <c r="D22" s="11">
        <f>'dpc-covid19-ita-andamento-naz'!L13</f>
        <v>4636</v>
      </c>
      <c r="E22" s="11">
        <f t="shared" si="0"/>
        <v>4601.0611681390028</v>
      </c>
      <c r="F22" s="11">
        <f t="shared" si="4"/>
        <v>7443.9640706307637</v>
      </c>
      <c r="G22" s="11">
        <f t="shared" si="5"/>
        <v>1758.1582656472415</v>
      </c>
      <c r="H22" s="11">
        <f>'dpc-covid19-ita-andamento-naz'!K13</f>
        <v>197</v>
      </c>
      <c r="I22" s="11">
        <f t="shared" si="1"/>
        <v>310.71537989806387</v>
      </c>
      <c r="J22" s="11">
        <f t="shared" si="2"/>
        <v>811.5043520996835</v>
      </c>
      <c r="K22" s="11">
        <f t="shared" si="3"/>
        <v>0</v>
      </c>
      <c r="L22" s="1"/>
      <c r="M22" s="2" t="s">
        <v>3</v>
      </c>
      <c r="N22" s="1">
        <f>COUNT(H7:H48)-COUNT(N18:N20)</f>
        <v>39</v>
      </c>
    </row>
    <row r="23" spans="2:14" x14ac:dyDescent="0.3">
      <c r="B23" s="10">
        <v>43897</v>
      </c>
      <c r="C23" s="4">
        <v>17</v>
      </c>
      <c r="D23" s="11">
        <f>'dpc-covid19-ita-andamento-naz'!L14</f>
        <v>5883</v>
      </c>
      <c r="E23" s="11">
        <f t="shared" si="0"/>
        <v>5579.7842574966007</v>
      </c>
      <c r="F23" s="11">
        <f t="shared" si="4"/>
        <v>8422.6871599883616</v>
      </c>
      <c r="G23" s="11">
        <f t="shared" si="5"/>
        <v>2736.8813550048394</v>
      </c>
      <c r="H23" s="11">
        <f>'dpc-covid19-ita-andamento-naz'!K14</f>
        <v>233</v>
      </c>
      <c r="I23" s="11">
        <f t="shared" si="1"/>
        <v>380.46979271001271</v>
      </c>
      <c r="J23" s="11">
        <f t="shared" si="2"/>
        <v>881.2587649116324</v>
      </c>
      <c r="K23" s="11">
        <f t="shared" si="3"/>
        <v>0</v>
      </c>
      <c r="L23" s="1"/>
      <c r="M23" s="2" t="s">
        <v>4</v>
      </c>
      <c r="N23" s="7" cm="1">
        <f t="array" ref="N23">SQRT(SUM((H7:H48-I7:I48)^2)/dfh)</f>
        <v>247.58551454441618</v>
      </c>
    </row>
    <row r="24" spans="2:14" ht="16.2" x14ac:dyDescent="0.3">
      <c r="B24" s="23">
        <v>43898</v>
      </c>
      <c r="C24" s="4">
        <v>18</v>
      </c>
      <c r="D24" s="11">
        <f>'dpc-covid19-ita-andamento-naz'!L15</f>
        <v>7375</v>
      </c>
      <c r="E24" s="11">
        <f t="shared" si="0"/>
        <v>6754.5122024339671</v>
      </c>
      <c r="F24" s="11">
        <f t="shared" si="4"/>
        <v>9597.4151049257289</v>
      </c>
      <c r="G24" s="11">
        <f t="shared" si="5"/>
        <v>3911.6092999422058</v>
      </c>
      <c r="H24" s="11">
        <f>'dpc-covid19-ita-andamento-naz'!K15</f>
        <v>366</v>
      </c>
      <c r="I24" s="11">
        <f t="shared" si="1"/>
        <v>465.42389237284539</v>
      </c>
      <c r="J24" s="11">
        <f t="shared" si="2"/>
        <v>966.21286457446513</v>
      </c>
      <c r="K24" s="11">
        <f t="shared" si="3"/>
        <v>0</v>
      </c>
      <c r="L24" s="1"/>
      <c r="M24" s="2" t="s">
        <v>5</v>
      </c>
      <c r="N24" s="8" cm="1">
        <f t="array" ref="N24">1-SUM((H7:H48-I7:I48)^2)/SUM((H7:H48-Mean_of_yh)^2)</f>
        <v>0.99647146618641147</v>
      </c>
    </row>
    <row r="25" spans="2:14" x14ac:dyDescent="0.3">
      <c r="B25" s="10">
        <v>43899</v>
      </c>
      <c r="C25" s="4">
        <v>19</v>
      </c>
      <c r="D25" s="11">
        <f>'dpc-covid19-ita-andamento-naz'!L16</f>
        <v>9172</v>
      </c>
      <c r="E25" s="11">
        <f t="shared" si="0"/>
        <v>8158.9231949340337</v>
      </c>
      <c r="F25" s="11">
        <f t="shared" si="4"/>
        <v>11001.826097425796</v>
      </c>
      <c r="G25" s="11">
        <f t="shared" si="5"/>
        <v>5316.020292442272</v>
      </c>
      <c r="H25" s="11">
        <f>'dpc-covid19-ita-andamento-naz'!K16</f>
        <v>463</v>
      </c>
      <c r="I25" s="11">
        <f t="shared" si="1"/>
        <v>568.66347079162597</v>
      </c>
      <c r="J25" s="11">
        <f t="shared" si="2"/>
        <v>1069.4524429932458</v>
      </c>
      <c r="K25" s="11">
        <f t="shared" si="3"/>
        <v>67.874498590006283</v>
      </c>
      <c r="L25" s="1"/>
      <c r="M25" s="2" t="s">
        <v>6</v>
      </c>
      <c r="N25" s="8">
        <f>TINV(0.05,dfh)</f>
        <v>2.0226909200367595</v>
      </c>
    </row>
    <row r="26" spans="2:14" x14ac:dyDescent="0.3">
      <c r="B26" s="23">
        <v>43900</v>
      </c>
      <c r="C26" s="4">
        <v>20</v>
      </c>
      <c r="D26" s="11">
        <f>'dpc-covid19-ita-andamento-naz'!L17</f>
        <v>10149</v>
      </c>
      <c r="E26" s="11">
        <f t="shared" si="0"/>
        <v>9829.9945231236798</v>
      </c>
      <c r="F26" s="11">
        <f t="shared" si="4"/>
        <v>12672.897425615442</v>
      </c>
      <c r="G26" s="11">
        <f t="shared" si="5"/>
        <v>6987.091620631918</v>
      </c>
      <c r="H26" s="11">
        <f>'dpc-covid19-ita-andamento-naz'!K17</f>
        <v>631</v>
      </c>
      <c r="I26" s="11">
        <f t="shared" si="1"/>
        <v>693.79102549603419</v>
      </c>
      <c r="J26" s="11">
        <f t="shared" si="2"/>
        <v>1194.5799976976539</v>
      </c>
      <c r="K26" s="11">
        <f t="shared" si="3"/>
        <v>193.00205329441451</v>
      </c>
      <c r="L26" s="1"/>
      <c r="M26" s="2" t="s">
        <v>7</v>
      </c>
      <c r="N26" s="1">
        <f>Critical_th*SE_of_yh</f>
        <v>500.78897220161969</v>
      </c>
    </row>
    <row r="27" spans="2:14" x14ac:dyDescent="0.3">
      <c r="B27" s="10">
        <v>43901</v>
      </c>
      <c r="C27" s="4">
        <v>21</v>
      </c>
      <c r="D27" s="11">
        <f>'dpc-covid19-ita-andamento-naz'!L18</f>
        <v>12462</v>
      </c>
      <c r="E27" s="11">
        <f t="shared" si="0"/>
        <v>11807.193111250645</v>
      </c>
      <c r="F27" s="11">
        <f t="shared" si="4"/>
        <v>14650.096013742406</v>
      </c>
      <c r="G27" s="11">
        <f t="shared" si="5"/>
        <v>8964.2902087588827</v>
      </c>
      <c r="H27" s="11">
        <f>'dpc-covid19-ita-andamento-naz'!K18</f>
        <v>827</v>
      </c>
      <c r="I27" s="11">
        <f t="shared" si="1"/>
        <v>844.95908454137725</v>
      </c>
      <c r="J27" s="11">
        <f t="shared" si="2"/>
        <v>1345.7480567429971</v>
      </c>
      <c r="K27" s="11">
        <f t="shared" si="3"/>
        <v>344.17011233975757</v>
      </c>
      <c r="L27" s="1"/>
      <c r="M27" s="6"/>
    </row>
    <row r="28" spans="2:14" x14ac:dyDescent="0.3">
      <c r="B28" s="23">
        <v>43902</v>
      </c>
      <c r="C28" s="4">
        <v>22</v>
      </c>
      <c r="D28" s="11">
        <f>'dpc-covid19-ita-andamento-naz'!L19</f>
        <v>15113</v>
      </c>
      <c r="E28" s="11">
        <f t="shared" si="0"/>
        <v>14131.072747994009</v>
      </c>
      <c r="F28" s="11">
        <f t="shared" si="4"/>
        <v>16973.975650485769</v>
      </c>
      <c r="G28" s="11">
        <f t="shared" si="5"/>
        <v>11288.169845502247</v>
      </c>
      <c r="H28" s="11">
        <f>'dpc-covid19-ita-andamento-naz'!K19</f>
        <v>1016</v>
      </c>
      <c r="I28" s="11">
        <f t="shared" si="1"/>
        <v>1026.8775325095316</v>
      </c>
      <c r="J28" s="11">
        <f t="shared" si="2"/>
        <v>1527.6665047111514</v>
      </c>
      <c r="K28" s="11">
        <f t="shared" si="3"/>
        <v>526.08856030791196</v>
      </c>
      <c r="L28" s="1"/>
      <c r="M28" s="6"/>
    </row>
    <row r="29" spans="2:14" x14ac:dyDescent="0.3">
      <c r="B29" s="10">
        <v>43903</v>
      </c>
      <c r="C29" s="4">
        <v>23</v>
      </c>
      <c r="D29" s="11">
        <f>'dpc-covid19-ita-andamento-naz'!L20</f>
        <v>17660</v>
      </c>
      <c r="E29" s="11">
        <f t="shared" si="0"/>
        <v>16841.138991005315</v>
      </c>
      <c r="F29" s="11">
        <f t="shared" si="4"/>
        <v>19684.041893497077</v>
      </c>
      <c r="G29" s="11">
        <f t="shared" si="5"/>
        <v>13998.236088513553</v>
      </c>
      <c r="H29" s="11">
        <f>'dpc-covid19-ita-andamento-naz'!K20</f>
        <v>1266</v>
      </c>
      <c r="I29" s="11">
        <f t="shared" si="1"/>
        <v>1244.7789340984782</v>
      </c>
      <c r="J29" s="11">
        <f t="shared" si="2"/>
        <v>1745.567906300098</v>
      </c>
      <c r="K29" s="11">
        <f t="shared" si="3"/>
        <v>743.98996189685852</v>
      </c>
      <c r="L29" s="1"/>
    </row>
    <row r="30" spans="2:14" x14ac:dyDescent="0.3">
      <c r="B30" s="10">
        <v>43904</v>
      </c>
      <c r="C30" s="4">
        <v>24</v>
      </c>
      <c r="D30" s="11">
        <f>'dpc-covid19-ita-andamento-naz'!L21</f>
        <v>21157</v>
      </c>
      <c r="E30" s="11">
        <f t="shared" si="0"/>
        <v>19972.889495142099</v>
      </c>
      <c r="F30" s="11">
        <f t="shared" si="4"/>
        <v>22815.792397633861</v>
      </c>
      <c r="G30" s="11">
        <f t="shared" si="5"/>
        <v>17129.986592650337</v>
      </c>
      <c r="H30" s="11">
        <f>'dpc-covid19-ita-andamento-naz'!K21</f>
        <v>1441</v>
      </c>
      <c r="I30" s="11">
        <f t="shared" si="1"/>
        <v>1504.3216240560641</v>
      </c>
      <c r="J30" s="11">
        <f t="shared" si="2"/>
        <v>2005.1105962576839</v>
      </c>
      <c r="K30" s="11">
        <f t="shared" si="3"/>
        <v>1003.5326518544445</v>
      </c>
      <c r="L30" s="1"/>
    </row>
    <row r="31" spans="2:14" x14ac:dyDescent="0.3">
      <c r="B31" s="10">
        <v>43905</v>
      </c>
      <c r="C31" s="4">
        <v>25</v>
      </c>
      <c r="D31" s="11">
        <f>'dpc-covid19-ita-andamento-naz'!L22</f>
        <v>24747</v>
      </c>
      <c r="E31" s="11">
        <f t="shared" si="0"/>
        <v>23554.040127068372</v>
      </c>
      <c r="F31" s="11">
        <f t="shared" si="4"/>
        <v>26396.943029560134</v>
      </c>
      <c r="G31" s="11">
        <f t="shared" si="5"/>
        <v>20711.137224576611</v>
      </c>
      <c r="H31" s="11">
        <f>'dpc-covid19-ita-andamento-naz'!K22</f>
        <v>1809</v>
      </c>
      <c r="I31" s="11">
        <f t="shared" si="1"/>
        <v>1811.4071783383745</v>
      </c>
      <c r="J31" s="11">
        <f t="shared" si="2"/>
        <v>2312.1961505399941</v>
      </c>
      <c r="K31" s="11">
        <f t="shared" si="3"/>
        <v>1310.6182061367549</v>
      </c>
      <c r="L31" s="1"/>
    </row>
    <row r="32" spans="2:14" x14ac:dyDescent="0.3">
      <c r="B32" s="10">
        <v>43906</v>
      </c>
      <c r="C32" s="4">
        <v>26</v>
      </c>
      <c r="D32" s="11">
        <f>'dpc-covid19-ita-andamento-naz'!L23</f>
        <v>27980</v>
      </c>
      <c r="E32" s="11">
        <f t="shared" si="0"/>
        <v>27600.116622047863</v>
      </c>
      <c r="F32" s="11">
        <f t="shared" si="4"/>
        <v>30443.019524539624</v>
      </c>
      <c r="G32" s="11">
        <f t="shared" si="5"/>
        <v>24757.213719556101</v>
      </c>
      <c r="H32" s="11">
        <f>'dpc-covid19-ita-andamento-naz'!K23</f>
        <v>2158</v>
      </c>
      <c r="I32" s="11">
        <f t="shared" si="1"/>
        <v>2171.8886781830465</v>
      </c>
      <c r="J32" s="11">
        <f t="shared" si="2"/>
        <v>2672.6776503846663</v>
      </c>
      <c r="K32" s="11">
        <f t="shared" si="3"/>
        <v>1671.0997059814267</v>
      </c>
      <c r="L32" s="1"/>
    </row>
    <row r="33" spans="2:17" x14ac:dyDescent="0.3">
      <c r="B33" s="10">
        <v>43907</v>
      </c>
      <c r="C33" s="4">
        <v>27</v>
      </c>
      <c r="D33" s="11">
        <f>'dpc-covid19-ita-andamento-naz'!L24</f>
        <v>31506</v>
      </c>
      <c r="E33" s="11">
        <f t="shared" si="0"/>
        <v>32109.820660359823</v>
      </c>
      <c r="F33" s="11">
        <f t="shared" si="4"/>
        <v>34952.723562851585</v>
      </c>
      <c r="G33" s="11">
        <f t="shared" si="5"/>
        <v>29266.917757868061</v>
      </c>
      <c r="H33" s="11">
        <f>'dpc-covid19-ita-andamento-naz'!K24</f>
        <v>2503</v>
      </c>
      <c r="I33" s="11">
        <f t="shared" si="1"/>
        <v>2591.1515935608631</v>
      </c>
      <c r="J33" s="11">
        <f t="shared" si="2"/>
        <v>3091.9405657624829</v>
      </c>
      <c r="K33" s="11">
        <f t="shared" si="3"/>
        <v>2090.3626213592433</v>
      </c>
      <c r="L33" s="1"/>
    </row>
    <row r="34" spans="2:17" x14ac:dyDescent="0.3">
      <c r="B34" s="10">
        <v>43908</v>
      </c>
      <c r="C34" s="4">
        <v>28</v>
      </c>
      <c r="D34" s="11">
        <f>'dpc-covid19-ita-andamento-naz'!L25</f>
        <v>35713</v>
      </c>
      <c r="E34" s="11">
        <f t="shared" si="0"/>
        <v>37060.830027771583</v>
      </c>
      <c r="F34" s="11">
        <f t="shared" ref="F34:F48" si="6">E34+CI</f>
        <v>39903.732930263344</v>
      </c>
      <c r="G34" s="11">
        <f t="shared" si="5"/>
        <v>34217.927125279821</v>
      </c>
      <c r="H34" s="11">
        <f>'dpc-covid19-ita-andamento-naz'!K25</f>
        <v>2978</v>
      </c>
      <c r="I34" s="11">
        <f t="shared" si="1"/>
        <v>3073.5632255363462</v>
      </c>
      <c r="J34" s="11">
        <f t="shared" si="2"/>
        <v>3574.352197737966</v>
      </c>
      <c r="K34" s="11">
        <f t="shared" si="3"/>
        <v>2572.7742533347264</v>
      </c>
      <c r="Q34" s="1"/>
    </row>
    <row r="35" spans="2:17" x14ac:dyDescent="0.3">
      <c r="B35" s="10">
        <v>43909</v>
      </c>
      <c r="C35" s="4">
        <v>29</v>
      </c>
      <c r="D35" s="11">
        <f>'dpc-covid19-ita-andamento-naz'!L26</f>
        <v>41035</v>
      </c>
      <c r="E35" s="11">
        <f t="shared" si="0"/>
        <v>42406.889265126782</v>
      </c>
      <c r="F35" s="11">
        <f t="shared" si="6"/>
        <v>45249.792167618543</v>
      </c>
      <c r="G35" s="11">
        <f t="shared" si="5"/>
        <v>39563.98636263502</v>
      </c>
      <c r="H35" s="11">
        <f>'dpc-covid19-ita-andamento-naz'!K26</f>
        <v>3405</v>
      </c>
      <c r="I35" s="11">
        <f t="shared" si="1"/>
        <v>3621.8118723210264</v>
      </c>
      <c r="J35" s="11">
        <f t="shared" si="2"/>
        <v>4122.6008445226462</v>
      </c>
      <c r="K35" s="11">
        <f t="shared" si="3"/>
        <v>3121.0229001194066</v>
      </c>
    </row>
    <row r="36" spans="2:17" x14ac:dyDescent="0.3">
      <c r="B36" s="10">
        <v>43910</v>
      </c>
      <c r="C36" s="4">
        <v>30</v>
      </c>
      <c r="D36" s="11">
        <f>'dpc-covid19-ita-andamento-naz'!L27</f>
        <v>47021</v>
      </c>
      <c r="E36" s="11">
        <f t="shared" si="0"/>
        <v>48077.087725696008</v>
      </c>
      <c r="F36" s="11">
        <f t="shared" si="6"/>
        <v>50919.99062818777</v>
      </c>
      <c r="G36" s="11">
        <f t="shared" si="5"/>
        <v>45234.184823204247</v>
      </c>
      <c r="H36" s="11">
        <f>'dpc-covid19-ita-andamento-naz'!K27</f>
        <v>4032</v>
      </c>
      <c r="I36" s="11">
        <f t="shared" si="1"/>
        <v>4236.1930327352002</v>
      </c>
      <c r="J36" s="11">
        <f t="shared" si="2"/>
        <v>4736.98200493682</v>
      </c>
      <c r="K36" s="11">
        <f t="shared" si="3"/>
        <v>3735.4040605335804</v>
      </c>
    </row>
    <row r="37" spans="2:17" x14ac:dyDescent="0.3">
      <c r="B37" s="10">
        <v>43911</v>
      </c>
      <c r="C37" s="4">
        <v>31</v>
      </c>
      <c r="D37" s="11">
        <f>'dpc-covid19-ita-andamento-naz'!L28</f>
        <v>53578</v>
      </c>
      <c r="E37" s="11">
        <f t="shared" si="0"/>
        <v>53978.014594373482</v>
      </c>
      <c r="F37" s="11">
        <f t="shared" si="6"/>
        <v>56820.917496865244</v>
      </c>
      <c r="G37" s="11">
        <f t="shared" si="5"/>
        <v>51135.111691881721</v>
      </c>
      <c r="H37" s="11">
        <f>'dpc-covid19-ita-andamento-naz'!K28</f>
        <v>4825</v>
      </c>
      <c r="I37" s="11">
        <f t="shared" si="1"/>
        <v>4913.9418093760596</v>
      </c>
      <c r="J37" s="11">
        <f t="shared" si="2"/>
        <v>5414.7307815776794</v>
      </c>
      <c r="K37" s="11">
        <f t="shared" si="3"/>
        <v>4413.1528371744398</v>
      </c>
    </row>
    <row r="38" spans="2:17" x14ac:dyDescent="0.3">
      <c r="B38" s="10">
        <v>43912</v>
      </c>
      <c r="C38" s="4">
        <v>32</v>
      </c>
      <c r="D38" s="11">
        <f>'dpc-covid19-ita-andamento-naz'!L29</f>
        <v>59138</v>
      </c>
      <c r="E38" s="11">
        <f t="shared" si="0"/>
        <v>59999</v>
      </c>
      <c r="F38" s="11">
        <f t="shared" si="6"/>
        <v>62841.902902491762</v>
      </c>
      <c r="G38" s="11">
        <f t="shared" ref="G38:G48" si="7">MAX(E38-CI,0)</f>
        <v>57156.097097508238</v>
      </c>
      <c r="H38" s="11">
        <f>'dpc-covid19-ita-andamento-naz'!K29</f>
        <v>5476</v>
      </c>
      <c r="I38" s="11">
        <f t="shared" si="1"/>
        <v>5648.7463000881116</v>
      </c>
      <c r="J38" s="11">
        <f t="shared" si="2"/>
        <v>6149.5352722897314</v>
      </c>
      <c r="K38" s="11">
        <f t="shared" si="3"/>
        <v>5147.9573278864918</v>
      </c>
    </row>
    <row r="39" spans="2:17" x14ac:dyDescent="0.3">
      <c r="B39" s="23">
        <v>43913</v>
      </c>
      <c r="C39" s="4">
        <v>33</v>
      </c>
      <c r="D39" s="11">
        <f>'dpc-covid19-ita-andamento-naz'!L30</f>
        <v>63927</v>
      </c>
      <c r="E39" s="11">
        <f t="shared" ref="E39:E70" si="8">K/(1+EXP(-($C39-t0)/w))</f>
        <v>66019.985405626518</v>
      </c>
      <c r="F39" s="11">
        <f t="shared" si="6"/>
        <v>68862.888308118272</v>
      </c>
      <c r="G39" s="11">
        <f t="shared" si="7"/>
        <v>63177.082503134756</v>
      </c>
      <c r="H39" s="11">
        <f>'dpc-covid19-ita-andamento-naz'!K30</f>
        <v>6077</v>
      </c>
      <c r="I39" s="11">
        <f t="shared" ref="I39:I70" si="9">Kh/(1+EXP(-($C39-t0h)/wh))</f>
        <v>6430.5887776394038</v>
      </c>
      <c r="J39" s="11">
        <f t="shared" si="2"/>
        <v>6931.3777498410236</v>
      </c>
      <c r="K39" s="11">
        <f t="shared" si="3"/>
        <v>5929.799805437784</v>
      </c>
    </row>
    <row r="40" spans="2:17" x14ac:dyDescent="0.3">
      <c r="B40" s="10">
        <v>43914</v>
      </c>
      <c r="C40" s="4">
        <v>34</v>
      </c>
      <c r="D40" s="11">
        <f>'dpc-covid19-ita-andamento-naz'!L31</f>
        <v>69176</v>
      </c>
      <c r="E40" s="11">
        <f t="shared" si="8"/>
        <v>71920.912274303992</v>
      </c>
      <c r="F40" s="11">
        <f t="shared" si="6"/>
        <v>74763.815176795746</v>
      </c>
      <c r="G40" s="11">
        <f t="shared" si="7"/>
        <v>69078.009371812237</v>
      </c>
      <c r="H40" s="11">
        <f>'dpc-covid19-ita-andamento-naz'!K31</f>
        <v>6820</v>
      </c>
      <c r="I40" s="11">
        <f t="shared" si="9"/>
        <v>7246.032938411965</v>
      </c>
      <c r="J40" s="11">
        <f t="shared" si="2"/>
        <v>7746.8219106135848</v>
      </c>
      <c r="K40" s="11">
        <f t="shared" si="3"/>
        <v>6745.2439662103452</v>
      </c>
    </row>
    <row r="41" spans="2:17" x14ac:dyDescent="0.3">
      <c r="B41" s="10">
        <v>43915</v>
      </c>
      <c r="C41" s="4">
        <v>35</v>
      </c>
      <c r="D41" s="11">
        <f>'dpc-covid19-ita-andamento-naz'!L32</f>
        <v>74386</v>
      </c>
      <c r="E41" s="11">
        <f t="shared" si="8"/>
        <v>77591.110734873218</v>
      </c>
      <c r="F41" s="11">
        <f t="shared" si="6"/>
        <v>80434.013637364973</v>
      </c>
      <c r="G41" s="11">
        <f t="shared" si="7"/>
        <v>74748.207832381464</v>
      </c>
      <c r="H41" s="11">
        <f>'dpc-covid19-ita-andamento-naz'!K32</f>
        <v>7503</v>
      </c>
      <c r="I41" s="11">
        <f t="shared" si="9"/>
        <v>8079</v>
      </c>
      <c r="J41" s="11">
        <f t="shared" si="2"/>
        <v>8579.7889722016189</v>
      </c>
      <c r="K41" s="11">
        <f t="shared" si="3"/>
        <v>7578.2110277983802</v>
      </c>
    </row>
    <row r="42" spans="2:17" x14ac:dyDescent="0.3">
      <c r="B42" s="10">
        <v>43916</v>
      </c>
      <c r="C42" s="4">
        <v>36</v>
      </c>
      <c r="D42" s="11">
        <f>'dpc-covid19-ita-andamento-naz'!L33</f>
        <v>80539</v>
      </c>
      <c r="E42" s="11">
        <f t="shared" si="8"/>
        <v>82937.16997222841</v>
      </c>
      <c r="F42" s="11">
        <f t="shared" si="6"/>
        <v>85780.072874720165</v>
      </c>
      <c r="G42" s="11">
        <f t="shared" si="7"/>
        <v>80094.267069736656</v>
      </c>
      <c r="H42" s="11">
        <f>'dpc-covid19-ita-andamento-naz'!K33</f>
        <v>8165</v>
      </c>
      <c r="I42" s="11">
        <f t="shared" si="9"/>
        <v>8911.967061588035</v>
      </c>
      <c r="J42" s="11">
        <f t="shared" si="2"/>
        <v>9412.7560337896539</v>
      </c>
      <c r="K42" s="11">
        <f t="shared" si="3"/>
        <v>8411.1780893864161</v>
      </c>
    </row>
    <row r="43" spans="2:17" x14ac:dyDescent="0.3">
      <c r="B43" s="10">
        <v>43917</v>
      </c>
      <c r="C43" s="4">
        <v>37</v>
      </c>
      <c r="D43" s="11">
        <f>'dpc-covid19-ita-andamento-naz'!L34</f>
        <v>86498</v>
      </c>
      <c r="E43" s="11">
        <f t="shared" si="8"/>
        <v>87888.179339640177</v>
      </c>
      <c r="F43" s="11">
        <f t="shared" si="6"/>
        <v>90731.082242131932</v>
      </c>
      <c r="G43" s="11">
        <f t="shared" si="7"/>
        <v>85045.276437148423</v>
      </c>
      <c r="H43" s="11">
        <f>'dpc-covid19-ita-andamento-naz'!K34</f>
        <v>9134</v>
      </c>
      <c r="I43" s="11">
        <f t="shared" si="9"/>
        <v>9727.4112223605971</v>
      </c>
      <c r="J43" s="11">
        <f t="shared" si="2"/>
        <v>10228.200194562216</v>
      </c>
      <c r="K43" s="11">
        <f t="shared" si="3"/>
        <v>9226.6222501589782</v>
      </c>
    </row>
    <row r="44" spans="2:17" x14ac:dyDescent="0.3">
      <c r="B44" s="10">
        <v>43918</v>
      </c>
      <c r="C44" s="4">
        <v>38</v>
      </c>
      <c r="D44" s="11">
        <f>'dpc-covid19-ita-andamento-naz'!L35</f>
        <v>92472</v>
      </c>
      <c r="E44" s="11">
        <f t="shared" si="8"/>
        <v>92397.883377952137</v>
      </c>
      <c r="F44" s="11">
        <f t="shared" si="6"/>
        <v>95240.786280443892</v>
      </c>
      <c r="G44" s="11">
        <f t="shared" si="7"/>
        <v>89554.980475460383</v>
      </c>
      <c r="H44" s="11">
        <f>'dpc-covid19-ita-andamento-naz'!K35</f>
        <v>10023</v>
      </c>
      <c r="I44" s="11">
        <f t="shared" si="9"/>
        <v>10509.253699911887</v>
      </c>
      <c r="J44" s="11">
        <f t="shared" si="2"/>
        <v>11010.042672113506</v>
      </c>
      <c r="K44" s="11">
        <f t="shared" si="3"/>
        <v>10008.464727710269</v>
      </c>
    </row>
    <row r="45" spans="2:17" x14ac:dyDescent="0.3">
      <c r="B45" s="10">
        <v>43919</v>
      </c>
      <c r="C45" s="4">
        <v>39</v>
      </c>
      <c r="D45" s="11">
        <f>'dpc-covid19-ita-andamento-naz'!L36</f>
        <v>97689</v>
      </c>
      <c r="E45" s="11">
        <f t="shared" si="8"/>
        <v>96443.959872931635</v>
      </c>
      <c r="F45" s="11">
        <f t="shared" si="6"/>
        <v>99286.862775423389</v>
      </c>
      <c r="G45" s="11">
        <f t="shared" si="7"/>
        <v>93601.05697043988</v>
      </c>
      <c r="H45" s="11">
        <f>'dpc-covid19-ita-andamento-naz'!K36</f>
        <v>10779</v>
      </c>
      <c r="I45" s="11">
        <f t="shared" si="9"/>
        <v>11244.05819062394</v>
      </c>
      <c r="J45" s="11">
        <f t="shared" si="2"/>
        <v>11744.847162825559</v>
      </c>
      <c r="K45" s="11">
        <f t="shared" si="3"/>
        <v>10743.269218422322</v>
      </c>
    </row>
    <row r="46" spans="2:17" x14ac:dyDescent="0.3">
      <c r="B46" s="10">
        <v>43920</v>
      </c>
      <c r="C46" s="4">
        <v>40</v>
      </c>
      <c r="D46" s="11">
        <f>'dpc-covid19-ita-andamento-naz'!L37</f>
        <v>101739</v>
      </c>
      <c r="E46" s="11">
        <f t="shared" si="8"/>
        <v>100025.1105048579</v>
      </c>
      <c r="F46" s="11">
        <f t="shared" si="6"/>
        <v>102868.01340734966</v>
      </c>
      <c r="G46" s="11">
        <f t="shared" si="7"/>
        <v>97182.20760236615</v>
      </c>
      <c r="H46" s="11">
        <f>'dpc-covid19-ita-andamento-naz'!K37</f>
        <v>11591</v>
      </c>
      <c r="I46" s="11">
        <f t="shared" si="9"/>
        <v>11921.8069672648</v>
      </c>
      <c r="J46" s="11">
        <f t="shared" si="2"/>
        <v>12422.595939466419</v>
      </c>
      <c r="K46" s="11">
        <f t="shared" si="3"/>
        <v>11421.017995063181</v>
      </c>
    </row>
    <row r="47" spans="2:17" x14ac:dyDescent="0.3">
      <c r="B47" s="10">
        <v>43921</v>
      </c>
      <c r="C47" s="4">
        <v>41</v>
      </c>
      <c r="D47" s="11">
        <f>'dpc-covid19-ita-andamento-naz'!L38</f>
        <v>105792</v>
      </c>
      <c r="E47" s="11">
        <f t="shared" si="8"/>
        <v>103156.86100899467</v>
      </c>
      <c r="F47" s="11">
        <f t="shared" si="6"/>
        <v>105999.76391148643</v>
      </c>
      <c r="G47" s="11">
        <f t="shared" si="7"/>
        <v>100313.95810650292</v>
      </c>
      <c r="H47" s="11">
        <f>'dpc-covid19-ita-andamento-naz'!K38</f>
        <v>12428</v>
      </c>
      <c r="I47" s="11">
        <f t="shared" si="9"/>
        <v>12536.188127678974</v>
      </c>
      <c r="J47" s="11">
        <f t="shared" si="2"/>
        <v>13036.977099880593</v>
      </c>
      <c r="K47" s="11">
        <f>MAX(I47-CIh,0)</f>
        <v>12035.399155477355</v>
      </c>
    </row>
    <row r="48" spans="2:17" x14ac:dyDescent="0.3">
      <c r="B48" s="10">
        <v>43922</v>
      </c>
      <c r="C48" s="4">
        <v>42</v>
      </c>
      <c r="D48" s="11">
        <f>'dpc-covid19-ita-andamento-naz'!L39</f>
        <v>110574</v>
      </c>
      <c r="E48" s="11">
        <f t="shared" si="8"/>
        <v>105866.927252006</v>
      </c>
      <c r="F48" s="11">
        <f t="shared" si="6"/>
        <v>108709.83015449776</v>
      </c>
      <c r="G48" s="11">
        <f t="shared" si="7"/>
        <v>103024.02434951425</v>
      </c>
      <c r="H48" s="11">
        <f>'dpc-covid19-ita-andamento-naz'!K39</f>
        <v>13155</v>
      </c>
      <c r="I48" s="11">
        <f t="shared" si="9"/>
        <v>13084.436774463655</v>
      </c>
      <c r="J48" s="11">
        <f>I48+CIh</f>
        <v>13585.225746665274</v>
      </c>
      <c r="K48" s="11">
        <f>MAX(I48-CIh,0)</f>
        <v>12583.647802262036</v>
      </c>
    </row>
    <row r="49" spans="2:9" x14ac:dyDescent="0.3">
      <c r="B49" s="10">
        <v>43923</v>
      </c>
      <c r="C49" s="4">
        <v>43</v>
      </c>
      <c r="E49" s="11">
        <f t="shared" si="8"/>
        <v>108190.80688874936</v>
      </c>
      <c r="I49" s="11">
        <f t="shared" si="9"/>
        <v>13566.848406439138</v>
      </c>
    </row>
    <row r="50" spans="2:9" x14ac:dyDescent="0.3">
      <c r="B50" s="10">
        <v>43924</v>
      </c>
      <c r="C50" s="4">
        <v>44</v>
      </c>
      <c r="E50" s="11">
        <f t="shared" si="8"/>
        <v>110168.00547687632</v>
      </c>
      <c r="I50" s="11">
        <f t="shared" si="9"/>
        <v>13986.111321816954</v>
      </c>
    </row>
    <row r="51" spans="2:9" x14ac:dyDescent="0.3">
      <c r="B51" s="10">
        <v>43925</v>
      </c>
      <c r="C51" s="4">
        <v>45</v>
      </c>
      <c r="E51" s="11">
        <f t="shared" si="8"/>
        <v>111839.07680506598</v>
      </c>
      <c r="I51" s="11">
        <f t="shared" si="9"/>
        <v>14346.592821661625</v>
      </c>
    </row>
    <row r="52" spans="2:9" x14ac:dyDescent="0.3">
      <c r="B52" s="10">
        <v>43926</v>
      </c>
      <c r="C52" s="4">
        <v>46</v>
      </c>
      <c r="E52" s="11">
        <f t="shared" si="8"/>
        <v>113243.48779756602</v>
      </c>
      <c r="I52" s="11">
        <f t="shared" si="9"/>
        <v>14653.678375943935</v>
      </c>
    </row>
    <row r="53" spans="2:9" x14ac:dyDescent="0.3">
      <c r="B53" s="10">
        <v>43927</v>
      </c>
      <c r="C53" s="4">
        <v>47</v>
      </c>
      <c r="E53" s="11">
        <f t="shared" si="8"/>
        <v>114418.21574250339</v>
      </c>
      <c r="I53" s="11">
        <f t="shared" si="9"/>
        <v>14913.22106590152</v>
      </c>
    </row>
    <row r="54" spans="2:9" x14ac:dyDescent="0.3">
      <c r="B54" s="10">
        <v>43928</v>
      </c>
      <c r="C54" s="4">
        <v>48</v>
      </c>
      <c r="E54" s="11">
        <f t="shared" si="8"/>
        <v>115396.938831861</v>
      </c>
      <c r="I54" s="11">
        <f t="shared" si="9"/>
        <v>15131.122467490466</v>
      </c>
    </row>
    <row r="55" spans="2:9" x14ac:dyDescent="0.3">
      <c r="B55" s="10">
        <v>43929</v>
      </c>
      <c r="C55" s="4">
        <v>49</v>
      </c>
      <c r="E55" s="11">
        <f t="shared" si="8"/>
        <v>116209.67282331381</v>
      </c>
      <c r="I55" s="11">
        <f t="shared" si="9"/>
        <v>15313.040915458621</v>
      </c>
    </row>
    <row r="56" spans="2:9" x14ac:dyDescent="0.3">
      <c r="B56" s="10">
        <v>43930</v>
      </c>
      <c r="C56" s="4">
        <v>50</v>
      </c>
      <c r="E56" s="11">
        <f t="shared" si="8"/>
        <v>116882.72065587273</v>
      </c>
      <c r="I56" s="11">
        <f t="shared" si="9"/>
        <v>15464.208974503967</v>
      </c>
    </row>
    <row r="57" spans="2:9" x14ac:dyDescent="0.3">
      <c r="B57" s="10">
        <v>43931</v>
      </c>
      <c r="C57" s="4">
        <v>51</v>
      </c>
      <c r="E57" s="11">
        <f t="shared" si="8"/>
        <v>117438.82569946884</v>
      </c>
      <c r="I57" s="11">
        <f t="shared" si="9"/>
        <v>15589.336529208373</v>
      </c>
    </row>
    <row r="58" spans="2:9" x14ac:dyDescent="0.3">
      <c r="B58" s="10">
        <v>43932</v>
      </c>
      <c r="C58" s="4">
        <v>52</v>
      </c>
      <c r="E58" s="11">
        <f t="shared" si="8"/>
        <v>117897.44507434557</v>
      </c>
      <c r="I58" s="11">
        <f t="shared" si="9"/>
        <v>15692.576107627154</v>
      </c>
    </row>
    <row r="59" spans="2:9" x14ac:dyDescent="0.3">
      <c r="B59" s="10">
        <v>43933</v>
      </c>
      <c r="C59" s="4">
        <v>53</v>
      </c>
      <c r="E59" s="11">
        <f t="shared" si="8"/>
        <v>118275.08285916009</v>
      </c>
      <c r="I59" s="11">
        <f t="shared" si="9"/>
        <v>15777.530207289987</v>
      </c>
    </row>
    <row r="60" spans="2:9" x14ac:dyDescent="0.3">
      <c r="B60" s="10">
        <v>43934</v>
      </c>
      <c r="C60" s="4">
        <v>54</v>
      </c>
      <c r="E60" s="11">
        <f t="shared" si="8"/>
        <v>118585.64223135615</v>
      </c>
      <c r="I60" s="11">
        <f t="shared" si="9"/>
        <v>15847.284620101937</v>
      </c>
    </row>
    <row r="61" spans="2:9" x14ac:dyDescent="0.3">
      <c r="B61" s="10">
        <v>43935</v>
      </c>
      <c r="C61" s="4">
        <v>55</v>
      </c>
      <c r="E61" s="11">
        <f t="shared" si="8"/>
        <v>118840.770346101</v>
      </c>
      <c r="I61" s="11">
        <f t="shared" si="9"/>
        <v>15904.455939555555</v>
      </c>
    </row>
    <row r="62" spans="2:9" x14ac:dyDescent="0.3">
      <c r="B62" s="10">
        <v>43936</v>
      </c>
      <c r="C62" s="4">
        <v>56</v>
      </c>
      <c r="E62" s="11">
        <f t="shared" si="8"/>
        <v>119050.18050703111</v>
      </c>
      <c r="I62" s="11">
        <f t="shared" si="9"/>
        <v>15951.245037793102</v>
      </c>
    </row>
    <row r="63" spans="2:9" x14ac:dyDescent="0.3">
      <c r="B63" s="10">
        <v>43937</v>
      </c>
      <c r="C63" s="4">
        <v>57</v>
      </c>
      <c r="E63" s="11">
        <f t="shared" si="8"/>
        <v>119221.94364765228</v>
      </c>
      <c r="I63" s="11">
        <f t="shared" si="9"/>
        <v>15989.491144451085</v>
      </c>
    </row>
    <row r="64" spans="2:9" x14ac:dyDescent="0.3">
      <c r="B64" s="10">
        <v>43938</v>
      </c>
      <c r="C64" s="4">
        <v>58</v>
      </c>
      <c r="E64" s="11">
        <f t="shared" si="8"/>
        <v>119362.74609331573</v>
      </c>
      <c r="I64" s="11">
        <f t="shared" si="9"/>
        <v>16020.723266646428</v>
      </c>
    </row>
    <row r="65" spans="2:9" x14ac:dyDescent="0.3">
      <c r="B65" s="10">
        <v>43939</v>
      </c>
      <c r="C65" s="4">
        <v>59</v>
      </c>
      <c r="E65" s="11">
        <f t="shared" si="8"/>
        <v>119478.11368861626</v>
      </c>
      <c r="I65" s="11">
        <f t="shared" si="9"/>
        <v>16046.207171714621</v>
      </c>
    </row>
    <row r="66" spans="2:9" x14ac:dyDescent="0.3">
      <c r="B66" s="10">
        <v>43940</v>
      </c>
      <c r="C66" s="4">
        <v>60</v>
      </c>
      <c r="E66" s="11">
        <f t="shared" si="8"/>
        <v>119572.60420208874</v>
      </c>
      <c r="I66" s="11">
        <f t="shared" si="9"/>
        <v>16066.98714750977</v>
      </c>
    </row>
    <row r="67" spans="2:9" x14ac:dyDescent="0.3">
      <c r="B67" s="10">
        <v>43941</v>
      </c>
      <c r="C67" s="4">
        <v>61</v>
      </c>
      <c r="E67" s="11">
        <f t="shared" si="8"/>
        <v>119649.97087686899</v>
      </c>
      <c r="I67" s="11">
        <f t="shared" si="9"/>
        <v>16083.922386985105</v>
      </c>
    </row>
    <row r="68" spans="2:9" x14ac:dyDescent="0.3">
      <c r="B68" s="10">
        <v>43942</v>
      </c>
      <c r="C68" s="4">
        <v>62</v>
      </c>
      <c r="E68" s="11">
        <f t="shared" si="8"/>
        <v>119713.30038716691</v>
      </c>
      <c r="I68" s="11">
        <f t="shared" si="9"/>
        <v>16097.718220610754</v>
      </c>
    </row>
    <row r="69" spans="2:9" x14ac:dyDescent="0.3">
      <c r="B69" s="10">
        <v>43943</v>
      </c>
      <c r="C69" s="4">
        <v>63</v>
      </c>
      <c r="E69" s="11">
        <f t="shared" si="8"/>
        <v>119765.12850050117</v>
      </c>
      <c r="I69" s="11">
        <f t="shared" si="9"/>
        <v>16108.952624028379</v>
      </c>
    </row>
    <row r="70" spans="2:9" x14ac:dyDescent="0.3">
      <c r="B70" s="10">
        <v>43944</v>
      </c>
      <c r="C70" s="4">
        <v>64</v>
      </c>
      <c r="E70" s="11">
        <f t="shared" si="8"/>
        <v>119807.53658110314</v>
      </c>
      <c r="I70" s="11">
        <f t="shared" si="9"/>
        <v>16118.09851944796</v>
      </c>
    </row>
    <row r="71" spans="2:9" x14ac:dyDescent="0.3">
      <c r="B71" s="10"/>
      <c r="C71" s="4"/>
    </row>
    <row r="72" spans="2:9" x14ac:dyDescent="0.3">
      <c r="B72" s="10"/>
      <c r="C72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V72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4.109375" style="2" bestFit="1" customWidth="1"/>
    <col min="5" max="5" width="9.6640625" style="2" bestFit="1" customWidth="1"/>
    <col min="6" max="6" width="7.44140625" style="2" bestFit="1" customWidth="1"/>
    <col min="7" max="7" width="7.5546875" style="2" bestFit="1" customWidth="1"/>
    <col min="8" max="8" width="8.109375" style="2" bestFit="1" customWidth="1"/>
    <col min="9" max="9" width="8.21875" style="2" bestFit="1" customWidth="1"/>
    <col min="10" max="10" width="11.109375" style="2" bestFit="1" customWidth="1"/>
    <col min="11" max="12" width="9.6640625" style="2" bestFit="1" customWidth="1"/>
    <col min="13" max="13" width="9.77734375" style="2" bestFit="1" customWidth="1"/>
    <col min="14" max="14" width="11.6640625" style="2" bestFit="1" customWidth="1"/>
    <col min="15" max="15" width="11.777343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2" t="s">
        <v>13</v>
      </c>
    </row>
    <row r="3" spans="2:22" ht="17.399999999999999" customHeight="1" x14ac:dyDescent="0.6">
      <c r="B3" s="13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S3" s="21" t="s">
        <v>0</v>
      </c>
      <c r="T3" s="20" t="s">
        <v>55</v>
      </c>
      <c r="U3" s="17"/>
      <c r="V3" s="17"/>
    </row>
    <row r="4" spans="2:22" ht="20.399999999999999" x14ac:dyDescent="0.35">
      <c r="B4" s="16" t="s">
        <v>25</v>
      </c>
      <c r="C4" s="15"/>
      <c r="D4" s="14"/>
      <c r="E4" s="14"/>
      <c r="F4" s="14"/>
      <c r="G4" s="14"/>
      <c r="H4" s="14"/>
      <c r="J4" s="14"/>
      <c r="K4" s="14"/>
      <c r="L4" s="14"/>
      <c r="M4" s="14"/>
      <c r="N4" s="14"/>
      <c r="S4" s="21" t="s">
        <v>26</v>
      </c>
      <c r="T4" s="20" t="s">
        <v>56</v>
      </c>
      <c r="U4" s="17"/>
      <c r="V4" s="17"/>
    </row>
    <row r="5" spans="2:22" ht="18" x14ac:dyDescent="0.35">
      <c r="B5" s="16" t="s">
        <v>57</v>
      </c>
      <c r="C5" s="14"/>
      <c r="D5" s="14"/>
      <c r="E5" s="14"/>
      <c r="F5" s="14"/>
      <c r="G5" s="14"/>
      <c r="H5" s="14"/>
      <c r="J5" s="14"/>
      <c r="K5" s="14"/>
      <c r="L5" s="14"/>
      <c r="M5" s="14"/>
      <c r="N5" s="14"/>
      <c r="S5" s="21" t="s">
        <v>1</v>
      </c>
      <c r="T5" s="20" t="s">
        <v>58</v>
      </c>
      <c r="U5" s="17"/>
      <c r="V5" s="17"/>
    </row>
    <row r="6" spans="2:22" x14ac:dyDescent="0.3">
      <c r="B6" s="4" t="s">
        <v>10</v>
      </c>
      <c r="C6" s="4" t="s">
        <v>11</v>
      </c>
      <c r="D6" s="4" t="s">
        <v>28</v>
      </c>
      <c r="E6" s="4" t="s">
        <v>29</v>
      </c>
      <c r="F6" s="9" t="s">
        <v>59</v>
      </c>
      <c r="G6" s="9" t="s">
        <v>60</v>
      </c>
      <c r="H6" s="9" t="s">
        <v>8</v>
      </c>
      <c r="I6" s="9" t="s">
        <v>9</v>
      </c>
      <c r="J6" s="4" t="s">
        <v>61</v>
      </c>
      <c r="K6" s="4" t="s">
        <v>62</v>
      </c>
      <c r="L6" s="9" t="s">
        <v>63</v>
      </c>
      <c r="M6" s="9" t="s">
        <v>64</v>
      </c>
      <c r="N6" s="9" t="s">
        <v>65</v>
      </c>
      <c r="O6" s="9" t="s">
        <v>66</v>
      </c>
      <c r="P6" s="9"/>
      <c r="Q6" s="29" t="s">
        <v>50</v>
      </c>
      <c r="R6" s="3"/>
      <c r="S6" s="3"/>
    </row>
    <row r="7" spans="2:22" x14ac:dyDescent="0.3">
      <c r="B7" s="26">
        <v>43881</v>
      </c>
      <c r="C7" s="27">
        <v>1</v>
      </c>
      <c r="D7" s="28">
        <v>3</v>
      </c>
      <c r="E7" s="11">
        <f>D7-D7</f>
        <v>0</v>
      </c>
      <c r="F7" s="11">
        <f t="shared" ref="F7:F38" si="0">Kn/(1+EXP(-($C7-t0n)/wn))</f>
        <v>589.67126578227646</v>
      </c>
      <c r="G7" s="11">
        <f>F7-F7</f>
        <v>0</v>
      </c>
      <c r="H7" s="11">
        <f>G7+CIn</f>
        <v>917.39276633518296</v>
      </c>
      <c r="I7" s="11">
        <f>MAX(G7-CIn,0)</f>
        <v>0</v>
      </c>
      <c r="J7" s="27">
        <v>0</v>
      </c>
      <c r="K7" s="11">
        <f>J7-J7</f>
        <v>0</v>
      </c>
      <c r="L7" s="11">
        <f t="shared" ref="L7:L38" si="1">Kd/(1+EXP(-($C7-t0d)/wd))</f>
        <v>49.396626212490105</v>
      </c>
      <c r="M7" s="11">
        <f>L7-L7</f>
        <v>0</v>
      </c>
      <c r="N7" s="11">
        <f t="shared" ref="N7:N46" si="2">M7+CId</f>
        <v>126.32661855558402</v>
      </c>
      <c r="O7" s="11">
        <f t="shared" ref="O7:O46" si="3">MAX(M7-CId,0)</f>
        <v>0</v>
      </c>
      <c r="P7" s="9"/>
      <c r="Q7" s="22" t="s">
        <v>0</v>
      </c>
      <c r="R7" s="5">
        <v>141987</v>
      </c>
      <c r="S7" s="3"/>
    </row>
    <row r="8" spans="2:22" ht="15.6" x14ac:dyDescent="0.35">
      <c r="B8" s="26">
        <v>43882</v>
      </c>
      <c r="C8" s="27">
        <v>2</v>
      </c>
      <c r="D8" s="28">
        <v>20</v>
      </c>
      <c r="E8" s="11">
        <f>D8-D7</f>
        <v>17</v>
      </c>
      <c r="F8" s="11">
        <f t="shared" si="0"/>
        <v>695.66537216363076</v>
      </c>
      <c r="G8" s="11">
        <f>F8-F7</f>
        <v>105.9941063813543</v>
      </c>
      <c r="H8" s="11">
        <f>G8+CIn</f>
        <v>1023.3868727165373</v>
      </c>
      <c r="I8" s="11">
        <f>MAX(G8-CIn,0)</f>
        <v>0</v>
      </c>
      <c r="J8" s="27">
        <v>1</v>
      </c>
      <c r="K8" s="11">
        <f t="shared" ref="K8:K48" si="4">J8-J7</f>
        <v>1</v>
      </c>
      <c r="L8" s="11">
        <f t="shared" si="1"/>
        <v>58.109772621236374</v>
      </c>
      <c r="M8" s="11">
        <f>L8-L7</f>
        <v>8.7131464087462689</v>
      </c>
      <c r="N8" s="11">
        <f t="shared" si="2"/>
        <v>135.03976496433029</v>
      </c>
      <c r="O8" s="11">
        <f t="shared" si="3"/>
        <v>0</v>
      </c>
      <c r="P8" s="9"/>
      <c r="Q8" s="22" t="s">
        <v>27</v>
      </c>
      <c r="R8" s="5">
        <v>34</v>
      </c>
      <c r="S8" s="3"/>
    </row>
    <row r="9" spans="2:22" x14ac:dyDescent="0.3">
      <c r="B9" s="26">
        <v>43883</v>
      </c>
      <c r="C9" s="27">
        <v>3</v>
      </c>
      <c r="D9" s="28">
        <v>62</v>
      </c>
      <c r="E9" s="11">
        <f>D9-D8</f>
        <v>42</v>
      </c>
      <c r="F9" s="11">
        <f t="shared" si="0"/>
        <v>820.60147249282386</v>
      </c>
      <c r="G9" s="11">
        <f>F9-F8</f>
        <v>124.9361003291931</v>
      </c>
      <c r="H9" s="11">
        <f>G9+CIn</f>
        <v>1042.3288666643762</v>
      </c>
      <c r="I9" s="11">
        <f>MAX(G9-CIn,0)</f>
        <v>0</v>
      </c>
      <c r="J9" s="27">
        <v>2</v>
      </c>
      <c r="K9" s="11">
        <f t="shared" si="4"/>
        <v>1</v>
      </c>
      <c r="L9" s="11">
        <f t="shared" si="1"/>
        <v>68.354710192160482</v>
      </c>
      <c r="M9" s="11">
        <f>L9-L8</f>
        <v>10.244937570924108</v>
      </c>
      <c r="N9" s="11">
        <f t="shared" si="2"/>
        <v>136.57155612650814</v>
      </c>
      <c r="O9" s="11">
        <f t="shared" si="3"/>
        <v>0</v>
      </c>
      <c r="P9" s="9"/>
      <c r="Q9" s="22" t="s">
        <v>1</v>
      </c>
      <c r="R9" s="25">
        <v>6.0221572292213335</v>
      </c>
      <c r="S9" s="3"/>
    </row>
    <row r="10" spans="2:22" x14ac:dyDescent="0.3">
      <c r="B10" s="26">
        <v>43884</v>
      </c>
      <c r="C10" s="27">
        <v>4</v>
      </c>
      <c r="D10" s="28">
        <v>155</v>
      </c>
      <c r="E10" s="11">
        <f>D10-D9</f>
        <v>93</v>
      </c>
      <c r="F10" s="11">
        <f t="shared" si="0"/>
        <v>967.82143315265489</v>
      </c>
      <c r="G10" s="11">
        <f>F10-F9</f>
        <v>147.21996065983103</v>
      </c>
      <c r="H10" s="11">
        <f>G10+CIn</f>
        <v>1064.6127269950139</v>
      </c>
      <c r="I10" s="11">
        <f>MAX(G10-CIn,0)</f>
        <v>0</v>
      </c>
      <c r="J10" s="27">
        <v>3</v>
      </c>
      <c r="K10" s="11">
        <f t="shared" si="4"/>
        <v>1</v>
      </c>
      <c r="L10" s="11">
        <f t="shared" si="1"/>
        <v>80.398763065105129</v>
      </c>
      <c r="M10" s="11">
        <f>L10-L9</f>
        <v>12.044052872944647</v>
      </c>
      <c r="N10" s="11">
        <f t="shared" si="2"/>
        <v>138.37067142852868</v>
      </c>
      <c r="O10" s="11">
        <f t="shared" si="3"/>
        <v>0</v>
      </c>
      <c r="P10" s="9"/>
      <c r="Q10" s="6" t="s">
        <v>2</v>
      </c>
      <c r="R10" s="1">
        <f>AVERAGE(E7:E48)</f>
        <v>2632.6428571428573</v>
      </c>
      <c r="S10" s="3"/>
    </row>
    <row r="11" spans="2:22" x14ac:dyDescent="0.3">
      <c r="B11" s="23">
        <v>43885</v>
      </c>
      <c r="C11" s="4">
        <v>5</v>
      </c>
      <c r="D11" s="11">
        <f>'dpc-covid19-ita-andamento-naz'!L2</f>
        <v>229</v>
      </c>
      <c r="E11" s="11">
        <f>D11-D10</f>
        <v>74</v>
      </c>
      <c r="F11" s="11">
        <f t="shared" si="0"/>
        <v>1141.239858508877</v>
      </c>
      <c r="G11" s="11">
        <f>F11-F10</f>
        <v>173.41842535622209</v>
      </c>
      <c r="H11" s="11">
        <f t="shared" ref="H11:H44" si="5">G11+CIn</f>
        <v>1090.8111916914049</v>
      </c>
      <c r="I11" s="11">
        <f t="shared" ref="I11:I43" si="6">MAX(G11-CIn,0)</f>
        <v>0</v>
      </c>
      <c r="J11" s="11">
        <f>'dpc-covid19-ita-andamento-naz'!K2</f>
        <v>7</v>
      </c>
      <c r="K11" s="11">
        <f t="shared" si="4"/>
        <v>4</v>
      </c>
      <c r="L11" s="11">
        <f t="shared" si="1"/>
        <v>94.555154458337682</v>
      </c>
      <c r="M11" s="11">
        <f>L11-L10</f>
        <v>14.156391393232553</v>
      </c>
      <c r="N11" s="11">
        <f t="shared" si="2"/>
        <v>140.48300994881657</v>
      </c>
      <c r="O11" s="11">
        <f t="shared" si="3"/>
        <v>0</v>
      </c>
      <c r="P11" s="1"/>
      <c r="Q11" s="6" t="s">
        <v>3</v>
      </c>
      <c r="R11" s="1">
        <f>COUNT(E7:E48)-COUNT(R7:R9)</f>
        <v>39</v>
      </c>
    </row>
    <row r="12" spans="2:22" x14ac:dyDescent="0.3">
      <c r="B12" s="10">
        <v>43886</v>
      </c>
      <c r="C12" s="4">
        <v>6</v>
      </c>
      <c r="D12" s="11">
        <f>'dpc-covid19-ita-andamento-naz'!L3</f>
        <v>322</v>
      </c>
      <c r="E12" s="11">
        <f>D12-D11</f>
        <v>93</v>
      </c>
      <c r="F12" s="11">
        <f t="shared" si="0"/>
        <v>1345.4356769975839</v>
      </c>
      <c r="G12" s="11">
        <f>F12-F11</f>
        <v>204.19581848870689</v>
      </c>
      <c r="H12" s="11">
        <f t="shared" si="5"/>
        <v>1121.58858482389</v>
      </c>
      <c r="I12" s="11">
        <f t="shared" si="6"/>
        <v>0</v>
      </c>
      <c r="J12" s="11">
        <f>'dpc-covid19-ita-andamento-naz'!K3</f>
        <v>10</v>
      </c>
      <c r="K12" s="11">
        <f t="shared" si="4"/>
        <v>3</v>
      </c>
      <c r="L12" s="11">
        <f t="shared" si="1"/>
        <v>111.19059896609767</v>
      </c>
      <c r="M12" s="11">
        <f>L12-L11</f>
        <v>16.635444507759985</v>
      </c>
      <c r="N12" s="11">
        <f t="shared" si="2"/>
        <v>142.962063063344</v>
      </c>
      <c r="O12" s="11">
        <f t="shared" si="3"/>
        <v>0</v>
      </c>
      <c r="P12" s="1"/>
      <c r="Q12" s="6" t="s">
        <v>4</v>
      </c>
      <c r="R12" s="7" cm="1">
        <f t="array" ref="R12">SQRT(SUM((E7:E48-G7:G48)^2)/dfn)</f>
        <v>453.55064248694538</v>
      </c>
    </row>
    <row r="13" spans="2:22" ht="16.2" x14ac:dyDescent="0.3">
      <c r="B13" s="10">
        <v>43887</v>
      </c>
      <c r="C13" s="4">
        <v>7</v>
      </c>
      <c r="D13" s="11">
        <f>'dpc-covid19-ita-andamento-naz'!L4</f>
        <v>400</v>
      </c>
      <c r="E13" s="11">
        <f t="shared" ref="E13:E48" si="7">D13-D12</f>
        <v>78</v>
      </c>
      <c r="F13" s="11">
        <f t="shared" si="0"/>
        <v>1585.7557907960081</v>
      </c>
      <c r="G13" s="11">
        <f t="shared" ref="G13:G70" si="8">F13-F12</f>
        <v>240.32011379842425</v>
      </c>
      <c r="H13" s="11">
        <f t="shared" si="5"/>
        <v>1157.7128801336071</v>
      </c>
      <c r="I13" s="11">
        <f t="shared" si="6"/>
        <v>0</v>
      </c>
      <c r="J13" s="11">
        <f>'dpc-covid19-ita-andamento-naz'!K4</f>
        <v>12</v>
      </c>
      <c r="K13" s="11">
        <f t="shared" si="4"/>
        <v>2</v>
      </c>
      <c r="L13" s="11">
        <f t="shared" si="1"/>
        <v>130.73403983412268</v>
      </c>
      <c r="M13" s="11">
        <f t="shared" ref="M13:M70" si="9">L13-L12</f>
        <v>19.543440868025016</v>
      </c>
      <c r="N13" s="11">
        <f t="shared" si="2"/>
        <v>145.87005942360904</v>
      </c>
      <c r="O13" s="11">
        <f t="shared" si="3"/>
        <v>0</v>
      </c>
      <c r="P13" s="1"/>
      <c r="Q13" s="6" t="s">
        <v>5</v>
      </c>
      <c r="R13" s="8" cm="1">
        <f t="array" ref="R13">1-SUM((E7:E48-G7:G48)^2)/SUM((E7:E48-Mean_of_yn)^2)</f>
        <v>0.96206909601520008</v>
      </c>
    </row>
    <row r="14" spans="2:22" x14ac:dyDescent="0.3">
      <c r="B14" s="10">
        <v>43888</v>
      </c>
      <c r="C14" s="4">
        <v>8</v>
      </c>
      <c r="D14" s="11">
        <f>'dpc-covid19-ita-andamento-naz'!L5</f>
        <v>650</v>
      </c>
      <c r="E14" s="11">
        <f t="shared" si="7"/>
        <v>250</v>
      </c>
      <c r="F14" s="11">
        <f t="shared" si="0"/>
        <v>1868.4313260114927</v>
      </c>
      <c r="G14" s="11">
        <f t="shared" si="8"/>
        <v>282.67553521548462</v>
      </c>
      <c r="H14" s="11">
        <f t="shared" si="5"/>
        <v>1200.0683015506675</v>
      </c>
      <c r="I14" s="11">
        <f t="shared" si="6"/>
        <v>0</v>
      </c>
      <c r="J14" s="11">
        <f>'dpc-covid19-ita-andamento-naz'!K5</f>
        <v>17</v>
      </c>
      <c r="K14" s="11">
        <f t="shared" si="4"/>
        <v>5</v>
      </c>
      <c r="L14" s="11">
        <f t="shared" si="1"/>
        <v>153.68666049614814</v>
      </c>
      <c r="M14" s="11">
        <f t="shared" si="9"/>
        <v>22.952620662025453</v>
      </c>
      <c r="N14" s="11">
        <f t="shared" si="2"/>
        <v>149.27923921760947</v>
      </c>
      <c r="O14" s="11">
        <f t="shared" si="3"/>
        <v>0</v>
      </c>
      <c r="P14" s="1"/>
      <c r="Q14" s="6" t="s">
        <v>6</v>
      </c>
      <c r="R14" s="8">
        <f>TINV(0.05,dfn)</f>
        <v>2.0226909200367595</v>
      </c>
    </row>
    <row r="15" spans="2:22" x14ac:dyDescent="0.3">
      <c r="B15" s="10">
        <v>43889</v>
      </c>
      <c r="C15" s="4">
        <v>9</v>
      </c>
      <c r="D15" s="11">
        <f>'dpc-covid19-ita-andamento-naz'!L6</f>
        <v>888</v>
      </c>
      <c r="E15" s="11">
        <f t="shared" si="7"/>
        <v>238</v>
      </c>
      <c r="F15" s="11">
        <f t="shared" si="0"/>
        <v>2200.7065460088947</v>
      </c>
      <c r="G15" s="11">
        <f t="shared" si="8"/>
        <v>332.27521999740202</v>
      </c>
      <c r="H15" s="11">
        <f t="shared" si="5"/>
        <v>1249.6679863325849</v>
      </c>
      <c r="I15" s="11">
        <f t="shared" si="6"/>
        <v>0</v>
      </c>
      <c r="J15" s="11">
        <f>'dpc-covid19-ita-andamento-naz'!K6</f>
        <v>21</v>
      </c>
      <c r="K15" s="11">
        <f t="shared" si="4"/>
        <v>4</v>
      </c>
      <c r="L15" s="11">
        <f t="shared" si="1"/>
        <v>180.63329616038027</v>
      </c>
      <c r="M15" s="11">
        <f t="shared" si="9"/>
        <v>26.946635664232133</v>
      </c>
      <c r="N15" s="11">
        <f t="shared" si="2"/>
        <v>153.27325421981615</v>
      </c>
      <c r="O15" s="11">
        <f t="shared" si="3"/>
        <v>0</v>
      </c>
      <c r="P15" s="1"/>
      <c r="Q15" s="6" t="s">
        <v>7</v>
      </c>
      <c r="R15" s="1">
        <f>Critical_tn*SE_of_yn</f>
        <v>917.39276633518296</v>
      </c>
    </row>
    <row r="16" spans="2:22" x14ac:dyDescent="0.3">
      <c r="B16" s="10">
        <v>43890</v>
      </c>
      <c r="C16" s="4">
        <v>10</v>
      </c>
      <c r="D16" s="11">
        <f>'dpc-covid19-ita-andamento-naz'!L7</f>
        <v>1128</v>
      </c>
      <c r="E16" s="11">
        <f t="shared" si="7"/>
        <v>240</v>
      </c>
      <c r="F16" s="11">
        <f t="shared" si="0"/>
        <v>2590.9797510031399</v>
      </c>
      <c r="G16" s="11">
        <f t="shared" si="8"/>
        <v>390.27320499424513</v>
      </c>
      <c r="H16" s="11">
        <f t="shared" si="5"/>
        <v>1307.665971329428</v>
      </c>
      <c r="I16" s="11">
        <f t="shared" si="6"/>
        <v>0</v>
      </c>
      <c r="J16" s="11">
        <f>'dpc-covid19-ita-andamento-naz'!K7</f>
        <v>29</v>
      </c>
      <c r="K16" s="11">
        <f t="shared" si="4"/>
        <v>8</v>
      </c>
      <c r="L16" s="11">
        <f t="shared" si="1"/>
        <v>212.25535809004504</v>
      </c>
      <c r="M16" s="11">
        <f t="shared" si="9"/>
        <v>31.622061929664767</v>
      </c>
      <c r="N16" s="11">
        <f t="shared" si="2"/>
        <v>157.94868048524879</v>
      </c>
      <c r="O16" s="11">
        <f t="shared" si="3"/>
        <v>0</v>
      </c>
      <c r="P16" s="1"/>
      <c r="Q16" s="29" t="s">
        <v>67</v>
      </c>
      <c r="R16" s="31">
        <f>Kn/(4*wn)</f>
        <v>5894.3578935068317</v>
      </c>
    </row>
    <row r="17" spans="2:18" x14ac:dyDescent="0.3">
      <c r="B17" s="23">
        <v>43891</v>
      </c>
      <c r="C17" s="4">
        <v>11</v>
      </c>
      <c r="D17" s="11">
        <f>'dpc-covid19-ita-andamento-naz'!L8</f>
        <v>1694</v>
      </c>
      <c r="E17" s="11">
        <f t="shared" si="7"/>
        <v>566</v>
      </c>
      <c r="F17" s="11">
        <f t="shared" si="0"/>
        <v>3048.9543902678051</v>
      </c>
      <c r="G17" s="11">
        <f t="shared" si="8"/>
        <v>457.97463926466526</v>
      </c>
      <c r="H17" s="11">
        <f t="shared" si="5"/>
        <v>1375.3674055998481</v>
      </c>
      <c r="I17" s="11">
        <f t="shared" si="6"/>
        <v>0</v>
      </c>
      <c r="J17" s="11">
        <f>'dpc-covid19-ita-andamento-naz'!K8</f>
        <v>34</v>
      </c>
      <c r="K17" s="11">
        <f t="shared" si="4"/>
        <v>5</v>
      </c>
      <c r="L17" s="11">
        <f t="shared" si="1"/>
        <v>249.34535590680903</v>
      </c>
      <c r="M17" s="11">
        <f t="shared" si="9"/>
        <v>37.089997816763997</v>
      </c>
      <c r="N17" s="11">
        <f t="shared" si="2"/>
        <v>163.41661637234802</v>
      </c>
      <c r="O17" s="11">
        <f t="shared" si="3"/>
        <v>0</v>
      </c>
      <c r="P17" s="1"/>
      <c r="Q17" s="24" t="s">
        <v>53</v>
      </c>
      <c r="R17" s="3"/>
    </row>
    <row r="18" spans="2:18" x14ac:dyDescent="0.3">
      <c r="B18" s="10">
        <v>43892</v>
      </c>
      <c r="C18" s="4">
        <v>12</v>
      </c>
      <c r="D18" s="11">
        <f>'dpc-covid19-ita-andamento-naz'!L9</f>
        <v>2036</v>
      </c>
      <c r="E18" s="11">
        <f t="shared" si="7"/>
        <v>342</v>
      </c>
      <c r="F18" s="11">
        <f t="shared" si="0"/>
        <v>3585.7970476807695</v>
      </c>
      <c r="G18" s="11">
        <f t="shared" si="8"/>
        <v>536.8426574129644</v>
      </c>
      <c r="H18" s="11">
        <f t="shared" si="5"/>
        <v>1454.2354237481472</v>
      </c>
      <c r="I18" s="11">
        <f t="shared" si="6"/>
        <v>0</v>
      </c>
      <c r="J18" s="11">
        <f>'dpc-covid19-ita-andamento-naz'!K9</f>
        <v>52</v>
      </c>
      <c r="K18" s="11">
        <f t="shared" si="4"/>
        <v>18</v>
      </c>
      <c r="L18" s="11">
        <f t="shared" si="1"/>
        <v>292.8230557434112</v>
      </c>
      <c r="M18" s="11">
        <f t="shared" si="9"/>
        <v>43.47769983660217</v>
      </c>
      <c r="N18" s="11">
        <f t="shared" si="2"/>
        <v>169.80431839218619</v>
      </c>
      <c r="O18" s="11">
        <f t="shared" si="3"/>
        <v>0</v>
      </c>
      <c r="P18" s="1"/>
      <c r="Q18" s="22" t="s">
        <v>0</v>
      </c>
      <c r="R18" s="5">
        <v>20512</v>
      </c>
    </row>
    <row r="19" spans="2:18" ht="15.6" x14ac:dyDescent="0.35">
      <c r="B19" s="10">
        <v>43893</v>
      </c>
      <c r="C19" s="4">
        <v>13</v>
      </c>
      <c r="D19" s="11">
        <f>'dpc-covid19-ita-andamento-naz'!L10</f>
        <v>2502</v>
      </c>
      <c r="E19" s="11">
        <f t="shared" si="7"/>
        <v>466</v>
      </c>
      <c r="F19" s="11">
        <f t="shared" si="0"/>
        <v>4214.2967984416337</v>
      </c>
      <c r="G19" s="11">
        <f t="shared" si="8"/>
        <v>628.49975076086412</v>
      </c>
      <c r="H19" s="11">
        <f t="shared" si="5"/>
        <v>1545.892517096047</v>
      </c>
      <c r="I19" s="11">
        <f t="shared" si="6"/>
        <v>0</v>
      </c>
      <c r="J19" s="11">
        <f>'dpc-covid19-ita-andamento-naz'!K10</f>
        <v>79</v>
      </c>
      <c r="K19" s="11">
        <f t="shared" si="4"/>
        <v>27</v>
      </c>
      <c r="L19" s="11">
        <f t="shared" si="1"/>
        <v>343.75323654767016</v>
      </c>
      <c r="M19" s="11">
        <f t="shared" si="9"/>
        <v>50.930180804258953</v>
      </c>
      <c r="N19" s="11">
        <f t="shared" si="2"/>
        <v>177.25679935984297</v>
      </c>
      <c r="O19" s="11">
        <f t="shared" si="3"/>
        <v>0</v>
      </c>
      <c r="P19" s="1"/>
      <c r="Q19" s="22" t="s">
        <v>27</v>
      </c>
      <c r="R19" s="5">
        <v>38</v>
      </c>
    </row>
    <row r="20" spans="2:18" x14ac:dyDescent="0.3">
      <c r="B20" s="10">
        <v>43894</v>
      </c>
      <c r="C20" s="4">
        <v>14</v>
      </c>
      <c r="D20" s="11">
        <f>'dpc-covid19-ita-andamento-naz'!L11</f>
        <v>3089</v>
      </c>
      <c r="E20" s="11">
        <f t="shared" si="7"/>
        <v>587</v>
      </c>
      <c r="F20" s="11">
        <f t="shared" si="0"/>
        <v>4949.0175379150924</v>
      </c>
      <c r="G20" s="11">
        <f t="shared" si="8"/>
        <v>734.72073947345871</v>
      </c>
      <c r="H20" s="11">
        <f t="shared" si="5"/>
        <v>1652.1135058086415</v>
      </c>
      <c r="I20" s="11">
        <f t="shared" si="6"/>
        <v>0</v>
      </c>
      <c r="J20" s="11">
        <f>'dpc-covid19-ita-andamento-naz'!K11</f>
        <v>107</v>
      </c>
      <c r="K20" s="11">
        <f t="shared" si="4"/>
        <v>28</v>
      </c>
      <c r="L20" s="11">
        <f t="shared" si="1"/>
        <v>403.36489335197604</v>
      </c>
      <c r="M20" s="11">
        <f t="shared" si="9"/>
        <v>59.611656804305881</v>
      </c>
      <c r="N20" s="11">
        <f t="shared" si="2"/>
        <v>185.9382753598899</v>
      </c>
      <c r="O20" s="11">
        <f t="shared" si="3"/>
        <v>0</v>
      </c>
      <c r="P20" s="1"/>
      <c r="Q20" s="22" t="s">
        <v>1</v>
      </c>
      <c r="R20" s="25">
        <v>6.1395786950814308</v>
      </c>
    </row>
    <row r="21" spans="2:18" x14ac:dyDescent="0.3">
      <c r="B21" s="23">
        <v>43895</v>
      </c>
      <c r="C21" s="4">
        <v>15</v>
      </c>
      <c r="D21" s="11">
        <f>'dpc-covid19-ita-andamento-naz'!L12</f>
        <v>3858</v>
      </c>
      <c r="E21" s="11">
        <f t="shared" si="7"/>
        <v>769</v>
      </c>
      <c r="F21" s="11">
        <f t="shared" si="0"/>
        <v>5806.4311257443851</v>
      </c>
      <c r="G21" s="11">
        <f t="shared" si="8"/>
        <v>857.41358782929274</v>
      </c>
      <c r="H21" s="11">
        <f t="shared" si="5"/>
        <v>1774.8063541644756</v>
      </c>
      <c r="I21" s="11">
        <f t="shared" si="6"/>
        <v>0</v>
      </c>
      <c r="J21" s="11">
        <f>'dpc-covid19-ita-andamento-naz'!K12</f>
        <v>148</v>
      </c>
      <c r="K21" s="11">
        <f t="shared" si="4"/>
        <v>41</v>
      </c>
      <c r="L21" s="11">
        <f t="shared" si="1"/>
        <v>473.07157264878157</v>
      </c>
      <c r="M21" s="11">
        <f t="shared" si="9"/>
        <v>69.706679296805532</v>
      </c>
      <c r="N21" s="11">
        <f t="shared" si="2"/>
        <v>196.03329785238955</v>
      </c>
      <c r="O21" s="11">
        <f t="shared" si="3"/>
        <v>0</v>
      </c>
      <c r="P21" s="1"/>
      <c r="Q21" s="6" t="s">
        <v>2</v>
      </c>
      <c r="R21" s="1">
        <f>AVERAGE(K7:K48)</f>
        <v>313.21428571428572</v>
      </c>
    </row>
    <row r="22" spans="2:18" x14ac:dyDescent="0.3">
      <c r="B22" s="10">
        <v>43896</v>
      </c>
      <c r="C22" s="4">
        <v>16</v>
      </c>
      <c r="D22" s="11">
        <f>'dpc-covid19-ita-andamento-naz'!L13</f>
        <v>4636</v>
      </c>
      <c r="E22" s="11">
        <f t="shared" si="7"/>
        <v>778</v>
      </c>
      <c r="F22" s="11">
        <f t="shared" si="0"/>
        <v>6805.0144853400052</v>
      </c>
      <c r="G22" s="11">
        <f t="shared" si="8"/>
        <v>998.5833595956201</v>
      </c>
      <c r="H22" s="11">
        <f t="shared" si="5"/>
        <v>1915.9761259308029</v>
      </c>
      <c r="I22" s="11">
        <f t="shared" si="6"/>
        <v>81.19059326043714</v>
      </c>
      <c r="J22" s="11">
        <f>'dpc-covid19-ita-andamento-naz'!K13</f>
        <v>197</v>
      </c>
      <c r="K22" s="11">
        <f t="shared" si="4"/>
        <v>49</v>
      </c>
      <c r="L22" s="11">
        <f t="shared" si="1"/>
        <v>554.49229674699825</v>
      </c>
      <c r="M22" s="11">
        <f t="shared" si="9"/>
        <v>81.420724098216681</v>
      </c>
      <c r="N22" s="11">
        <f t="shared" si="2"/>
        <v>207.7473426538007</v>
      </c>
      <c r="O22" s="11">
        <f t="shared" si="3"/>
        <v>0</v>
      </c>
      <c r="P22" s="1"/>
      <c r="Q22" s="6" t="s">
        <v>3</v>
      </c>
      <c r="R22" s="1">
        <f>COUNT(K7:K48)-COUNT(R18:R20)</f>
        <v>39</v>
      </c>
    </row>
    <row r="23" spans="2:18" x14ac:dyDescent="0.3">
      <c r="B23" s="10">
        <v>43897</v>
      </c>
      <c r="C23" s="4">
        <v>17</v>
      </c>
      <c r="D23" s="11">
        <f>'dpc-covid19-ita-andamento-naz'!L14</f>
        <v>5883</v>
      </c>
      <c r="E23" s="11">
        <f t="shared" si="7"/>
        <v>1247</v>
      </c>
      <c r="F23" s="11">
        <f t="shared" si="0"/>
        <v>7965.2881624767306</v>
      </c>
      <c r="G23" s="11">
        <f t="shared" si="8"/>
        <v>1160.2736771367254</v>
      </c>
      <c r="H23" s="11">
        <f t="shared" si="5"/>
        <v>2077.6664434719082</v>
      </c>
      <c r="I23" s="11">
        <f t="shared" si="6"/>
        <v>242.88091080154243</v>
      </c>
      <c r="J23" s="11">
        <f>'dpc-covid19-ita-andamento-naz'!K14</f>
        <v>233</v>
      </c>
      <c r="K23" s="11">
        <f t="shared" si="4"/>
        <v>36</v>
      </c>
      <c r="L23" s="11">
        <f t="shared" si="1"/>
        <v>649.47222513204156</v>
      </c>
      <c r="M23" s="11">
        <f t="shared" si="9"/>
        <v>94.979928385043308</v>
      </c>
      <c r="N23" s="11">
        <f t="shared" si="2"/>
        <v>221.30654694062733</v>
      </c>
      <c r="O23" s="11">
        <f t="shared" si="3"/>
        <v>0</v>
      </c>
      <c r="P23" s="1"/>
      <c r="Q23" s="6" t="s">
        <v>4</v>
      </c>
      <c r="R23" s="7" cm="1">
        <f t="array" ref="R23">SQRT(SUM((K7:K48-M7:M48)^2)/dfd)</f>
        <v>62.454731617269637</v>
      </c>
    </row>
    <row r="24" spans="2:18" ht="16.2" x14ac:dyDescent="0.3">
      <c r="B24" s="23">
        <v>43898</v>
      </c>
      <c r="C24" s="4">
        <v>18</v>
      </c>
      <c r="D24" s="11">
        <f>'dpc-covid19-ita-andamento-naz'!L15</f>
        <v>7375</v>
      </c>
      <c r="E24" s="11">
        <f t="shared" si="7"/>
        <v>1492</v>
      </c>
      <c r="F24" s="11">
        <f t="shared" si="0"/>
        <v>9309.7674652673231</v>
      </c>
      <c r="G24" s="11">
        <f t="shared" si="8"/>
        <v>1344.4793027905926</v>
      </c>
      <c r="H24" s="11">
        <f t="shared" si="5"/>
        <v>2261.8720691257754</v>
      </c>
      <c r="I24" s="11">
        <f t="shared" si="6"/>
        <v>427.0865364554096</v>
      </c>
      <c r="J24" s="11">
        <f>'dpc-covid19-ita-andamento-naz'!K15</f>
        <v>366</v>
      </c>
      <c r="K24" s="11">
        <f t="shared" si="4"/>
        <v>133</v>
      </c>
      <c r="L24" s="11">
        <f t="shared" si="1"/>
        <v>760.1017952807365</v>
      </c>
      <c r="M24" s="11">
        <f t="shared" si="9"/>
        <v>110.62957014869494</v>
      </c>
      <c r="N24" s="11">
        <f t="shared" si="2"/>
        <v>236.95618870427896</v>
      </c>
      <c r="O24" s="11">
        <f t="shared" si="3"/>
        <v>0</v>
      </c>
      <c r="P24" s="1"/>
      <c r="Q24" s="6" t="s">
        <v>5</v>
      </c>
      <c r="R24" s="8" cm="1">
        <f t="array" ref="R24">1-SUM((K7:K48-M7:M48)^2)/SUM((K7:K48-Mean_of_yd)^2)</f>
        <v>0.96500384437792197</v>
      </c>
    </row>
    <row r="25" spans="2:18" x14ac:dyDescent="0.3">
      <c r="B25" s="10">
        <v>43899</v>
      </c>
      <c r="C25" s="4">
        <v>19</v>
      </c>
      <c r="D25" s="11">
        <f>'dpc-covid19-ita-andamento-naz'!L16</f>
        <v>9172</v>
      </c>
      <c r="E25" s="11">
        <f t="shared" si="7"/>
        <v>1797</v>
      </c>
      <c r="F25" s="11">
        <f t="shared" si="0"/>
        <v>10862.790655622481</v>
      </c>
      <c r="G25" s="11">
        <f t="shared" si="8"/>
        <v>1553.0231903551576</v>
      </c>
      <c r="H25" s="11">
        <f t="shared" si="5"/>
        <v>2470.4159566903404</v>
      </c>
      <c r="I25" s="11">
        <f t="shared" si="6"/>
        <v>635.63042401997461</v>
      </c>
      <c r="J25" s="11">
        <f>'dpc-covid19-ita-andamento-naz'!K16</f>
        <v>463</v>
      </c>
      <c r="K25" s="11">
        <f t="shared" si="4"/>
        <v>97</v>
      </c>
      <c r="L25" s="11">
        <f t="shared" si="1"/>
        <v>888.73256961081609</v>
      </c>
      <c r="M25" s="11">
        <f t="shared" si="9"/>
        <v>128.63077433007959</v>
      </c>
      <c r="N25" s="11">
        <f t="shared" si="2"/>
        <v>254.95739288566361</v>
      </c>
      <c r="O25" s="11">
        <f t="shared" si="3"/>
        <v>2.3041557744955696</v>
      </c>
      <c r="P25" s="1"/>
      <c r="Q25" s="6" t="s">
        <v>6</v>
      </c>
      <c r="R25" s="8">
        <f>TINV(0.05,dfd)</f>
        <v>2.0226909200367595</v>
      </c>
    </row>
    <row r="26" spans="2:18" x14ac:dyDescent="0.3">
      <c r="B26" s="23">
        <v>43900</v>
      </c>
      <c r="C26" s="4">
        <v>20</v>
      </c>
      <c r="D26" s="11">
        <f>'dpc-covid19-ita-andamento-naz'!L17</f>
        <v>10149</v>
      </c>
      <c r="E26" s="11">
        <f t="shared" si="7"/>
        <v>977</v>
      </c>
      <c r="F26" s="11">
        <f t="shared" si="0"/>
        <v>12650.182634899453</v>
      </c>
      <c r="G26" s="11">
        <f t="shared" si="8"/>
        <v>1787.3919792769721</v>
      </c>
      <c r="H26" s="11">
        <f t="shared" si="5"/>
        <v>2704.7847456121549</v>
      </c>
      <c r="I26" s="11">
        <f t="shared" si="6"/>
        <v>869.9992129417891</v>
      </c>
      <c r="J26" s="11">
        <f>'dpc-covid19-ita-andamento-naz'!K17</f>
        <v>631</v>
      </c>
      <c r="K26" s="11">
        <f t="shared" si="4"/>
        <v>168</v>
      </c>
      <c r="L26" s="11">
        <f t="shared" si="1"/>
        <v>1037.9873831940902</v>
      </c>
      <c r="M26" s="11">
        <f t="shared" si="9"/>
        <v>149.25481358327409</v>
      </c>
      <c r="N26" s="11">
        <f t="shared" si="2"/>
        <v>275.58143213885808</v>
      </c>
      <c r="O26" s="11">
        <f t="shared" si="3"/>
        <v>22.928195027690066</v>
      </c>
      <c r="P26" s="1"/>
      <c r="Q26" s="6" t="s">
        <v>7</v>
      </c>
      <c r="R26" s="1">
        <f>Critical_td*SE_of_yd</f>
        <v>126.32661855558402</v>
      </c>
    </row>
    <row r="27" spans="2:18" x14ac:dyDescent="0.3">
      <c r="B27" s="10">
        <v>43901</v>
      </c>
      <c r="C27" s="4">
        <v>21</v>
      </c>
      <c r="D27" s="11">
        <f>'dpc-covid19-ita-andamento-naz'!L18</f>
        <v>12462</v>
      </c>
      <c r="E27" s="11">
        <f t="shared" si="7"/>
        <v>2313</v>
      </c>
      <c r="F27" s="11">
        <f t="shared" si="0"/>
        <v>14698.708620300717</v>
      </c>
      <c r="G27" s="11">
        <f t="shared" si="8"/>
        <v>2048.5259854012638</v>
      </c>
      <c r="H27" s="11">
        <f t="shared" si="5"/>
        <v>2965.9187517364467</v>
      </c>
      <c r="I27" s="11">
        <f t="shared" si="6"/>
        <v>1131.133219066081</v>
      </c>
      <c r="J27" s="11">
        <f>'dpc-covid19-ita-andamento-naz'!K18</f>
        <v>827</v>
      </c>
      <c r="K27" s="11">
        <f t="shared" si="4"/>
        <v>196</v>
      </c>
      <c r="L27" s="11">
        <f t="shared" si="1"/>
        <v>1210.7616472469233</v>
      </c>
      <c r="M27" s="11">
        <f t="shared" si="9"/>
        <v>172.77426405283313</v>
      </c>
      <c r="N27" s="11">
        <f t="shared" si="2"/>
        <v>299.10088260841712</v>
      </c>
      <c r="O27" s="11">
        <f t="shared" si="3"/>
        <v>46.447645497249113</v>
      </c>
      <c r="P27" s="1"/>
      <c r="Q27" s="30" t="s">
        <v>67</v>
      </c>
      <c r="R27" s="32">
        <f>Kd/(4*wd)</f>
        <v>835.23646404405054</v>
      </c>
    </row>
    <row r="28" spans="2:18" x14ac:dyDescent="0.3">
      <c r="B28" s="23">
        <v>43902</v>
      </c>
      <c r="C28" s="4">
        <v>22</v>
      </c>
      <c r="D28" s="11">
        <f>'dpc-covid19-ita-andamento-naz'!L19</f>
        <v>15113</v>
      </c>
      <c r="E28" s="11">
        <f t="shared" si="7"/>
        <v>2651</v>
      </c>
      <c r="F28" s="11">
        <f t="shared" si="0"/>
        <v>17035.272561122842</v>
      </c>
      <c r="G28" s="11">
        <f t="shared" si="8"/>
        <v>2336.563940822125</v>
      </c>
      <c r="H28" s="11">
        <f t="shared" si="5"/>
        <v>3253.9567071573078</v>
      </c>
      <c r="I28" s="11">
        <f t="shared" si="6"/>
        <v>1419.1711744869422</v>
      </c>
      <c r="J28" s="11">
        <f>'dpc-covid19-ita-andamento-naz'!K19</f>
        <v>1016</v>
      </c>
      <c r="K28" s="11">
        <f t="shared" si="4"/>
        <v>189</v>
      </c>
      <c r="L28" s="11">
        <f t="shared" si="1"/>
        <v>1410.2118503422405</v>
      </c>
      <c r="M28" s="11">
        <f t="shared" si="9"/>
        <v>199.45020309531719</v>
      </c>
      <c r="N28" s="11">
        <f t="shared" si="2"/>
        <v>325.77682165090118</v>
      </c>
      <c r="O28" s="11">
        <f t="shared" si="3"/>
        <v>73.123584539733173</v>
      </c>
      <c r="P28" s="1"/>
      <c r="Q28" s="6"/>
    </row>
    <row r="29" spans="2:18" x14ac:dyDescent="0.3">
      <c r="B29" s="10">
        <v>43903</v>
      </c>
      <c r="C29" s="4">
        <v>23</v>
      </c>
      <c r="D29" s="11">
        <f>'dpc-covid19-ita-andamento-naz'!L20</f>
        <v>17660</v>
      </c>
      <c r="E29" s="11">
        <f t="shared" si="7"/>
        <v>2547</v>
      </c>
      <c r="F29" s="11">
        <f t="shared" si="0"/>
        <v>19685.82225288991</v>
      </c>
      <c r="G29" s="11">
        <f t="shared" si="8"/>
        <v>2650.549691767068</v>
      </c>
      <c r="H29" s="11">
        <f t="shared" si="5"/>
        <v>3567.9424581022508</v>
      </c>
      <c r="I29" s="11">
        <f t="shared" si="6"/>
        <v>1733.1569254318852</v>
      </c>
      <c r="J29" s="11">
        <f>'dpc-covid19-ita-andamento-naz'!K20</f>
        <v>1266</v>
      </c>
      <c r="K29" s="11">
        <f t="shared" si="4"/>
        <v>250</v>
      </c>
      <c r="L29" s="11">
        <f t="shared" si="1"/>
        <v>1639.726486165343</v>
      </c>
      <c r="M29" s="11">
        <f t="shared" si="9"/>
        <v>229.51463582310248</v>
      </c>
      <c r="N29" s="11">
        <f t="shared" si="2"/>
        <v>355.84125437868647</v>
      </c>
      <c r="O29" s="11">
        <f t="shared" si="3"/>
        <v>103.18801726751846</v>
      </c>
      <c r="P29" s="1"/>
    </row>
    <row r="30" spans="2:18" x14ac:dyDescent="0.3">
      <c r="B30" s="10">
        <v>43904</v>
      </c>
      <c r="C30" s="4">
        <v>24</v>
      </c>
      <c r="D30" s="11">
        <f>'dpc-covid19-ita-andamento-naz'!L21</f>
        <v>21157</v>
      </c>
      <c r="E30" s="11">
        <f t="shared" si="7"/>
        <v>3497</v>
      </c>
      <c r="F30" s="11">
        <f t="shared" si="0"/>
        <v>22673.940412746608</v>
      </c>
      <c r="G30" s="11">
        <f t="shared" si="8"/>
        <v>2988.1181598566982</v>
      </c>
      <c r="H30" s="11">
        <f t="shared" si="5"/>
        <v>3905.510926191881</v>
      </c>
      <c r="I30" s="11">
        <f t="shared" si="6"/>
        <v>2070.7253935215153</v>
      </c>
      <c r="J30" s="11">
        <f>'dpc-covid19-ita-andamento-naz'!K21</f>
        <v>1441</v>
      </c>
      <c r="K30" s="11">
        <f t="shared" si="4"/>
        <v>175</v>
      </c>
      <c r="L30" s="11">
        <f t="shared" si="1"/>
        <v>1902.8739522947012</v>
      </c>
      <c r="M30" s="11">
        <f t="shared" si="9"/>
        <v>263.14746612935824</v>
      </c>
      <c r="N30" s="11">
        <f t="shared" si="2"/>
        <v>389.47408468494223</v>
      </c>
      <c r="O30" s="11">
        <f t="shared" si="3"/>
        <v>136.82084757377422</v>
      </c>
      <c r="P30" s="1"/>
    </row>
    <row r="31" spans="2:18" x14ac:dyDescent="0.3">
      <c r="B31" s="10">
        <v>43905</v>
      </c>
      <c r="C31" s="4">
        <v>25</v>
      </c>
      <c r="D31" s="11">
        <f>'dpc-covid19-ita-andamento-naz'!L22</f>
        <v>24747</v>
      </c>
      <c r="E31" s="11">
        <f t="shared" si="7"/>
        <v>3590</v>
      </c>
      <c r="F31" s="11">
        <f t="shared" si="0"/>
        <v>26019.131272782364</v>
      </c>
      <c r="G31" s="11">
        <f t="shared" si="8"/>
        <v>3345.1908600357565</v>
      </c>
      <c r="H31" s="11">
        <f t="shared" si="5"/>
        <v>4262.5836263709398</v>
      </c>
      <c r="I31" s="11">
        <f t="shared" si="6"/>
        <v>2427.7980937005736</v>
      </c>
      <c r="J31" s="11">
        <f>'dpc-covid19-ita-andamento-naz'!K22</f>
        <v>1809</v>
      </c>
      <c r="K31" s="11">
        <f t="shared" si="4"/>
        <v>368</v>
      </c>
      <c r="L31" s="11">
        <f t="shared" si="1"/>
        <v>2203.32160847776</v>
      </c>
      <c r="M31" s="11">
        <f t="shared" si="9"/>
        <v>300.44765618305883</v>
      </c>
      <c r="N31" s="11">
        <f t="shared" si="2"/>
        <v>426.77427473864282</v>
      </c>
      <c r="O31" s="11">
        <f t="shared" si="3"/>
        <v>174.12103762747481</v>
      </c>
      <c r="P31" s="1"/>
    </row>
    <row r="32" spans="2:18" x14ac:dyDescent="0.3">
      <c r="B32" s="10">
        <v>43906</v>
      </c>
      <c r="C32" s="4">
        <v>26</v>
      </c>
      <c r="D32" s="11">
        <f>'dpc-covid19-ita-andamento-naz'!L23</f>
        <v>27980</v>
      </c>
      <c r="E32" s="11">
        <f t="shared" si="7"/>
        <v>3233</v>
      </c>
      <c r="F32" s="11">
        <f t="shared" si="0"/>
        <v>29734.857069839552</v>
      </c>
      <c r="G32" s="11">
        <f t="shared" si="8"/>
        <v>3715.7257970571882</v>
      </c>
      <c r="H32" s="11">
        <f t="shared" si="5"/>
        <v>4633.1185633923715</v>
      </c>
      <c r="I32" s="11">
        <f t="shared" si="6"/>
        <v>2798.3330307220053</v>
      </c>
      <c r="J32" s="11">
        <f>'dpc-covid19-ita-andamento-naz'!K23</f>
        <v>2158</v>
      </c>
      <c r="K32" s="11">
        <f t="shared" si="4"/>
        <v>349</v>
      </c>
      <c r="L32" s="11">
        <f t="shared" si="1"/>
        <v>2544.720433608491</v>
      </c>
      <c r="M32" s="11">
        <f t="shared" si="9"/>
        <v>341.39882513073098</v>
      </c>
      <c r="N32" s="11">
        <f t="shared" si="2"/>
        <v>467.72544368631497</v>
      </c>
      <c r="O32" s="11">
        <f t="shared" si="3"/>
        <v>215.07220657514696</v>
      </c>
      <c r="P32" s="1"/>
    </row>
    <row r="33" spans="2:21" x14ac:dyDescent="0.3">
      <c r="B33" s="10">
        <v>43907</v>
      </c>
      <c r="C33" s="4">
        <v>27</v>
      </c>
      <c r="D33" s="11">
        <f>'dpc-covid19-ita-andamento-naz'!L24</f>
        <v>31506</v>
      </c>
      <c r="E33" s="11">
        <f t="shared" si="7"/>
        <v>3526</v>
      </c>
      <c r="F33" s="11">
        <f t="shared" si="0"/>
        <v>33826.43681504111</v>
      </c>
      <c r="G33" s="11">
        <f t="shared" si="8"/>
        <v>4091.5797452015577</v>
      </c>
      <c r="H33" s="11">
        <f t="shared" si="5"/>
        <v>5008.972511536741</v>
      </c>
      <c r="I33" s="11">
        <f t="shared" si="6"/>
        <v>3174.1869788663748</v>
      </c>
      <c r="J33" s="11">
        <f>'dpc-covid19-ita-andamento-naz'!K24</f>
        <v>2503</v>
      </c>
      <c r="K33" s="11">
        <f t="shared" si="4"/>
        <v>345</v>
      </c>
      <c r="L33" s="11">
        <f t="shared" si="1"/>
        <v>2930.5509261071047</v>
      </c>
      <c r="M33" s="11">
        <f t="shared" si="9"/>
        <v>385.83049249861369</v>
      </c>
      <c r="N33" s="11">
        <f t="shared" si="2"/>
        <v>512.15711105419769</v>
      </c>
      <c r="O33" s="11">
        <f t="shared" si="3"/>
        <v>259.5038739430297</v>
      </c>
      <c r="P33" s="1"/>
    </row>
    <row r="34" spans="2:21" x14ac:dyDescent="0.3">
      <c r="B34" s="10">
        <v>43908</v>
      </c>
      <c r="C34" s="4">
        <v>28</v>
      </c>
      <c r="D34" s="11">
        <f>'dpc-covid19-ita-andamento-naz'!L25</f>
        <v>35713</v>
      </c>
      <c r="E34" s="11">
        <f t="shared" si="7"/>
        <v>4207</v>
      </c>
      <c r="F34" s="11">
        <f t="shared" si="0"/>
        <v>38288.985022322289</v>
      </c>
      <c r="G34" s="11">
        <f t="shared" si="8"/>
        <v>4462.5482072811792</v>
      </c>
      <c r="H34" s="11">
        <f t="shared" si="5"/>
        <v>5379.9409736163625</v>
      </c>
      <c r="I34" s="11">
        <f t="shared" si="6"/>
        <v>3545.1554409459964</v>
      </c>
      <c r="J34" s="11">
        <f>'dpc-covid19-ita-andamento-naz'!K25</f>
        <v>2978</v>
      </c>
      <c r="K34" s="11">
        <f t="shared" si="4"/>
        <v>475</v>
      </c>
      <c r="L34" s="11">
        <f t="shared" si="1"/>
        <v>3363.9284295461339</v>
      </c>
      <c r="M34" s="11">
        <f t="shared" si="9"/>
        <v>433.37750343902917</v>
      </c>
      <c r="N34" s="11">
        <f t="shared" si="2"/>
        <v>559.70412199461316</v>
      </c>
      <c r="O34" s="11">
        <f t="shared" si="3"/>
        <v>307.05088488344518</v>
      </c>
      <c r="U34" s="1"/>
    </row>
    <row r="35" spans="2:21" x14ac:dyDescent="0.3">
      <c r="B35" s="10">
        <v>43909</v>
      </c>
      <c r="C35" s="4">
        <v>29</v>
      </c>
      <c r="D35" s="11">
        <f>'dpc-covid19-ita-andamento-naz'!L26</f>
        <v>41035</v>
      </c>
      <c r="E35" s="11">
        <f t="shared" si="7"/>
        <v>5322</v>
      </c>
      <c r="F35" s="11">
        <f t="shared" si="0"/>
        <v>43105.629122616418</v>
      </c>
      <c r="G35" s="11">
        <f t="shared" si="8"/>
        <v>4816.6441002941283</v>
      </c>
      <c r="H35" s="11">
        <f t="shared" si="5"/>
        <v>5734.0368666293116</v>
      </c>
      <c r="I35" s="11">
        <f t="shared" si="6"/>
        <v>3899.2513339589455</v>
      </c>
      <c r="J35" s="11">
        <f>'dpc-covid19-ita-andamento-naz'!K26</f>
        <v>3405</v>
      </c>
      <c r="K35" s="11">
        <f t="shared" si="4"/>
        <v>427</v>
      </c>
      <c r="L35" s="11">
        <f t="shared" si="1"/>
        <v>3847.3702530734568</v>
      </c>
      <c r="M35" s="11">
        <f t="shared" si="9"/>
        <v>483.44182352732287</v>
      </c>
      <c r="N35" s="11">
        <f t="shared" si="2"/>
        <v>609.76844208290686</v>
      </c>
      <c r="O35" s="11">
        <f t="shared" si="3"/>
        <v>357.11520497173888</v>
      </c>
    </row>
    <row r="36" spans="2:21" x14ac:dyDescent="0.3">
      <c r="B36" s="10">
        <v>43910</v>
      </c>
      <c r="C36" s="4">
        <v>30</v>
      </c>
      <c r="D36" s="11">
        <f>'dpc-covid19-ita-andamento-naz'!L27</f>
        <v>47021</v>
      </c>
      <c r="E36" s="11">
        <f t="shared" si="7"/>
        <v>5986</v>
      </c>
      <c r="F36" s="11">
        <f t="shared" si="0"/>
        <v>48246.284348673173</v>
      </c>
      <c r="G36" s="11">
        <f t="shared" si="8"/>
        <v>5140.6552260567551</v>
      </c>
      <c r="H36" s="11">
        <f t="shared" si="5"/>
        <v>6058.0479923919384</v>
      </c>
      <c r="I36" s="11">
        <f t="shared" si="6"/>
        <v>4223.2624597215718</v>
      </c>
      <c r="J36" s="11">
        <f>'dpc-covid19-ita-andamento-naz'!K27</f>
        <v>4032</v>
      </c>
      <c r="K36" s="11">
        <f t="shared" si="4"/>
        <v>627</v>
      </c>
      <c r="L36" s="11">
        <f t="shared" si="1"/>
        <v>4382.5329141603615</v>
      </c>
      <c r="M36" s="11">
        <f t="shared" si="9"/>
        <v>535.16266108690479</v>
      </c>
      <c r="N36" s="11">
        <f t="shared" si="2"/>
        <v>661.48927964248878</v>
      </c>
      <c r="O36" s="11">
        <f t="shared" si="3"/>
        <v>408.8360425313208</v>
      </c>
    </row>
    <row r="37" spans="2:21" x14ac:dyDescent="0.3">
      <c r="B37" s="10">
        <v>43911</v>
      </c>
      <c r="C37" s="4">
        <v>31</v>
      </c>
      <c r="D37" s="11">
        <f>'dpc-covid19-ita-andamento-naz'!L28</f>
        <v>53578</v>
      </c>
      <c r="E37" s="11">
        <f t="shared" si="7"/>
        <v>6557</v>
      </c>
      <c r="F37" s="11">
        <f t="shared" si="0"/>
        <v>53667.26496511406</v>
      </c>
      <c r="G37" s="11">
        <f t="shared" si="8"/>
        <v>5420.9806164408874</v>
      </c>
      <c r="H37" s="11">
        <f t="shared" si="5"/>
        <v>6338.3733827760707</v>
      </c>
      <c r="I37" s="11">
        <f t="shared" si="6"/>
        <v>4503.5878501057041</v>
      </c>
      <c r="J37" s="11">
        <f>'dpc-covid19-ita-andamento-naz'!K28</f>
        <v>4825</v>
      </c>
      <c r="K37" s="11">
        <f t="shared" si="4"/>
        <v>793</v>
      </c>
      <c r="L37" s="11">
        <f t="shared" si="1"/>
        <v>4969.9352948083015</v>
      </c>
      <c r="M37" s="11">
        <f t="shared" si="9"/>
        <v>587.40238064793994</v>
      </c>
      <c r="N37" s="11">
        <f t="shared" si="2"/>
        <v>713.72899920352393</v>
      </c>
      <c r="O37" s="11">
        <f t="shared" si="3"/>
        <v>461.07576209235594</v>
      </c>
    </row>
    <row r="38" spans="2:21" x14ac:dyDescent="0.3">
      <c r="B38" s="10">
        <v>43912</v>
      </c>
      <c r="C38" s="4">
        <v>32</v>
      </c>
      <c r="D38" s="11">
        <f>'dpc-covid19-ita-andamento-naz'!L29</f>
        <v>59138</v>
      </c>
      <c r="E38" s="11">
        <f t="shared" si="7"/>
        <v>5560</v>
      </c>
      <c r="F38" s="11">
        <f t="shared" si="0"/>
        <v>59311.955354454112</v>
      </c>
      <c r="G38" s="11">
        <f t="shared" si="8"/>
        <v>5644.6903893400522</v>
      </c>
      <c r="H38" s="11">
        <f t="shared" si="5"/>
        <v>6562.0831556752355</v>
      </c>
      <c r="I38" s="11">
        <f t="shared" si="6"/>
        <v>4727.2976230048689</v>
      </c>
      <c r="J38" s="11">
        <f>'dpc-covid19-ita-andamento-naz'!K29</f>
        <v>5476</v>
      </c>
      <c r="K38" s="11">
        <f t="shared" si="4"/>
        <v>651</v>
      </c>
      <c r="L38" s="11">
        <f t="shared" si="1"/>
        <v>5608.6916369171977</v>
      </c>
      <c r="M38" s="11">
        <f t="shared" si="9"/>
        <v>638.75634210889621</v>
      </c>
      <c r="N38" s="11">
        <f t="shared" si="2"/>
        <v>765.0829606644802</v>
      </c>
      <c r="O38" s="11">
        <f t="shared" si="3"/>
        <v>512.42972355331221</v>
      </c>
    </row>
    <row r="39" spans="2:21" x14ac:dyDescent="0.3">
      <c r="B39" s="23">
        <v>43913</v>
      </c>
      <c r="C39" s="4">
        <v>33</v>
      </c>
      <c r="D39" s="11">
        <f>'dpc-covid19-ita-andamento-naz'!L30</f>
        <v>63927</v>
      </c>
      <c r="E39" s="11">
        <f t="shared" si="7"/>
        <v>4789</v>
      </c>
      <c r="F39" s="11">
        <f t="shared" ref="F39:F70" si="10">Kn/(1+EXP(-($C39-t0n)/wn))</f>
        <v>65112.64899298019</v>
      </c>
      <c r="G39" s="11">
        <f t="shared" si="8"/>
        <v>5800.6936385260778</v>
      </c>
      <c r="H39" s="11">
        <f t="shared" si="5"/>
        <v>6718.0864048612611</v>
      </c>
      <c r="I39" s="11">
        <f t="shared" si="6"/>
        <v>4883.3008721908946</v>
      </c>
      <c r="J39" s="11">
        <f>'dpc-covid19-ita-andamento-naz'!K30</f>
        <v>6077</v>
      </c>
      <c r="K39" s="11">
        <f t="shared" si="4"/>
        <v>601</v>
      </c>
      <c r="L39" s="11">
        <f t="shared" ref="L39:L70" si="11">Kd/(1+EXP(-($C39-t0d)/wd))</f>
        <v>6296.2856018419734</v>
      </c>
      <c r="M39" s="11">
        <f t="shared" si="9"/>
        <v>687.59396492477572</v>
      </c>
      <c r="N39" s="11">
        <f t="shared" si="2"/>
        <v>813.92058348035971</v>
      </c>
      <c r="O39" s="11">
        <f t="shared" si="3"/>
        <v>561.26734636919173</v>
      </c>
    </row>
    <row r="40" spans="2:21" x14ac:dyDescent="0.3">
      <c r="B40" s="10">
        <v>43914</v>
      </c>
      <c r="C40" s="4">
        <v>34</v>
      </c>
      <c r="D40" s="11">
        <f>'dpc-covid19-ita-andamento-naz'!L31</f>
        <v>69176</v>
      </c>
      <c r="E40" s="11">
        <f t="shared" si="7"/>
        <v>5249</v>
      </c>
      <c r="F40" s="11">
        <f t="shared" si="10"/>
        <v>70993.5</v>
      </c>
      <c r="G40" s="11">
        <f t="shared" si="8"/>
        <v>5880.8510070198099</v>
      </c>
      <c r="H40" s="11">
        <f t="shared" si="5"/>
        <v>6798.2437733549932</v>
      </c>
      <c r="I40" s="11">
        <f t="shared" si="6"/>
        <v>4963.4582406846266</v>
      </c>
      <c r="J40" s="11">
        <f>'dpc-covid19-ita-andamento-naz'!K31</f>
        <v>6820</v>
      </c>
      <c r="K40" s="11">
        <f t="shared" si="4"/>
        <v>743</v>
      </c>
      <c r="L40" s="11">
        <f t="shared" si="11"/>
        <v>7028.4210025216089</v>
      </c>
      <c r="M40" s="11">
        <f t="shared" si="9"/>
        <v>732.1354006796355</v>
      </c>
      <c r="N40" s="11">
        <f t="shared" si="2"/>
        <v>858.46201923521949</v>
      </c>
      <c r="O40" s="11">
        <f t="shared" si="3"/>
        <v>605.8087821240515</v>
      </c>
    </row>
    <row r="41" spans="2:21" x14ac:dyDescent="0.3">
      <c r="B41" s="10">
        <v>43915</v>
      </c>
      <c r="C41" s="4">
        <v>35</v>
      </c>
      <c r="D41" s="11">
        <f>'dpc-covid19-ita-andamento-naz'!L32</f>
        <v>74386</v>
      </c>
      <c r="E41" s="11">
        <f t="shared" si="7"/>
        <v>5210</v>
      </c>
      <c r="F41" s="11">
        <f t="shared" si="10"/>
        <v>76874.35100701981</v>
      </c>
      <c r="G41" s="11">
        <f t="shared" si="8"/>
        <v>5880.8510070198099</v>
      </c>
      <c r="H41" s="11">
        <f t="shared" si="5"/>
        <v>6798.2437733549932</v>
      </c>
      <c r="I41" s="11">
        <f t="shared" si="6"/>
        <v>4963.4582406846266</v>
      </c>
      <c r="J41" s="11">
        <f>'dpc-covid19-ita-andamento-naz'!K32</f>
        <v>7503</v>
      </c>
      <c r="K41" s="11">
        <f t="shared" si="4"/>
        <v>683</v>
      </c>
      <c r="L41" s="11">
        <f t="shared" si="11"/>
        <v>7798.9840238755269</v>
      </c>
      <c r="M41" s="11">
        <f t="shared" si="9"/>
        <v>770.56302135391797</v>
      </c>
      <c r="N41" s="11">
        <f t="shared" si="2"/>
        <v>896.88963990950197</v>
      </c>
      <c r="O41" s="11">
        <f t="shared" si="3"/>
        <v>644.23640279833398</v>
      </c>
    </row>
    <row r="42" spans="2:21" x14ac:dyDescent="0.3">
      <c r="B42" s="10">
        <v>43916</v>
      </c>
      <c r="C42" s="4">
        <v>36</v>
      </c>
      <c r="D42" s="11">
        <f>'dpc-covid19-ita-andamento-naz'!L33</f>
        <v>80539</v>
      </c>
      <c r="E42" s="11">
        <f t="shared" si="7"/>
        <v>6153</v>
      </c>
      <c r="F42" s="11">
        <f t="shared" si="10"/>
        <v>82675.044645545888</v>
      </c>
      <c r="G42" s="11">
        <f t="shared" si="8"/>
        <v>5800.6936385260778</v>
      </c>
      <c r="H42" s="11">
        <f t="shared" si="5"/>
        <v>6718.0864048612611</v>
      </c>
      <c r="I42" s="11">
        <f t="shared" si="6"/>
        <v>4883.3008721908946</v>
      </c>
      <c r="J42" s="11">
        <f>'dpc-covid19-ita-andamento-naz'!K33</f>
        <v>8165</v>
      </c>
      <c r="K42" s="11">
        <f t="shared" si="4"/>
        <v>662</v>
      </c>
      <c r="L42" s="11">
        <f t="shared" si="11"/>
        <v>8600.1440407836162</v>
      </c>
      <c r="M42" s="11">
        <f t="shared" si="9"/>
        <v>801.16001690808935</v>
      </c>
      <c r="N42" s="11">
        <f t="shared" si="2"/>
        <v>927.48663546367334</v>
      </c>
      <c r="O42" s="11">
        <f t="shared" si="3"/>
        <v>674.83339835250536</v>
      </c>
    </row>
    <row r="43" spans="2:21" x14ac:dyDescent="0.3">
      <c r="B43" s="10">
        <v>43917</v>
      </c>
      <c r="C43" s="4">
        <v>37</v>
      </c>
      <c r="D43" s="11">
        <f>'dpc-covid19-ita-andamento-naz'!L34</f>
        <v>86498</v>
      </c>
      <c r="E43" s="11">
        <f t="shared" si="7"/>
        <v>5959</v>
      </c>
      <c r="F43" s="11">
        <f t="shared" si="10"/>
        <v>88319.735034885933</v>
      </c>
      <c r="G43" s="11">
        <f t="shared" si="8"/>
        <v>5644.6903893400449</v>
      </c>
      <c r="H43" s="11">
        <f t="shared" si="5"/>
        <v>6562.0831556752282</v>
      </c>
      <c r="I43" s="11">
        <f t="shared" si="6"/>
        <v>4727.2976230048616</v>
      </c>
      <c r="J43" s="11">
        <f>'dpc-covid19-ita-andamento-naz'!K34</f>
        <v>9134</v>
      </c>
      <c r="K43" s="11">
        <f t="shared" si="4"/>
        <v>969</v>
      </c>
      <c r="L43" s="11">
        <f t="shared" si="11"/>
        <v>9422.6051578783536</v>
      </c>
      <c r="M43" s="11">
        <f t="shared" si="9"/>
        <v>822.46111709473735</v>
      </c>
      <c r="N43" s="11">
        <f t="shared" si="2"/>
        <v>948.78773565032134</v>
      </c>
      <c r="O43" s="11">
        <f t="shared" si="3"/>
        <v>696.13449853915336</v>
      </c>
    </row>
    <row r="44" spans="2:21" x14ac:dyDescent="0.3">
      <c r="B44" s="10">
        <v>43918</v>
      </c>
      <c r="C44" s="4">
        <v>38</v>
      </c>
      <c r="D44" s="11">
        <f>'dpc-covid19-ita-andamento-naz'!L35</f>
        <v>92472</v>
      </c>
      <c r="E44" s="11">
        <f t="shared" si="7"/>
        <v>5974</v>
      </c>
      <c r="F44" s="11">
        <f t="shared" si="10"/>
        <v>93740.715651326813</v>
      </c>
      <c r="G44" s="11">
        <f t="shared" si="8"/>
        <v>5420.9806164408801</v>
      </c>
      <c r="H44" s="11">
        <f t="shared" si="5"/>
        <v>6338.3733827760634</v>
      </c>
      <c r="I44" s="11">
        <f>MAX(G44-CIn,0)</f>
        <v>4503.5878501056968</v>
      </c>
      <c r="J44" s="11">
        <f>'dpc-covid19-ita-andamento-naz'!K35</f>
        <v>10023</v>
      </c>
      <c r="K44" s="11">
        <f t="shared" si="4"/>
        <v>889</v>
      </c>
      <c r="L44" s="11">
        <f t="shared" si="11"/>
        <v>10256</v>
      </c>
      <c r="M44" s="11">
        <f t="shared" si="9"/>
        <v>833.39484212164643</v>
      </c>
      <c r="N44" s="11">
        <f t="shared" si="2"/>
        <v>959.72146067723043</v>
      </c>
      <c r="O44" s="11">
        <f t="shared" si="3"/>
        <v>707.06822356606244</v>
      </c>
    </row>
    <row r="45" spans="2:21" x14ac:dyDescent="0.3">
      <c r="B45" s="10">
        <v>43919</v>
      </c>
      <c r="C45" s="4">
        <v>39</v>
      </c>
      <c r="D45" s="11">
        <f>'dpc-covid19-ita-andamento-naz'!L36</f>
        <v>97689</v>
      </c>
      <c r="E45" s="11">
        <f t="shared" si="7"/>
        <v>5217</v>
      </c>
      <c r="F45" s="11">
        <f t="shared" si="10"/>
        <v>98881.370877383568</v>
      </c>
      <c r="G45" s="11">
        <f t="shared" si="8"/>
        <v>5140.6552260567551</v>
      </c>
      <c r="H45" s="11">
        <f>G45+CIn</f>
        <v>6058.0479923919384</v>
      </c>
      <c r="I45" s="11">
        <f>MAX(G45-CIn,0)</f>
        <v>4223.2624597215718</v>
      </c>
      <c r="J45" s="11">
        <f>'dpc-covid19-ita-andamento-naz'!K36</f>
        <v>10779</v>
      </c>
      <c r="K45" s="11">
        <f t="shared" si="4"/>
        <v>756</v>
      </c>
      <c r="L45" s="11">
        <f t="shared" si="11"/>
        <v>11089.394842121646</v>
      </c>
      <c r="M45" s="11">
        <f t="shared" si="9"/>
        <v>833.39484212164643</v>
      </c>
      <c r="N45" s="11">
        <f t="shared" si="2"/>
        <v>959.72146067723043</v>
      </c>
      <c r="O45" s="11">
        <f t="shared" si="3"/>
        <v>707.06822356606244</v>
      </c>
    </row>
    <row r="46" spans="2:21" x14ac:dyDescent="0.3">
      <c r="B46" s="10">
        <v>43920</v>
      </c>
      <c r="C46" s="4">
        <v>40</v>
      </c>
      <c r="D46" s="11">
        <f>'dpc-covid19-ita-andamento-naz'!L37</f>
        <v>101739</v>
      </c>
      <c r="E46" s="11">
        <f t="shared" si="7"/>
        <v>4050</v>
      </c>
      <c r="F46" s="11">
        <f t="shared" si="10"/>
        <v>103698.01497767771</v>
      </c>
      <c r="G46" s="11">
        <f t="shared" si="8"/>
        <v>4816.6441002941428</v>
      </c>
      <c r="H46" s="11">
        <f>G46+CIn</f>
        <v>5734.0368666293261</v>
      </c>
      <c r="I46" s="11">
        <f>MAX(G46-CIn,0)</f>
        <v>3899.25133395896</v>
      </c>
      <c r="J46" s="11">
        <f>'dpc-covid19-ita-andamento-naz'!K37</f>
        <v>11591</v>
      </c>
      <c r="K46" s="11">
        <f t="shared" si="4"/>
        <v>812</v>
      </c>
      <c r="L46" s="11">
        <f t="shared" si="11"/>
        <v>11911.855959216382</v>
      </c>
      <c r="M46" s="11">
        <f t="shared" si="9"/>
        <v>822.46111709473553</v>
      </c>
      <c r="N46" s="11">
        <f t="shared" si="2"/>
        <v>948.78773565031952</v>
      </c>
      <c r="O46" s="11">
        <f t="shared" si="3"/>
        <v>696.13449853915154</v>
      </c>
    </row>
    <row r="47" spans="2:21" x14ac:dyDescent="0.3">
      <c r="B47" s="10">
        <v>43921</v>
      </c>
      <c r="C47" s="4">
        <v>41</v>
      </c>
      <c r="D47" s="11">
        <f>'dpc-covid19-ita-andamento-naz'!L38</f>
        <v>105792</v>
      </c>
      <c r="E47" s="11">
        <f t="shared" si="7"/>
        <v>4053</v>
      </c>
      <c r="F47" s="11">
        <f t="shared" si="10"/>
        <v>108160.5631849589</v>
      </c>
      <c r="G47" s="11">
        <f t="shared" si="8"/>
        <v>4462.5482072811865</v>
      </c>
      <c r="H47" s="11">
        <f>G47+CIn</f>
        <v>5379.9409736163698</v>
      </c>
      <c r="I47" s="11">
        <f>MAX(G47-CIn,0)</f>
        <v>3545.1554409460036</v>
      </c>
      <c r="J47" s="11">
        <f>'dpc-covid19-ita-andamento-naz'!K38</f>
        <v>12428</v>
      </c>
      <c r="K47" s="11">
        <f t="shared" si="4"/>
        <v>837</v>
      </c>
      <c r="L47" s="11">
        <f t="shared" si="11"/>
        <v>12713.015976124474</v>
      </c>
      <c r="M47" s="11">
        <f t="shared" si="9"/>
        <v>801.16001690809208</v>
      </c>
      <c r="N47" s="11">
        <f>M47+CId</f>
        <v>927.48663546367607</v>
      </c>
      <c r="O47" s="11">
        <f>MAX(M47-CId,0)</f>
        <v>674.83339835250808</v>
      </c>
    </row>
    <row r="48" spans="2:21" x14ac:dyDescent="0.3">
      <c r="B48" s="10">
        <v>43922</v>
      </c>
      <c r="C48" s="4">
        <v>42</v>
      </c>
      <c r="D48" s="11">
        <f>'dpc-covid19-ita-andamento-naz'!L39</f>
        <v>110574</v>
      </c>
      <c r="E48" s="11">
        <f t="shared" si="7"/>
        <v>4782</v>
      </c>
      <c r="F48" s="11">
        <f t="shared" si="10"/>
        <v>112252.14293016044</v>
      </c>
      <c r="G48" s="11">
        <f t="shared" si="8"/>
        <v>4091.5797452015395</v>
      </c>
      <c r="H48" s="11">
        <f>G48+CIn</f>
        <v>5008.9725115367228</v>
      </c>
      <c r="I48" s="11">
        <f>MAX(G48-CIn,0)</f>
        <v>3174.1869788663566</v>
      </c>
      <c r="J48" s="11">
        <f>'dpc-covid19-ita-andamento-naz'!K39</f>
        <v>13155</v>
      </c>
      <c r="K48" s="11">
        <f t="shared" si="4"/>
        <v>727</v>
      </c>
      <c r="L48" s="11">
        <f t="shared" si="11"/>
        <v>13483.578997478389</v>
      </c>
      <c r="M48" s="11">
        <f t="shared" si="9"/>
        <v>770.56302135391525</v>
      </c>
      <c r="N48" s="11">
        <f>M48+CId</f>
        <v>896.88963990949924</v>
      </c>
      <c r="O48" s="11">
        <f>MAX(M48-CId,0)</f>
        <v>644.23640279833126</v>
      </c>
    </row>
    <row r="49" spans="2:13" x14ac:dyDescent="0.3">
      <c r="B49" s="10">
        <v>43923</v>
      </c>
      <c r="C49" s="4">
        <v>43</v>
      </c>
      <c r="E49" s="11"/>
      <c r="F49" s="11">
        <f t="shared" si="10"/>
        <v>115967.86872721765</v>
      </c>
      <c r="G49" s="11">
        <f t="shared" si="8"/>
        <v>3715.72579705721</v>
      </c>
      <c r="K49" s="11"/>
      <c r="L49" s="11">
        <f t="shared" si="11"/>
        <v>14215.714398158025</v>
      </c>
      <c r="M49" s="11">
        <f t="shared" si="9"/>
        <v>732.1354006796355</v>
      </c>
    </row>
    <row r="50" spans="2:13" x14ac:dyDescent="0.3">
      <c r="B50" s="10">
        <v>43924</v>
      </c>
      <c r="C50" s="4">
        <v>44</v>
      </c>
      <c r="E50" s="11"/>
      <c r="F50" s="11">
        <f t="shared" si="10"/>
        <v>119313.05958725339</v>
      </c>
      <c r="G50" s="11">
        <f t="shared" si="8"/>
        <v>3345.1908600357419</v>
      </c>
      <c r="K50" s="11"/>
      <c r="L50" s="11">
        <f t="shared" si="11"/>
        <v>14903.308363082802</v>
      </c>
      <c r="M50" s="11">
        <f t="shared" si="9"/>
        <v>687.59396492477754</v>
      </c>
    </row>
    <row r="51" spans="2:13" x14ac:dyDescent="0.3">
      <c r="B51" s="10">
        <v>43925</v>
      </c>
      <c r="C51" s="4">
        <v>45</v>
      </c>
      <c r="E51" s="11"/>
      <c r="F51" s="11">
        <f t="shared" si="10"/>
        <v>122301.17774711009</v>
      </c>
      <c r="G51" s="11">
        <f t="shared" si="8"/>
        <v>2988.1181598567055</v>
      </c>
      <c r="K51" s="11"/>
      <c r="L51" s="11">
        <f t="shared" si="11"/>
        <v>15542.064705191699</v>
      </c>
      <c r="M51" s="11">
        <f t="shared" si="9"/>
        <v>638.75634210889621</v>
      </c>
    </row>
    <row r="52" spans="2:13" x14ac:dyDescent="0.3">
      <c r="B52" s="10">
        <v>43926</v>
      </c>
      <c r="C52" s="4">
        <v>46</v>
      </c>
      <c r="E52" s="11"/>
      <c r="F52" s="11">
        <f t="shared" si="10"/>
        <v>124951.72743887715</v>
      </c>
      <c r="G52" s="11">
        <f t="shared" si="8"/>
        <v>2650.5496917670534</v>
      </c>
      <c r="K52" s="11"/>
      <c r="L52" s="11">
        <f t="shared" si="11"/>
        <v>16129.467085839638</v>
      </c>
      <c r="M52" s="11">
        <f t="shared" si="9"/>
        <v>587.40238064793994</v>
      </c>
    </row>
    <row r="53" spans="2:13" x14ac:dyDescent="0.3">
      <c r="B53" s="10">
        <v>43927</v>
      </c>
      <c r="C53" s="4">
        <v>47</v>
      </c>
      <c r="E53" s="11"/>
      <c r="F53" s="11">
        <f t="shared" si="10"/>
        <v>127288.29137969929</v>
      </c>
      <c r="G53" s="11">
        <f t="shared" si="8"/>
        <v>2336.5639408221468</v>
      </c>
      <c r="K53" s="11"/>
      <c r="L53" s="11">
        <f t="shared" si="11"/>
        <v>16664.629746926545</v>
      </c>
      <c r="M53" s="11">
        <f t="shared" si="9"/>
        <v>535.16266108690616</v>
      </c>
    </row>
    <row r="54" spans="2:13" x14ac:dyDescent="0.3">
      <c r="B54" s="10">
        <v>43928</v>
      </c>
      <c r="C54" s="4">
        <v>48</v>
      </c>
      <c r="E54" s="11"/>
      <c r="F54" s="11">
        <f t="shared" si="10"/>
        <v>129336.81736510053</v>
      </c>
      <c r="G54" s="11">
        <f t="shared" si="8"/>
        <v>2048.5259854012402</v>
      </c>
      <c r="K54" s="11"/>
      <c r="L54" s="11">
        <f t="shared" si="11"/>
        <v>17148.071570453867</v>
      </c>
      <c r="M54" s="11">
        <f t="shared" si="9"/>
        <v>483.44182352732241</v>
      </c>
    </row>
    <row r="55" spans="2:13" x14ac:dyDescent="0.3">
      <c r="B55" s="10">
        <v>43929</v>
      </c>
      <c r="C55" s="4">
        <v>49</v>
      </c>
      <c r="E55" s="11"/>
      <c r="F55" s="11">
        <f t="shared" si="10"/>
        <v>131124.20934437751</v>
      </c>
      <c r="G55" s="11">
        <f t="shared" si="8"/>
        <v>1787.3919792769739</v>
      </c>
      <c r="K55" s="11"/>
      <c r="L55" s="11">
        <f t="shared" si="11"/>
        <v>17581.449073892898</v>
      </c>
      <c r="M55" s="11">
        <f t="shared" si="9"/>
        <v>433.37750343903099</v>
      </c>
    </row>
    <row r="56" spans="2:13" x14ac:dyDescent="0.3">
      <c r="B56" s="10">
        <v>43930</v>
      </c>
      <c r="C56" s="4">
        <v>50</v>
      </c>
      <c r="E56" s="11"/>
      <c r="F56" s="11">
        <f t="shared" si="10"/>
        <v>132677.23253473267</v>
      </c>
      <c r="G56" s="11">
        <f t="shared" si="8"/>
        <v>1553.0231903551612</v>
      </c>
      <c r="K56" s="11"/>
      <c r="L56" s="11">
        <f t="shared" si="11"/>
        <v>17967.279566391509</v>
      </c>
      <c r="M56" s="11">
        <f t="shared" si="9"/>
        <v>385.83049249861142</v>
      </c>
    </row>
    <row r="57" spans="2:13" x14ac:dyDescent="0.3">
      <c r="B57" s="10">
        <v>43931</v>
      </c>
      <c r="C57" s="4">
        <v>51</v>
      </c>
      <c r="E57" s="11"/>
      <c r="F57" s="11">
        <f t="shared" si="10"/>
        <v>134021.71183752327</v>
      </c>
      <c r="G57" s="11">
        <f t="shared" si="8"/>
        <v>1344.479302790598</v>
      </c>
      <c r="K57" s="11"/>
      <c r="L57" s="11">
        <f t="shared" si="11"/>
        <v>18308.678391522237</v>
      </c>
      <c r="M57" s="11">
        <f t="shared" si="9"/>
        <v>341.39882513072735</v>
      </c>
    </row>
    <row r="58" spans="2:13" x14ac:dyDescent="0.3">
      <c r="B58" s="10">
        <v>43932</v>
      </c>
      <c r="C58" s="4">
        <v>52</v>
      </c>
      <c r="E58" s="11"/>
      <c r="F58" s="11">
        <f t="shared" si="10"/>
        <v>135181.98551465999</v>
      </c>
      <c r="G58" s="11">
        <f t="shared" si="8"/>
        <v>1160.2736771367199</v>
      </c>
      <c r="K58" s="11"/>
      <c r="L58" s="11">
        <f t="shared" si="11"/>
        <v>18609.126047705297</v>
      </c>
      <c r="M58" s="11">
        <f t="shared" si="9"/>
        <v>300.44765618305973</v>
      </c>
    </row>
    <row r="59" spans="2:13" x14ac:dyDescent="0.3">
      <c r="B59" s="10">
        <v>43933</v>
      </c>
      <c r="C59" s="4">
        <v>53</v>
      </c>
      <c r="E59" s="11"/>
      <c r="F59" s="11">
        <f t="shared" si="10"/>
        <v>136180.56887425561</v>
      </c>
      <c r="G59" s="11">
        <f t="shared" si="8"/>
        <v>998.583359595621</v>
      </c>
      <c r="K59" s="11"/>
      <c r="L59" s="11">
        <f t="shared" si="11"/>
        <v>18872.273513834658</v>
      </c>
      <c r="M59" s="11">
        <f t="shared" si="9"/>
        <v>263.14746612936142</v>
      </c>
    </row>
    <row r="60" spans="2:13" x14ac:dyDescent="0.3">
      <c r="B60" s="10">
        <v>43934</v>
      </c>
      <c r="C60" s="4">
        <v>54</v>
      </c>
      <c r="E60" s="11"/>
      <c r="F60" s="11">
        <f t="shared" si="10"/>
        <v>137037.98246208491</v>
      </c>
      <c r="G60" s="11">
        <f t="shared" si="8"/>
        <v>857.41358782930183</v>
      </c>
      <c r="K60" s="11"/>
      <c r="L60" s="11">
        <f t="shared" si="11"/>
        <v>19101.788149657757</v>
      </c>
      <c r="M60" s="11">
        <f t="shared" si="9"/>
        <v>229.51463582309952</v>
      </c>
    </row>
    <row r="61" spans="2:13" x14ac:dyDescent="0.3">
      <c r="B61" s="10">
        <v>43935</v>
      </c>
      <c r="C61" s="4">
        <v>55</v>
      </c>
      <c r="E61" s="11"/>
      <c r="F61" s="11">
        <f t="shared" si="10"/>
        <v>137772.70320155835</v>
      </c>
      <c r="G61" s="11">
        <f t="shared" si="8"/>
        <v>734.72073947344325</v>
      </c>
      <c r="K61" s="11"/>
      <c r="L61" s="11">
        <f t="shared" si="11"/>
        <v>19301.238352753076</v>
      </c>
      <c r="M61" s="11">
        <f t="shared" si="9"/>
        <v>199.45020309531901</v>
      </c>
    </row>
    <row r="62" spans="2:13" x14ac:dyDescent="0.3">
      <c r="B62" s="10">
        <v>43936</v>
      </c>
      <c r="C62" s="4">
        <v>56</v>
      </c>
      <c r="E62" s="11"/>
      <c r="F62" s="11">
        <f t="shared" si="10"/>
        <v>138401.20295231923</v>
      </c>
      <c r="G62" s="11">
        <f t="shared" si="8"/>
        <v>628.49975076087867</v>
      </c>
      <c r="K62" s="11"/>
      <c r="L62" s="11">
        <f t="shared" si="11"/>
        <v>19474.012616805911</v>
      </c>
      <c r="M62" s="11">
        <f t="shared" si="9"/>
        <v>172.77426405283404</v>
      </c>
    </row>
    <row r="63" spans="2:13" x14ac:dyDescent="0.3">
      <c r="B63" s="10">
        <v>43937</v>
      </c>
      <c r="C63" s="4">
        <v>57</v>
      </c>
      <c r="E63" s="11"/>
      <c r="F63" s="11">
        <f t="shared" si="10"/>
        <v>138938.04560973219</v>
      </c>
      <c r="G63" s="11">
        <f t="shared" si="8"/>
        <v>536.8426574129553</v>
      </c>
      <c r="K63" s="11"/>
      <c r="L63" s="11">
        <f t="shared" si="11"/>
        <v>19623.267430389184</v>
      </c>
      <c r="M63" s="11">
        <f t="shared" si="9"/>
        <v>149.25481358327306</v>
      </c>
    </row>
    <row r="64" spans="2:13" x14ac:dyDescent="0.3">
      <c r="B64" s="10">
        <v>43938</v>
      </c>
      <c r="C64" s="4">
        <v>58</v>
      </c>
      <c r="E64" s="11"/>
      <c r="F64" s="11">
        <f t="shared" si="10"/>
        <v>139396.02024899688</v>
      </c>
      <c r="G64" s="11">
        <f t="shared" si="8"/>
        <v>457.97463926469209</v>
      </c>
      <c r="K64" s="11"/>
      <c r="L64" s="11">
        <f t="shared" si="11"/>
        <v>19751.898204719262</v>
      </c>
      <c r="M64" s="11">
        <f t="shared" si="9"/>
        <v>128.63077433007857</v>
      </c>
    </row>
    <row r="65" spans="2:13" x14ac:dyDescent="0.3">
      <c r="B65" s="10">
        <v>43939</v>
      </c>
      <c r="C65" s="4">
        <v>59</v>
      </c>
      <c r="E65" s="11"/>
      <c r="F65" s="11">
        <f t="shared" si="10"/>
        <v>139786.29345399109</v>
      </c>
      <c r="G65" s="11">
        <f t="shared" si="8"/>
        <v>390.2732049942133</v>
      </c>
      <c r="K65" s="11"/>
      <c r="L65" s="11">
        <f t="shared" si="11"/>
        <v>19862.527774867958</v>
      </c>
      <c r="M65" s="11">
        <f t="shared" si="9"/>
        <v>110.62957014869608</v>
      </c>
    </row>
    <row r="66" spans="2:13" x14ac:dyDescent="0.3">
      <c r="B66" s="10">
        <v>43940</v>
      </c>
      <c r="C66" s="4">
        <v>60</v>
      </c>
      <c r="E66" s="11"/>
      <c r="F66" s="11">
        <f t="shared" si="10"/>
        <v>140118.56867398848</v>
      </c>
      <c r="G66" s="11">
        <f t="shared" si="8"/>
        <v>332.2752199973911</v>
      </c>
      <c r="K66" s="11"/>
      <c r="L66" s="11">
        <f t="shared" si="11"/>
        <v>19957.507703253003</v>
      </c>
      <c r="M66" s="11">
        <f t="shared" si="9"/>
        <v>94.979928385044332</v>
      </c>
    </row>
    <row r="67" spans="2:13" x14ac:dyDescent="0.3">
      <c r="B67" s="10">
        <v>43941</v>
      </c>
      <c r="C67" s="4">
        <v>61</v>
      </c>
      <c r="E67" s="11"/>
      <c r="F67" s="11">
        <f t="shared" si="10"/>
        <v>140401.24420920401</v>
      </c>
      <c r="G67" s="11">
        <f t="shared" si="8"/>
        <v>282.67553521553054</v>
      </c>
      <c r="K67" s="11"/>
      <c r="L67" s="11">
        <f t="shared" si="11"/>
        <v>20038.92842735122</v>
      </c>
      <c r="M67" s="11">
        <f t="shared" si="9"/>
        <v>81.420724098217761</v>
      </c>
    </row>
    <row r="68" spans="2:13" x14ac:dyDescent="0.3">
      <c r="B68" s="10">
        <v>43942</v>
      </c>
      <c r="C68" s="4">
        <v>62</v>
      </c>
      <c r="E68" s="11"/>
      <c r="F68" s="11">
        <f t="shared" si="10"/>
        <v>140641.56432300241</v>
      </c>
      <c r="G68" s="11">
        <f t="shared" si="8"/>
        <v>240.32011379839969</v>
      </c>
      <c r="K68" s="11"/>
      <c r="L68" s="11">
        <f t="shared" si="11"/>
        <v>20108.635106648024</v>
      </c>
      <c r="M68" s="11">
        <f t="shared" si="9"/>
        <v>69.706679296803486</v>
      </c>
    </row>
    <row r="69" spans="2:13" x14ac:dyDescent="0.3">
      <c r="B69" s="10">
        <v>43943</v>
      </c>
      <c r="C69" s="4">
        <v>63</v>
      </c>
      <c r="E69" s="11"/>
      <c r="F69" s="11">
        <f t="shared" si="10"/>
        <v>140845.76014149113</v>
      </c>
      <c r="G69" s="11">
        <f t="shared" si="8"/>
        <v>204.19581848871894</v>
      </c>
      <c r="K69" s="11"/>
      <c r="L69" s="11">
        <f t="shared" si="11"/>
        <v>20168.246763452331</v>
      </c>
      <c r="M69" s="11">
        <f t="shared" si="9"/>
        <v>59.611656804307131</v>
      </c>
    </row>
    <row r="70" spans="2:13" x14ac:dyDescent="0.3">
      <c r="B70" s="10">
        <v>43944</v>
      </c>
      <c r="C70" s="4">
        <v>64</v>
      </c>
      <c r="E70" s="11"/>
      <c r="F70" s="11">
        <f t="shared" si="10"/>
        <v>141019.17856684735</v>
      </c>
      <c r="G70" s="11">
        <f t="shared" si="8"/>
        <v>173.41842535621254</v>
      </c>
      <c r="K70" s="11"/>
      <c r="L70" s="11">
        <f t="shared" si="11"/>
        <v>20219.176944256589</v>
      </c>
      <c r="M70" s="11">
        <f t="shared" si="9"/>
        <v>50.930180804258271</v>
      </c>
    </row>
    <row r="71" spans="2:13" x14ac:dyDescent="0.3">
      <c r="B71" s="10"/>
      <c r="C71" s="4"/>
    </row>
    <row r="72" spans="2:13" x14ac:dyDescent="0.3">
      <c r="B72" s="10"/>
      <c r="C72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44</vt:i4>
      </vt:variant>
    </vt:vector>
  </HeadingPairs>
  <TitlesOfParts>
    <vt:vector size="47" baseType="lpstr">
      <vt:lpstr>dpc-covid19-ita-andamento-naz</vt:lpstr>
      <vt:lpstr>Cumul_confirmed - Boltzmann fit</vt:lpstr>
      <vt:lpstr>New_confirmed - Boltzmann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df</vt:lpstr>
      <vt:lpstr>dfd</vt:lpstr>
      <vt:lpstr>dfh</vt:lpstr>
      <vt:lpstr>dfn</vt:lpstr>
      <vt:lpstr>E_end</vt:lpstr>
      <vt:lpstr>E_start</vt:lpstr>
      <vt:lpstr>G_end</vt:lpstr>
      <vt:lpstr>G_start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2020-04-02T00:34:48Z</dcterms:modified>
</cp:coreProperties>
</file>