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01FA7D22-768B-4E27-8AEE-34C9048D1A3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-19-ita-andamento-naz" sheetId="16" r:id="rId1"/>
    <sheet name="Cumul_ confirmed - Gompertz fit" sheetId="12" r:id="rId2"/>
    <sheet name="New_ confirmed - Gompertz fit" sheetId="17" r:id="rId3"/>
  </sheets>
  <definedNames>
    <definedName name="CI">'Cumul_ confirmed - Gompertz fit'!$N$15</definedName>
    <definedName name="CId">'New_ confirmed - Gompertz fit'!$R$26</definedName>
    <definedName name="CIh">'Cumul_ confirmed - Gompertz fit'!$N$26</definedName>
    <definedName name="CIn">'New_ confirmed - Gompertz fit'!$R$15</definedName>
    <definedName name="Critical_t">'Cumul_ confirmed - Gompertz fit'!$N$14</definedName>
    <definedName name="Critical_td">'New_ confirmed - Gompertz fit'!$R$25</definedName>
    <definedName name="Critical_th">'Cumul_ confirmed - Gompertz fit'!$N$25</definedName>
    <definedName name="Critical_tn">'New_ confirmed - Gompertz fit'!$R$14</definedName>
    <definedName name="D_End">'Cumul_ confirmed - Gompertz fit'!$D$47</definedName>
    <definedName name="D_Start">'Cumul_ confirmed - Gompertz fit'!$D$7</definedName>
    <definedName name="DatiEsterni_1" localSheetId="0" hidden="1">'dpc-covid-19-ita-andamento-naz'!$A$1:$O$39</definedName>
    <definedName name="DatiEsterni_2" localSheetId="0" hidden="1">'dpc-covid-19-ita-andamento-naz'!#REF!</definedName>
    <definedName name="df">'Cumul_ confirmed - Gompertz fit'!$N$11</definedName>
    <definedName name="dfd">'New_ confirmed - Gompertz fit'!$R$22</definedName>
    <definedName name="dfh">'Cumul_ confirmed - Gompertz fit'!$N$22</definedName>
    <definedName name="dfn">'New_ confirmed - Gompertz fit'!$R$11</definedName>
    <definedName name="E_End">'Cumul_ confirmed - Gompertz fit'!$E$47</definedName>
    <definedName name="E_Start">'Cumul_ confirmed - Gompertz fit'!$E$7</definedName>
    <definedName name="H_End">'Cumul_ confirmed - Gompertz fit'!$H$47</definedName>
    <definedName name="H_Start">'Cumul_ confirmed - Gompertz fit'!$H$7</definedName>
    <definedName name="I_End">'Cumul_ confirmed - Gompertz fit'!$I$47</definedName>
    <definedName name="I_Start">'Cumul_ confirmed - Gompertz fit'!$I$7</definedName>
    <definedName name="K">'Cumul_ confirmed - Gompertz fit'!$N$7</definedName>
    <definedName name="K_end">'New_ confirmed - Gompertz fit'!$K$47</definedName>
    <definedName name="K_start">'New_ confirmed - Gompertz fit'!$K$7</definedName>
    <definedName name="Kd">'New_ confirmed - Gompertz fit'!$R$18</definedName>
    <definedName name="Kh">'Cumul_ confirmed - Gompertz fit'!$N$18</definedName>
    <definedName name="Kn">'New_ confirmed - Gompertz fit'!$R$7</definedName>
    <definedName name="M_end">'New_ confirmed - Gompertz fit'!$M$47</definedName>
    <definedName name="M_start">'New_ confirmed - Gompertz fit'!$M$7</definedName>
    <definedName name="Mean_of_y">'Cumul_ confirmed - Gompertz fit'!$N$10</definedName>
    <definedName name="Mean_of_yd">'New_ confirmed - Gompertz fit'!$R$21</definedName>
    <definedName name="Mean_of_yh">'Cumul_ confirmed - Gompertz fit'!$N$21</definedName>
    <definedName name="Mean_of_yn">'New_ confirmed - Gompertz fit'!$R$10</definedName>
    <definedName name="RSQ">'Cumul_ confirmed - Gompertz fit'!$N$13</definedName>
    <definedName name="RSQd">'New_ confirmed - Gompertz fit'!$R$24</definedName>
    <definedName name="RSQh">'Cumul_ confirmed - Gompertz fit'!$N$24</definedName>
    <definedName name="RSQn">'New_ confirmed - Gompertz fit'!$R$13</definedName>
    <definedName name="SE_of_y">'Cumul_ confirmed - Gompertz fit'!$N$12</definedName>
    <definedName name="SE_of_yd">'New_ confirmed - Gompertz fit'!$R$23</definedName>
    <definedName name="SE_of_yh">'Cumul_ confirmed - Gompertz fit'!$N$23</definedName>
    <definedName name="SE_of_yn">'New_ confirmed - Gompertz fit'!$R$12</definedName>
    <definedName name="solver_adj" localSheetId="1" hidden="1">'Cumul_ confirmed - Gompertz fit'!$N$18,'Cumul_ confirmed - Gompertz fit'!$N$19,'Cumul_ confirmed - Gompertz fit'!$N$20</definedName>
    <definedName name="solver_adj" localSheetId="2" hidden="1">'New_ confirmed - Gompertz fit'!$R$18,'New_ confirmed - Gompertz fit'!$R$19,'New_ confirmed - Gompertz fit'!$R$20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 confirmed - Gompertz fit'!$N$18</definedName>
    <definedName name="solver_lhs1" localSheetId="2" hidden="1">'New_ confirmed - Gompertz fit'!$R$18</definedName>
    <definedName name="solver_lhs2" localSheetId="1" hidden="1">'Cumul_ confirmed - Gompertz fit'!$N$19</definedName>
    <definedName name="solver_lhs2" localSheetId="2" hidden="1">'New_ confirmed - Gompertz fit'!$R$19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'Cumul_ confirmed - Gompertz fit'!$N$24</definedName>
    <definedName name="solver_opt" localSheetId="2" hidden="1">'New_ confirmed - Gompertz fit'!$R$24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 confirmed - Gompertz fit'!$N$8</definedName>
    <definedName name="t0d">'New_ confirmed - Gompertz fit'!$R$19</definedName>
    <definedName name="t0h">'Cumul_ confirmed - Gompertz fit'!$N$19</definedName>
    <definedName name="t0n">'New_ confirmed - Gompertz fit'!$R$8</definedName>
    <definedName name="w">'Cumul_ confirmed - Gompertz fit'!$N$9</definedName>
    <definedName name="wd">'New_ confirmed - Gompertz fit'!$R$20</definedName>
    <definedName name="wh">'Cumul_ confirmed - Gompertz fit'!$N$20</definedName>
    <definedName name="wn">'New_ confirmed - Gompertz fit'!$R$9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2" i="17" l="1"/>
  <c r="R21" i="17"/>
  <c r="R11" i="17"/>
  <c r="R10" i="17"/>
  <c r="K46" i="17"/>
  <c r="K47" i="17"/>
  <c r="K48" i="17"/>
  <c r="J46" i="17"/>
  <c r="J47" i="17"/>
  <c r="J48" i="17"/>
  <c r="E46" i="17"/>
  <c r="E47" i="17"/>
  <c r="E48" i="17"/>
  <c r="D46" i="17"/>
  <c r="D47" i="17"/>
  <c r="D48" i="17"/>
  <c r="N22" i="12"/>
  <c r="N21" i="12"/>
  <c r="N11" i="12"/>
  <c r="N10" i="12"/>
  <c r="H46" i="12"/>
  <c r="H47" i="12"/>
  <c r="H48" i="12"/>
  <c r="D46" i="12"/>
  <c r="D47" i="12"/>
  <c r="D48" i="12"/>
  <c r="F130" i="17" l="1"/>
  <c r="F129" i="17"/>
  <c r="F128" i="17"/>
  <c r="F127" i="17"/>
  <c r="F126" i="17"/>
  <c r="F125" i="17"/>
  <c r="F124" i="17"/>
  <c r="F123" i="17"/>
  <c r="F122" i="17"/>
  <c r="F121" i="17"/>
  <c r="F120" i="17"/>
  <c r="F119" i="17"/>
  <c r="F118" i="17"/>
  <c r="F117" i="17"/>
  <c r="F116" i="17"/>
  <c r="F115" i="17"/>
  <c r="F114" i="17"/>
  <c r="F113" i="17"/>
  <c r="F112" i="17"/>
  <c r="F111" i="17"/>
  <c r="F110" i="17"/>
  <c r="F109" i="17"/>
  <c r="F108" i="17"/>
  <c r="F107" i="17"/>
  <c r="F106" i="17"/>
  <c r="F105" i="17"/>
  <c r="F104" i="17"/>
  <c r="F103" i="17"/>
  <c r="F102" i="17"/>
  <c r="F101" i="17"/>
  <c r="F100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4" i="17"/>
  <c r="F73" i="17"/>
  <c r="F72" i="17"/>
  <c r="F71" i="17"/>
  <c r="L70" i="17"/>
  <c r="F70" i="17"/>
  <c r="L69" i="17"/>
  <c r="F69" i="17"/>
  <c r="L68" i="17"/>
  <c r="F68" i="17"/>
  <c r="L67" i="17"/>
  <c r="F67" i="17"/>
  <c r="L66" i="17"/>
  <c r="F66" i="17"/>
  <c r="L65" i="17"/>
  <c r="F65" i="17"/>
  <c r="L64" i="17"/>
  <c r="F64" i="17"/>
  <c r="L63" i="17"/>
  <c r="F63" i="17"/>
  <c r="L62" i="17"/>
  <c r="F62" i="17"/>
  <c r="L61" i="17"/>
  <c r="F61" i="17"/>
  <c r="L60" i="17"/>
  <c r="F60" i="17"/>
  <c r="L59" i="17"/>
  <c r="F59" i="17"/>
  <c r="L58" i="17"/>
  <c r="F58" i="17"/>
  <c r="L57" i="17"/>
  <c r="F57" i="17"/>
  <c r="L56" i="17"/>
  <c r="F56" i="17"/>
  <c r="L55" i="17"/>
  <c r="F55" i="17"/>
  <c r="L54" i="17"/>
  <c r="F54" i="17"/>
  <c r="L53" i="17"/>
  <c r="F53" i="17"/>
  <c r="L52" i="17"/>
  <c r="F52" i="17"/>
  <c r="L51" i="17"/>
  <c r="F51" i="17"/>
  <c r="L50" i="17"/>
  <c r="F50" i="17"/>
  <c r="L49" i="17"/>
  <c r="F49" i="17"/>
  <c r="L48" i="17"/>
  <c r="F48" i="17"/>
  <c r="L47" i="17"/>
  <c r="F47" i="17"/>
  <c r="L46" i="17"/>
  <c r="F46" i="17"/>
  <c r="L45" i="17"/>
  <c r="J45" i="17"/>
  <c r="K45" i="17" s="1"/>
  <c r="F45" i="17"/>
  <c r="D45" i="17"/>
  <c r="E45" i="17" s="1"/>
  <c r="L44" i="17"/>
  <c r="K44" i="17"/>
  <c r="J44" i="17"/>
  <c r="F44" i="17"/>
  <c r="D44" i="17"/>
  <c r="L43" i="17"/>
  <c r="J43" i="17"/>
  <c r="K43" i="17" s="1"/>
  <c r="F43" i="17"/>
  <c r="D43" i="17"/>
  <c r="E43" i="17" s="1"/>
  <c r="L42" i="17"/>
  <c r="J42" i="17"/>
  <c r="F42" i="17"/>
  <c r="D42" i="17"/>
  <c r="L41" i="17"/>
  <c r="J41" i="17"/>
  <c r="K41" i="17" s="1"/>
  <c r="F41" i="17"/>
  <c r="D41" i="17"/>
  <c r="E41" i="17" s="1"/>
  <c r="L40" i="17"/>
  <c r="J40" i="17"/>
  <c r="F40" i="17"/>
  <c r="D40" i="17"/>
  <c r="E40" i="17" s="1"/>
  <c r="L39" i="17"/>
  <c r="J39" i="17"/>
  <c r="K39" i="17" s="1"/>
  <c r="F39" i="17"/>
  <c r="D39" i="17"/>
  <c r="L38" i="17"/>
  <c r="J38" i="17"/>
  <c r="K38" i="17" s="1"/>
  <c r="F38" i="17"/>
  <c r="D38" i="17"/>
  <c r="E38" i="17" s="1"/>
  <c r="L37" i="17"/>
  <c r="J37" i="17"/>
  <c r="K37" i="17" s="1"/>
  <c r="F37" i="17"/>
  <c r="D37" i="17"/>
  <c r="L36" i="17"/>
  <c r="J36" i="17"/>
  <c r="F36" i="17"/>
  <c r="D36" i="17"/>
  <c r="E36" i="17" s="1"/>
  <c r="L35" i="17"/>
  <c r="J35" i="17"/>
  <c r="K35" i="17" s="1"/>
  <c r="F35" i="17"/>
  <c r="D35" i="17"/>
  <c r="E35" i="17" s="1"/>
  <c r="L34" i="17"/>
  <c r="J34" i="17"/>
  <c r="K34" i="17" s="1"/>
  <c r="F34" i="17"/>
  <c r="D34" i="17"/>
  <c r="E34" i="17" s="1"/>
  <c r="L33" i="17"/>
  <c r="J33" i="17"/>
  <c r="F33" i="17"/>
  <c r="D33" i="17"/>
  <c r="L32" i="17"/>
  <c r="J32" i="17"/>
  <c r="K32" i="17" s="1"/>
  <c r="F32" i="17"/>
  <c r="D32" i="17"/>
  <c r="E32" i="17" s="1"/>
  <c r="L31" i="17"/>
  <c r="J31" i="17"/>
  <c r="K31" i="17" s="1"/>
  <c r="F31" i="17"/>
  <c r="D31" i="17"/>
  <c r="E31" i="17" s="1"/>
  <c r="L30" i="17"/>
  <c r="J30" i="17"/>
  <c r="K30" i="17" s="1"/>
  <c r="F30" i="17"/>
  <c r="D30" i="17"/>
  <c r="L29" i="17"/>
  <c r="J29" i="17"/>
  <c r="F29" i="17"/>
  <c r="D29" i="17"/>
  <c r="E29" i="17" s="1"/>
  <c r="L28" i="17"/>
  <c r="J28" i="17"/>
  <c r="K28" i="17" s="1"/>
  <c r="F28" i="17"/>
  <c r="D28" i="17"/>
  <c r="R27" i="17"/>
  <c r="L27" i="17"/>
  <c r="J27" i="17"/>
  <c r="K27" i="17" s="1"/>
  <c r="F27" i="17"/>
  <c r="D27" i="17"/>
  <c r="E27" i="17" s="1"/>
  <c r="L26" i="17"/>
  <c r="J26" i="17"/>
  <c r="F26" i="17"/>
  <c r="D26" i="17"/>
  <c r="L25" i="17"/>
  <c r="J25" i="17"/>
  <c r="K25" i="17" s="1"/>
  <c r="F25" i="17"/>
  <c r="D25" i="17"/>
  <c r="L24" i="17"/>
  <c r="J24" i="17"/>
  <c r="F24" i="17"/>
  <c r="D24" i="17"/>
  <c r="L23" i="17"/>
  <c r="J23" i="17"/>
  <c r="K23" i="17" s="1"/>
  <c r="F23" i="17"/>
  <c r="D23" i="17"/>
  <c r="L22" i="17"/>
  <c r="J22" i="17"/>
  <c r="F22" i="17"/>
  <c r="D22" i="17"/>
  <c r="L21" i="17"/>
  <c r="J21" i="17"/>
  <c r="K21" i="17" s="1"/>
  <c r="F21" i="17"/>
  <c r="D21" i="17"/>
  <c r="E21" i="17" s="1"/>
  <c r="L20" i="17"/>
  <c r="J20" i="17"/>
  <c r="F20" i="17"/>
  <c r="D20" i="17"/>
  <c r="L19" i="17"/>
  <c r="J19" i="17"/>
  <c r="K19" i="17" s="1"/>
  <c r="F19" i="17"/>
  <c r="D19" i="17"/>
  <c r="E19" i="17" s="1"/>
  <c r="L18" i="17"/>
  <c r="J18" i="17"/>
  <c r="F18" i="17"/>
  <c r="D18" i="17"/>
  <c r="L17" i="17"/>
  <c r="J17" i="17"/>
  <c r="F17" i="17"/>
  <c r="D17" i="17"/>
  <c r="E17" i="17" s="1"/>
  <c r="R16" i="17"/>
  <c r="L16" i="17"/>
  <c r="J16" i="17"/>
  <c r="K16" i="17" s="1"/>
  <c r="F16" i="17"/>
  <c r="D16" i="17"/>
  <c r="L15" i="17"/>
  <c r="J15" i="17"/>
  <c r="K15" i="17" s="1"/>
  <c r="F15" i="17"/>
  <c r="D15" i="17"/>
  <c r="L14" i="17"/>
  <c r="J14" i="17"/>
  <c r="F14" i="17"/>
  <c r="D14" i="17"/>
  <c r="E14" i="17" s="1"/>
  <c r="L13" i="17"/>
  <c r="J13" i="17"/>
  <c r="K13" i="17" s="1"/>
  <c r="F13" i="17"/>
  <c r="D13" i="17"/>
  <c r="L12" i="17"/>
  <c r="J12" i="17"/>
  <c r="F12" i="17"/>
  <c r="D12" i="17"/>
  <c r="E12" i="17" s="1"/>
  <c r="L11" i="17"/>
  <c r="J11" i="17"/>
  <c r="K11" i="17" s="1"/>
  <c r="F11" i="17"/>
  <c r="D11" i="17"/>
  <c r="E11" i="17" s="1"/>
  <c r="L10" i="17"/>
  <c r="K10" i="17"/>
  <c r="F10" i="17"/>
  <c r="E10" i="17"/>
  <c r="L9" i="17"/>
  <c r="K9" i="17"/>
  <c r="F9" i="17"/>
  <c r="E9" i="17"/>
  <c r="L8" i="17"/>
  <c r="K8" i="17"/>
  <c r="F8" i="17"/>
  <c r="E8" i="17"/>
  <c r="L7" i="17"/>
  <c r="M7" i="17" s="1"/>
  <c r="K7" i="17"/>
  <c r="F7" i="17"/>
  <c r="G7" i="17" s="1"/>
  <c r="E7" i="17"/>
  <c r="I70" i="12"/>
  <c r="E70" i="12"/>
  <c r="I69" i="12"/>
  <c r="E69" i="12"/>
  <c r="I68" i="12"/>
  <c r="E68" i="12"/>
  <c r="I67" i="12"/>
  <c r="E67" i="12"/>
  <c r="I66" i="12"/>
  <c r="E66" i="12"/>
  <c r="I65" i="12"/>
  <c r="E65" i="12"/>
  <c r="I64" i="12"/>
  <c r="E64" i="12"/>
  <c r="I63" i="12"/>
  <c r="E63" i="12"/>
  <c r="I62" i="12"/>
  <c r="E62" i="12"/>
  <c r="I61" i="12"/>
  <c r="E61" i="12"/>
  <c r="I60" i="12"/>
  <c r="E60" i="12"/>
  <c r="I59" i="12"/>
  <c r="E59" i="12"/>
  <c r="I58" i="12"/>
  <c r="E58" i="12"/>
  <c r="I57" i="12"/>
  <c r="E57" i="12"/>
  <c r="I56" i="12"/>
  <c r="E56" i="12"/>
  <c r="I55" i="12"/>
  <c r="E55" i="12"/>
  <c r="I54" i="12"/>
  <c r="E54" i="12"/>
  <c r="I53" i="12"/>
  <c r="E53" i="12"/>
  <c r="I52" i="12"/>
  <c r="E52" i="12"/>
  <c r="I51" i="12"/>
  <c r="E51" i="12"/>
  <c r="I50" i="12"/>
  <c r="E50" i="12"/>
  <c r="I49" i="12"/>
  <c r="E49" i="12"/>
  <c r="I48" i="12"/>
  <c r="E48" i="12"/>
  <c r="I47" i="12"/>
  <c r="E47" i="12"/>
  <c r="I46" i="12"/>
  <c r="E46" i="12"/>
  <c r="I45" i="12"/>
  <c r="H45" i="12"/>
  <c r="E45" i="12"/>
  <c r="D45" i="12"/>
  <c r="I44" i="12"/>
  <c r="H44" i="12"/>
  <c r="E44" i="12"/>
  <c r="D44" i="12"/>
  <c r="I43" i="12"/>
  <c r="H43" i="12"/>
  <c r="E43" i="12"/>
  <c r="D43" i="12"/>
  <c r="I42" i="12"/>
  <c r="H42" i="12"/>
  <c r="E42" i="12"/>
  <c r="D42" i="12"/>
  <c r="I41" i="12"/>
  <c r="H41" i="12"/>
  <c r="E41" i="12"/>
  <c r="D41" i="12"/>
  <c r="I40" i="12"/>
  <c r="H40" i="12"/>
  <c r="E40" i="12"/>
  <c r="D40" i="12"/>
  <c r="I39" i="12"/>
  <c r="H39" i="12"/>
  <c r="E39" i="12"/>
  <c r="D39" i="12"/>
  <c r="I38" i="12"/>
  <c r="H38" i="12"/>
  <c r="E38" i="12"/>
  <c r="D38" i="12"/>
  <c r="I37" i="12"/>
  <c r="H37" i="12"/>
  <c r="E37" i="12"/>
  <c r="D37" i="12"/>
  <c r="I36" i="12"/>
  <c r="H36" i="12"/>
  <c r="E36" i="12"/>
  <c r="D36" i="12"/>
  <c r="I35" i="12"/>
  <c r="H35" i="12"/>
  <c r="E35" i="12"/>
  <c r="D35" i="12"/>
  <c r="I34" i="12"/>
  <c r="H34" i="12"/>
  <c r="E34" i="12"/>
  <c r="D34" i="12"/>
  <c r="I33" i="12"/>
  <c r="H33" i="12"/>
  <c r="E33" i="12"/>
  <c r="D33" i="12"/>
  <c r="I32" i="12"/>
  <c r="H32" i="12"/>
  <c r="E32" i="12"/>
  <c r="D32" i="12"/>
  <c r="I31" i="12"/>
  <c r="H31" i="12"/>
  <c r="E31" i="12"/>
  <c r="D31" i="12"/>
  <c r="I30" i="12"/>
  <c r="H30" i="12"/>
  <c r="E30" i="12"/>
  <c r="D30" i="12"/>
  <c r="I29" i="12"/>
  <c r="H29" i="12"/>
  <c r="E29" i="12"/>
  <c r="D29" i="12"/>
  <c r="I28" i="12"/>
  <c r="H28" i="12"/>
  <c r="E28" i="12"/>
  <c r="D28" i="12"/>
  <c r="I27" i="12"/>
  <c r="H27" i="12"/>
  <c r="E27" i="12"/>
  <c r="D27" i="12"/>
  <c r="I26" i="12"/>
  <c r="H26" i="12"/>
  <c r="E26" i="12"/>
  <c r="D26" i="12"/>
  <c r="I25" i="12"/>
  <c r="H25" i="12"/>
  <c r="E25" i="12"/>
  <c r="D25" i="12"/>
  <c r="I24" i="12"/>
  <c r="H24" i="12"/>
  <c r="E24" i="12"/>
  <c r="D24" i="12"/>
  <c r="I23" i="12"/>
  <c r="H23" i="12"/>
  <c r="E23" i="12"/>
  <c r="D23" i="12"/>
  <c r="I22" i="12"/>
  <c r="H22" i="12"/>
  <c r="E22" i="12"/>
  <c r="D22" i="12"/>
  <c r="I21" i="12"/>
  <c r="H21" i="12"/>
  <c r="E21" i="12"/>
  <c r="D21" i="12"/>
  <c r="I20" i="12"/>
  <c r="H20" i="12"/>
  <c r="E20" i="12"/>
  <c r="D20" i="12"/>
  <c r="I19" i="12"/>
  <c r="H19" i="12"/>
  <c r="E19" i="12"/>
  <c r="D19" i="12"/>
  <c r="I18" i="12"/>
  <c r="H18" i="12"/>
  <c r="E18" i="12"/>
  <c r="D18" i="12"/>
  <c r="I17" i="12"/>
  <c r="H17" i="12"/>
  <c r="E17" i="12"/>
  <c r="D17" i="12"/>
  <c r="I16" i="12"/>
  <c r="H16" i="12"/>
  <c r="E16" i="12"/>
  <c r="D16" i="12"/>
  <c r="I15" i="12"/>
  <c r="H15" i="12"/>
  <c r="E15" i="12"/>
  <c r="D15" i="12"/>
  <c r="I14" i="12"/>
  <c r="H14" i="12"/>
  <c r="E14" i="12"/>
  <c r="D14" i="12"/>
  <c r="I13" i="12"/>
  <c r="H13" i="12"/>
  <c r="E13" i="12"/>
  <c r="D13" i="12"/>
  <c r="I12" i="12"/>
  <c r="H12" i="12"/>
  <c r="E12" i="12"/>
  <c r="D12" i="12"/>
  <c r="I11" i="12"/>
  <c r="H11" i="12"/>
  <c r="E11" i="12"/>
  <c r="D11" i="12"/>
  <c r="I10" i="12"/>
  <c r="E10" i="12"/>
  <c r="I9" i="12"/>
  <c r="E9" i="12"/>
  <c r="I8" i="12"/>
  <c r="E8" i="12"/>
  <c r="I7" i="12"/>
  <c r="E7" i="12"/>
  <c r="M47" i="17" l="1"/>
  <c r="M46" i="17"/>
  <c r="M41" i="17"/>
  <c r="M50" i="17"/>
  <c r="M27" i="17"/>
  <c r="M30" i="17"/>
  <c r="M33" i="17"/>
  <c r="M42" i="17"/>
  <c r="M56" i="17"/>
  <c r="M18" i="17"/>
  <c r="M13" i="17"/>
  <c r="M16" i="17"/>
  <c r="M21" i="17"/>
  <c r="M26" i="17"/>
  <c r="M24" i="17"/>
  <c r="M23" i="17"/>
  <c r="M70" i="17"/>
  <c r="M54" i="17"/>
  <c r="M60" i="17"/>
  <c r="M66" i="17"/>
  <c r="M55" i="17"/>
  <c r="M61" i="17"/>
  <c r="M67" i="17"/>
  <c r="M62" i="17"/>
  <c r="M8" i="17"/>
  <c r="M34" i="17"/>
  <c r="M37" i="17"/>
  <c r="M40" i="17"/>
  <c r="M43" i="17"/>
  <c r="M51" i="17"/>
  <c r="M63" i="17"/>
  <c r="M69" i="17"/>
  <c r="M22" i="17"/>
  <c r="M17" i="17"/>
  <c r="M59" i="17"/>
  <c r="M15" i="17"/>
  <c r="M29" i="17"/>
  <c r="M32" i="17"/>
  <c r="M36" i="17"/>
  <c r="M11" i="17"/>
  <c r="M14" i="17"/>
  <c r="M19" i="17"/>
  <c r="M38" i="17"/>
  <c r="M57" i="17"/>
  <c r="M25" i="17"/>
  <c r="M44" i="17"/>
  <c r="M48" i="17"/>
  <c r="M53" i="17"/>
  <c r="M12" i="17"/>
  <c r="M28" i="17"/>
  <c r="M39" i="17"/>
  <c r="M58" i="17"/>
  <c r="M10" i="17"/>
  <c r="M20" i="17"/>
  <c r="M49" i="17"/>
  <c r="M68" i="17"/>
  <c r="M52" i="17"/>
  <c r="M31" i="17"/>
  <c r="M45" i="17"/>
  <c r="M64" i="17"/>
  <c r="M65" i="17"/>
  <c r="M9" i="17"/>
  <c r="M35" i="17"/>
  <c r="G21" i="17"/>
  <c r="G45" i="17"/>
  <c r="G26" i="17"/>
  <c r="G82" i="17"/>
  <c r="G94" i="17"/>
  <c r="G120" i="17"/>
  <c r="G98" i="17"/>
  <c r="G110" i="17"/>
  <c r="G19" i="17"/>
  <c r="G88" i="17"/>
  <c r="G100" i="17"/>
  <c r="G112" i="17"/>
  <c r="G10" i="17"/>
  <c r="G17" i="17"/>
  <c r="G36" i="17"/>
  <c r="G27" i="17"/>
  <c r="G128" i="17"/>
  <c r="G24" i="17"/>
  <c r="G106" i="17"/>
  <c r="G118" i="17"/>
  <c r="G130" i="17"/>
  <c r="G87" i="17"/>
  <c r="G102" i="17"/>
  <c r="G113" i="17"/>
  <c r="G124" i="17"/>
  <c r="G89" i="17"/>
  <c r="G22" i="17"/>
  <c r="G29" i="17"/>
  <c r="G41" i="17"/>
  <c r="G79" i="17"/>
  <c r="G50" i="17"/>
  <c r="G54" i="17"/>
  <c r="G58" i="17"/>
  <c r="G66" i="17"/>
  <c r="G70" i="17"/>
  <c r="G92" i="17"/>
  <c r="G46" i="17"/>
  <c r="G62" i="17"/>
  <c r="G13" i="17"/>
  <c r="G20" i="17"/>
  <c r="G39" i="17"/>
  <c r="G32" i="17"/>
  <c r="G44" i="17"/>
  <c r="G129" i="17"/>
  <c r="G77" i="17"/>
  <c r="G8" i="17"/>
  <c r="G18" i="17"/>
  <c r="G16" i="17"/>
  <c r="G23" i="17"/>
  <c r="G30" i="17"/>
  <c r="G42" i="17"/>
  <c r="G108" i="17"/>
  <c r="G123" i="17"/>
  <c r="G25" i="17"/>
  <c r="G35" i="17"/>
  <c r="G97" i="17"/>
  <c r="G80" i="17"/>
  <c r="G90" i="17"/>
  <c r="G111" i="17"/>
  <c r="G121" i="17"/>
  <c r="G37" i="17"/>
  <c r="G81" i="17"/>
  <c r="G91" i="17"/>
  <c r="G101" i="17"/>
  <c r="G122" i="17"/>
  <c r="G59" i="17"/>
  <c r="G72" i="17"/>
  <c r="G93" i="17"/>
  <c r="G103" i="17"/>
  <c r="G63" i="17"/>
  <c r="G9" i="17"/>
  <c r="G28" i="17"/>
  <c r="G40" i="17"/>
  <c r="G73" i="17"/>
  <c r="G83" i="17"/>
  <c r="G104" i="17"/>
  <c r="G114" i="17"/>
  <c r="G55" i="17"/>
  <c r="G33" i="17"/>
  <c r="G56" i="17"/>
  <c r="G60" i="17"/>
  <c r="G64" i="17"/>
  <c r="G68" i="17"/>
  <c r="G74" i="17"/>
  <c r="G84" i="17"/>
  <c r="G105" i="17"/>
  <c r="G115" i="17"/>
  <c r="G125" i="17"/>
  <c r="G51" i="17"/>
  <c r="G67" i="17"/>
  <c r="G14" i="17"/>
  <c r="G48" i="17"/>
  <c r="G38" i="17"/>
  <c r="G75" i="17"/>
  <c r="G85" i="17"/>
  <c r="G95" i="17"/>
  <c r="G116" i="17"/>
  <c r="G126" i="17"/>
  <c r="G11" i="17"/>
  <c r="G71" i="17"/>
  <c r="G52" i="17"/>
  <c r="G12" i="17"/>
  <c r="G31" i="17"/>
  <c r="G43" i="17"/>
  <c r="G86" i="17"/>
  <c r="G96" i="17"/>
  <c r="G117" i="17"/>
  <c r="G127" i="17"/>
  <c r="G47" i="17"/>
  <c r="G49" i="17"/>
  <c r="G53" i="17"/>
  <c r="G57" i="17"/>
  <c r="G61" i="17"/>
  <c r="G65" i="17"/>
  <c r="G69" i="17"/>
  <c r="G76" i="17"/>
  <c r="G107" i="17"/>
  <c r="G15" i="17"/>
  <c r="G34" i="17"/>
  <c r="G78" i="17"/>
  <c r="G99" i="17"/>
  <c r="G109" i="17"/>
  <c r="G119" i="17"/>
  <c r="N24" i="12" a="1"/>
  <c r="N24" i="12" s="1"/>
  <c r="N23" i="12" a="1"/>
  <c r="N23" i="12" s="1"/>
  <c r="N13" i="12" a="1"/>
  <c r="N13" i="12" s="1"/>
  <c r="N12" i="12" a="1"/>
  <c r="N12" i="12" s="1"/>
  <c r="K36" i="17"/>
  <c r="E22" i="17"/>
  <c r="E18" i="17"/>
  <c r="E33" i="17"/>
  <c r="K12" i="17"/>
  <c r="N14" i="12"/>
  <c r="N15" i="12" s="1"/>
  <c r="E37" i="17"/>
  <c r="K40" i="17"/>
  <c r="K18" i="17"/>
  <c r="K33" i="17"/>
  <c r="K42" i="17"/>
  <c r="E42" i="17"/>
  <c r="K14" i="17"/>
  <c r="E20" i="17"/>
  <c r="E24" i="17"/>
  <c r="E26" i="17"/>
  <c r="K29" i="17"/>
  <c r="E44" i="17"/>
  <c r="N25" i="12"/>
  <c r="N26" i="12" s="1"/>
  <c r="E13" i="17"/>
  <c r="E16" i="17"/>
  <c r="K20" i="17"/>
  <c r="K22" i="17"/>
  <c r="K26" i="17"/>
  <c r="E30" i="17"/>
  <c r="E39" i="17"/>
  <c r="K17" i="17"/>
  <c r="E25" i="17"/>
  <c r="E23" i="17"/>
  <c r="E15" i="17"/>
  <c r="K24" i="17"/>
  <c r="E28" i="17"/>
  <c r="R24" i="17" l="1" a="1"/>
  <c r="R24" i="17" s="1"/>
  <c r="R23" i="17" a="1"/>
  <c r="R23" i="17" s="1"/>
  <c r="R12" i="17" a="1"/>
  <c r="R12" i="17" s="1"/>
  <c r="R13" i="17" a="1"/>
  <c r="R13" i="17" s="1"/>
  <c r="J48" i="12"/>
  <c r="K48" i="12"/>
  <c r="F27" i="12"/>
  <c r="G46" i="12"/>
  <c r="F46" i="12"/>
  <c r="F47" i="12"/>
  <c r="F48" i="12"/>
  <c r="G47" i="12"/>
  <c r="G48" i="12"/>
  <c r="J20" i="12"/>
  <c r="K10" i="12"/>
  <c r="K22" i="12"/>
  <c r="J47" i="12"/>
  <c r="K39" i="12"/>
  <c r="J38" i="12"/>
  <c r="J12" i="12"/>
  <c r="K9" i="12"/>
  <c r="J32" i="12"/>
  <c r="K43" i="12"/>
  <c r="K24" i="12"/>
  <c r="J46" i="12"/>
  <c r="K15" i="12"/>
  <c r="J24" i="12"/>
  <c r="J10" i="12"/>
  <c r="J42" i="12"/>
  <c r="J17" i="12"/>
  <c r="J8" i="12"/>
  <c r="J36" i="12"/>
  <c r="K14" i="12"/>
  <c r="K42" i="12"/>
  <c r="K12" i="12"/>
  <c r="J14" i="12"/>
  <c r="K19" i="12"/>
  <c r="K46" i="12"/>
  <c r="K28" i="12"/>
  <c r="K7" i="12"/>
  <c r="K44" i="12"/>
  <c r="J15" i="12"/>
  <c r="K18" i="12"/>
  <c r="K27" i="12"/>
  <c r="K23" i="12"/>
  <c r="J19" i="12"/>
  <c r="K34" i="12"/>
  <c r="J18" i="12"/>
  <c r="K21" i="12"/>
  <c r="J25" i="12"/>
  <c r="J28" i="12"/>
  <c r="F35" i="12"/>
  <c r="G44" i="12"/>
  <c r="G19" i="12"/>
  <c r="F34" i="12"/>
  <c r="G17" i="12"/>
  <c r="F33" i="12"/>
  <c r="G29" i="12"/>
  <c r="F31" i="12"/>
  <c r="G43" i="12"/>
  <c r="F30" i="12"/>
  <c r="J27" i="12"/>
  <c r="J22" i="12"/>
  <c r="K40" i="12"/>
  <c r="J21" i="12"/>
  <c r="K29" i="12"/>
  <c r="K20" i="12"/>
  <c r="J31" i="12"/>
  <c r="F38" i="12"/>
  <c r="G45" i="12"/>
  <c r="F37" i="12"/>
  <c r="F22" i="12"/>
  <c r="G20" i="12"/>
  <c r="F36" i="12"/>
  <c r="R14" i="17"/>
  <c r="J30" i="12"/>
  <c r="K33" i="12"/>
  <c r="J9" i="12"/>
  <c r="K26" i="12"/>
  <c r="K32" i="12"/>
  <c r="K31" i="12"/>
  <c r="J34" i="12"/>
  <c r="F41" i="12"/>
  <c r="G8" i="12"/>
  <c r="F10" i="12"/>
  <c r="F40" i="12"/>
  <c r="G27" i="12"/>
  <c r="F7" i="12"/>
  <c r="F39" i="12"/>
  <c r="F32" i="12"/>
  <c r="G14" i="12"/>
  <c r="G22" i="12"/>
  <c r="J33" i="12"/>
  <c r="K36" i="12"/>
  <c r="J16" i="12"/>
  <c r="J29" i="12"/>
  <c r="K35" i="12"/>
  <c r="K37" i="12"/>
  <c r="J37" i="12"/>
  <c r="F44" i="12"/>
  <c r="G10" i="12"/>
  <c r="G35" i="12"/>
  <c r="F43" i="12"/>
  <c r="G33" i="12"/>
  <c r="F9" i="12"/>
  <c r="F42" i="12"/>
  <c r="K38" i="12"/>
  <c r="J7" i="12"/>
  <c r="J40" i="12"/>
  <c r="F14" i="12"/>
  <c r="G38" i="12"/>
  <c r="G39" i="12"/>
  <c r="G12" i="12"/>
  <c r="F45" i="12"/>
  <c r="J39" i="12"/>
  <c r="K11" i="12"/>
  <c r="K30" i="12"/>
  <c r="J35" i="12"/>
  <c r="K41" i="12"/>
  <c r="K8" i="12"/>
  <c r="J43" i="12"/>
  <c r="F11" i="12"/>
  <c r="F25" i="12"/>
  <c r="G25" i="12"/>
  <c r="G24" i="12"/>
  <c r="G11" i="12"/>
  <c r="G23" i="12"/>
  <c r="G30" i="12"/>
  <c r="F13" i="12"/>
  <c r="G13" i="12"/>
  <c r="J45" i="12"/>
  <c r="J41" i="12"/>
  <c r="K25" i="12"/>
  <c r="F15" i="12"/>
  <c r="G36" i="12"/>
  <c r="F21" i="12"/>
  <c r="F17" i="12"/>
  <c r="G31" i="12"/>
  <c r="F12" i="12"/>
  <c r="G9" i="12"/>
  <c r="F18" i="12"/>
  <c r="G28" i="12"/>
  <c r="G7" i="12"/>
  <c r="J11" i="12"/>
  <c r="K45" i="12"/>
  <c r="K47" i="12"/>
  <c r="K17" i="12"/>
  <c r="K16" i="12"/>
  <c r="J26" i="12"/>
  <c r="J44" i="12"/>
  <c r="K13" i="12"/>
  <c r="J13" i="12"/>
  <c r="F26" i="12"/>
  <c r="G15" i="12"/>
  <c r="G21" i="12"/>
  <c r="F20" i="12"/>
  <c r="G34" i="12"/>
  <c r="F23" i="12"/>
  <c r="F16" i="12"/>
  <c r="G26" i="12"/>
  <c r="F8" i="12"/>
  <c r="G32" i="12"/>
  <c r="F24" i="12"/>
  <c r="G37" i="12"/>
  <c r="G16" i="12"/>
  <c r="F19" i="12"/>
  <c r="R25" i="17"/>
  <c r="R26" i="17" s="1"/>
  <c r="J23" i="12"/>
  <c r="F29" i="12"/>
  <c r="G18" i="12"/>
  <c r="G41" i="12"/>
  <c r="F28" i="12"/>
  <c r="G40" i="12"/>
  <c r="G42" i="12"/>
  <c r="O47" i="17" l="1"/>
  <c r="N48" i="17"/>
  <c r="N47" i="17"/>
  <c r="O48" i="17"/>
  <c r="R15" i="17"/>
  <c r="N9" i="17"/>
  <c r="O19" i="17"/>
  <c r="N15" i="17"/>
  <c r="O36" i="17"/>
  <c r="N46" i="17"/>
  <c r="N34" i="17"/>
  <c r="O13" i="17"/>
  <c r="N11" i="17"/>
  <c r="O18" i="17"/>
  <c r="O7" i="17"/>
  <c r="O35" i="17"/>
  <c r="N45" i="17"/>
  <c r="N33" i="17"/>
  <c r="O8" i="17"/>
  <c r="O10" i="17"/>
  <c r="O17" i="17"/>
  <c r="N16" i="17"/>
  <c r="O34" i="17"/>
  <c r="N44" i="17"/>
  <c r="N32" i="17"/>
  <c r="N26" i="17"/>
  <c r="N20" i="17"/>
  <c r="O45" i="17"/>
  <c r="O32" i="17"/>
  <c r="N42" i="17"/>
  <c r="N30" i="17"/>
  <c r="O9" i="17"/>
  <c r="N21" i="17"/>
  <c r="O15" i="17"/>
  <c r="O33" i="17"/>
  <c r="N43" i="17"/>
  <c r="N31" i="17"/>
  <c r="O25" i="17"/>
  <c r="N24" i="17"/>
  <c r="N13" i="17"/>
  <c r="O23" i="17"/>
  <c r="N19" i="17"/>
  <c r="O44" i="17"/>
  <c r="O30" i="17"/>
  <c r="N41" i="17"/>
  <c r="N29" i="17"/>
  <c r="N8" i="17"/>
  <c r="N10" i="17"/>
  <c r="N18" i="17"/>
  <c r="O43" i="17"/>
  <c r="O29" i="17"/>
  <c r="N40" i="17"/>
  <c r="N28" i="17"/>
  <c r="N23" i="17"/>
  <c r="N17" i="17"/>
  <c r="O41" i="17"/>
  <c r="O14" i="17"/>
  <c r="N39" i="17"/>
  <c r="O27" i="17"/>
  <c r="N25" i="17"/>
  <c r="O22" i="17"/>
  <c r="O16" i="17"/>
  <c r="O40" i="17"/>
  <c r="O12" i="17"/>
  <c r="N38" i="17"/>
  <c r="N14" i="17"/>
  <c r="O24" i="17"/>
  <c r="N22" i="17"/>
  <c r="O42" i="17"/>
  <c r="O39" i="17"/>
  <c r="N37" i="17"/>
  <c r="N7" i="17"/>
  <c r="O11" i="17"/>
  <c r="O20" i="17"/>
  <c r="O28" i="17"/>
  <c r="O37" i="17"/>
  <c r="N35" i="17"/>
  <c r="O26" i="17"/>
  <c r="N12" i="17"/>
  <c r="O21" i="17"/>
  <c r="O31" i="17"/>
  <c r="O38" i="17"/>
  <c r="O46" i="17"/>
  <c r="N36" i="17"/>
  <c r="N27" i="17"/>
  <c r="I48" i="17" l="1"/>
  <c r="H48" i="17"/>
  <c r="I47" i="17"/>
  <c r="I21" i="17"/>
  <c r="H47" i="17"/>
  <c r="H41" i="17"/>
  <c r="H35" i="17"/>
  <c r="I11" i="17"/>
  <c r="I42" i="17"/>
  <c r="I36" i="17"/>
  <c r="I30" i="17"/>
  <c r="I14" i="17"/>
  <c r="I13" i="17"/>
  <c r="H42" i="17"/>
  <c r="H36" i="17"/>
  <c r="H30" i="17"/>
  <c r="I23" i="17"/>
  <c r="H22" i="17"/>
  <c r="I15" i="17"/>
  <c r="H14" i="17"/>
  <c r="H13" i="17"/>
  <c r="H12" i="17"/>
  <c r="I8" i="17"/>
  <c r="I43" i="17"/>
  <c r="I37" i="17"/>
  <c r="I31" i="17"/>
  <c r="I24" i="17"/>
  <c r="H23" i="17"/>
  <c r="I16" i="17"/>
  <c r="H15" i="17"/>
  <c r="H8" i="17"/>
  <c r="H43" i="17"/>
  <c r="H37" i="17"/>
  <c r="H31" i="17"/>
  <c r="I25" i="17"/>
  <c r="H24" i="17"/>
  <c r="I17" i="17"/>
  <c r="H16" i="17"/>
  <c r="H25" i="17"/>
  <c r="H44" i="17"/>
  <c r="I18" i="17"/>
  <c r="I20" i="17"/>
  <c r="I7" i="17"/>
  <c r="H7" i="17"/>
  <c r="I44" i="17"/>
  <c r="I38" i="17"/>
  <c r="I32" i="17"/>
  <c r="H17" i="17"/>
  <c r="H38" i="17"/>
  <c r="H32" i="17"/>
  <c r="I26" i="17"/>
  <c r="I9" i="17"/>
  <c r="H40" i="17"/>
  <c r="H28" i="17"/>
  <c r="I41" i="17"/>
  <c r="H20" i="17"/>
  <c r="H10" i="17"/>
  <c r="I45" i="17"/>
  <c r="I39" i="17"/>
  <c r="I33" i="17"/>
  <c r="H26" i="17"/>
  <c r="H18" i="17"/>
  <c r="H9" i="17"/>
  <c r="I10" i="17"/>
  <c r="I35" i="17"/>
  <c r="I29" i="17"/>
  <c r="H21" i="17"/>
  <c r="H11" i="17"/>
  <c r="H45" i="17"/>
  <c r="H39" i="17"/>
  <c r="H33" i="17"/>
  <c r="I27" i="17"/>
  <c r="I19" i="17"/>
  <c r="H29" i="17"/>
  <c r="I22" i="17"/>
  <c r="I46" i="17"/>
  <c r="I40" i="17"/>
  <c r="I34" i="17"/>
  <c r="I28" i="17"/>
  <c r="H27" i="17"/>
  <c r="H19" i="17"/>
  <c r="H46" i="17"/>
  <c r="H34" i="17"/>
  <c r="I1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tc={64E3EB96-87C7-4B9C-BD54-C3277E98F305}</author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  <author>tc={7D93C683-3CC9-4CA5-88A7-CE381226F7E8}</author>
  </authors>
  <commentList>
    <comment ref="B7" authorId="0" shapeId="0" xr:uid="{64E3EB96-87C7-4B9C-BD54-C3277E98F30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2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5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7D93C683-3CC9-4CA5-88A7-CE381226F7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tc={0526C815-FBB1-40DE-857A-780B07E348C3}</author>
    <author>tc={E55EDF91-B929-427F-974C-7C4BA6A2256F}</author>
    <author>tc={E68D444F-F44E-4F7B-A08B-3E97C8F77EB8}</author>
    <author>tc={5FA73663-8ACB-4C87-9ACE-833B3E2F4F52}</author>
    <author>tc={C84EE756-EBBF-4242-B72B-A7663F6ADECE}</author>
    <author>tc={B367DBCB-7C6A-4BA4-9A30-B8A2E8E7290F}</author>
    <author>tc={926C33C6-F39A-4524-91C9-0CF38C04972A}</author>
    <author>tc={5CCFFE3B-C34B-4578-99E2-92A322494188}</author>
  </authors>
  <commentList>
    <comment ref="B7" authorId="0" shapeId="0" xr:uid="{0526C815-FBB1-40DE-857A-780B07E348C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E55EDF91-B929-427F-974C-7C4BA6A2256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2" shapeId="0" xr:uid="{E68D444F-F44E-4F7B-A08B-3E97C8F77E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5FA73663-8ACB-4C87-9ACE-833B3E2F4F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C84EE756-EBBF-4242-B72B-A7663F6ADE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5" shapeId="0" xr:uid="{B367DBCB-7C6A-4BA4-9A30-B8A2E8E729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926C33C6-F39A-4524-91C9-0CF38C04972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5CCFFE3B-C34B-4578-99E2-92A3224941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7979ADB5-CB13-44F2-A710-8AC47B10E3C8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588C5E05-4E1F-4C26-85F8-DEEC715D5DD8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6CA167A2-DE5F-4C03-9AC1-FA1D2E34CC01}" keepAlive="1" name="Query - dpc-covid19-ita-andamento-nazionale (5)" description="Connessione alla query 'dpc-covid19-ita-andamento-nazionale (5)' nella cartella di lavoro." type="5" refreshedVersion="6" background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9FD9AE8A-4705-40F6-8CDB-F3993C06EE42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A1BB73BA-E74A-452F-A572-E3D01FB7E172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3E9ECFB3-4EA4-44E9-8FD0-946392602217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5802F092-0F12-4CDA-A1E3-E610489F1891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<sst xmlns="http://schemas.openxmlformats.org/spreadsheetml/2006/main" count="213" uniqueCount="73">
  <si>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</si>
  <si>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</si>
  <si>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</si>
  <si>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</si>
  <si>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</si>
  <si>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</si>
  <si>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</si>
  <si>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</si>
  <si>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</si>
  <si>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</si>
  <si>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</si>
  <si>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</si>
  <si>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</si>
  <si>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</si>
  <si>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Modeling function: Gompertz sigmoidal growth function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</si>
  <si>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</si>
  <si>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</si>
  <si>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</si>
  <si>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</si>
  <si>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</si>
  <si>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</si>
  <si>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</si>
  <si>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</si>
  <si>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</si>
  <si>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</si>
  <si>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</si>
  <si>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</si>
  <si>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</si>
  <si>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New cases</t>
  </si>
  <si>
    <t>Cum_confirmed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</si>
  <si>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</si>
  <si>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</si>
  <si>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</si>
  <si>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</si>
  <si>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</si>
  <si>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</si>
  <si>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</si>
  <si>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</si>
  <si>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</si>
  <si>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</si>
  <si>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</si>
  <si>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</si>
  <si>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</si>
  <si>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</si>
  <si>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</si>
  <si>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</si>
  <si>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</si>
  <si>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Confirmed fit</t>
  </si>
  <si>
    <t>C. Upper CI</t>
  </si>
  <si>
    <t>C. Lower CI</t>
  </si>
  <si>
    <t>Confirmed</t>
  </si>
  <si>
    <t>pd-IT-0009</t>
  </si>
  <si>
    <t>pd-EN-0009</t>
  </si>
  <si>
    <t>Solver method: GRG non linear engine - option: integer optimization 0%</t>
  </si>
  <si>
    <t>saturation value - constraint (integer)</t>
  </si>
  <si>
    <t>crossover point - constraint (integer)</t>
  </si>
  <si>
    <t>width of crossover region - constraint (none)</t>
  </si>
  <si>
    <t>Deaths</t>
  </si>
  <si>
    <t>Deaths fit</t>
  </si>
  <si>
    <t>D. Upper CI</t>
  </si>
  <si>
    <t>D. Lower CI</t>
  </si>
  <si>
    <t>Cum_fit</t>
  </si>
  <si>
    <t>New_fit</t>
  </si>
  <si>
    <t>Cum_deaths</t>
  </si>
  <si>
    <t>New deaths</t>
  </si>
  <si>
    <t>Cum_D_fit</t>
  </si>
  <si>
    <t>New_D_fit</t>
  </si>
  <si>
    <t>ND_Upper CI</t>
  </si>
  <si>
    <t>ND_Lower CI</t>
  </si>
  <si>
    <t>K/ew=</t>
  </si>
  <si>
    <t>totale_positivi</t>
  </si>
  <si>
    <t>variazione_totale_positivi</t>
  </si>
  <si>
    <t>nuovi_positivi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</si>
</sst>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32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5" fontId="0" fillId="2" borderId="0" xfId="0" applyNumberFormat="1" applyFill="1"/>
    <xf numFmtId="0" fontId="0" fillId="0" borderId="0" xfId="0" applyAlignment="1">
      <alignment horizontal="left" vertic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0" fillId="0" borderId="0" xfId="0" applyFont="1"/>
    <xf numFmtId="1" fontId="10" fillId="0" borderId="0" xfId="0" applyNumberFormat="1" applyFont="1"/>
    <xf numFmtId="0" fontId="11" fillId="0" borderId="0" xfId="0" applyFont="1"/>
    <xf numFmtId="1" fontId="11" fillId="0" borderId="0" xfId="0" applyNumberFormat="1" applyFont="1"/>
    <xf numFmtId="0" fontId="11" fillId="0" borderId="0" xfId="0" applyFont="1" applyAlignment="1">
      <alignment horizontal="center" wrapText="1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600" b="1" i="0" u="none" strike="noStrike" baseline="0">
                <a:effectLst/>
              </a:rPr>
              <a:t>Cumulative Cases and Deaths</a:t>
            </a:r>
            <a:r>
              <a:rPr lang="it-IT"/>
              <a:t> - Gompertz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 confirmed - Gompertz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fit'!$D$7:$D$70</c:f>
              <c:numCache>
                <c:formatCode>0</c:formatCode>
                <c:ptCount val="64"/>
                <c:pt idx="0">
                  <c:v>3</c:v>
                </c:pt>
                <c:pt idx="1">
                  <c:v>20</c:v>
                </c:pt>
                <c:pt idx="2">
                  <c:v>62</c:v>
                </c:pt>
                <c:pt idx="3">
                  <c:v>155</c:v>
                </c:pt>
                <c:pt idx="4" formatCode="General">
                  <c:v>229</c:v>
                </c:pt>
                <c:pt idx="5" formatCode="General">
                  <c:v>322</c:v>
                </c:pt>
                <c:pt idx="6" formatCode="General">
                  <c:v>400</c:v>
                </c:pt>
                <c:pt idx="7" formatCode="General">
                  <c:v>650</c:v>
                </c:pt>
                <c:pt idx="8" formatCode="General">
                  <c:v>888</c:v>
                </c:pt>
                <c:pt idx="9" formatCode="General">
                  <c:v>1128</c:v>
                </c:pt>
                <c:pt idx="10" formatCode="General">
                  <c:v>1694</c:v>
                </c:pt>
                <c:pt idx="11" formatCode="General">
                  <c:v>2036</c:v>
                </c:pt>
                <c:pt idx="12" formatCode="General">
                  <c:v>2502</c:v>
                </c:pt>
                <c:pt idx="13" formatCode="General">
                  <c:v>3089</c:v>
                </c:pt>
                <c:pt idx="14" formatCode="General">
                  <c:v>3858</c:v>
                </c:pt>
                <c:pt idx="15" formatCode="General">
                  <c:v>4636</c:v>
                </c:pt>
                <c:pt idx="16" formatCode="General">
                  <c:v>5883</c:v>
                </c:pt>
                <c:pt idx="17" formatCode="General">
                  <c:v>7375</c:v>
                </c:pt>
                <c:pt idx="18" formatCode="General">
                  <c:v>9172</c:v>
                </c:pt>
                <c:pt idx="19" formatCode="General">
                  <c:v>10149</c:v>
                </c:pt>
                <c:pt idx="20" formatCode="General">
                  <c:v>12462</c:v>
                </c:pt>
                <c:pt idx="21" formatCode="General">
                  <c:v>15113</c:v>
                </c:pt>
                <c:pt idx="22" formatCode="General">
                  <c:v>17660</c:v>
                </c:pt>
                <c:pt idx="23" formatCode="General">
                  <c:v>21157</c:v>
                </c:pt>
                <c:pt idx="24" formatCode="General">
                  <c:v>24747</c:v>
                </c:pt>
                <c:pt idx="25" formatCode="General">
                  <c:v>27980</c:v>
                </c:pt>
                <c:pt idx="26" formatCode="General">
                  <c:v>31506</c:v>
                </c:pt>
                <c:pt idx="27" formatCode="General">
                  <c:v>35713</c:v>
                </c:pt>
                <c:pt idx="28" formatCode="General">
                  <c:v>41035</c:v>
                </c:pt>
                <c:pt idx="29" formatCode="General">
                  <c:v>47021</c:v>
                </c:pt>
                <c:pt idx="30" formatCode="General">
                  <c:v>53578</c:v>
                </c:pt>
                <c:pt idx="31" formatCode="General">
                  <c:v>59138</c:v>
                </c:pt>
                <c:pt idx="32" formatCode="General">
                  <c:v>63927</c:v>
                </c:pt>
                <c:pt idx="33" formatCode="General">
                  <c:v>69176</c:v>
                </c:pt>
                <c:pt idx="34" formatCode="General">
                  <c:v>74386</c:v>
                </c:pt>
                <c:pt idx="35" formatCode="General">
                  <c:v>80539</c:v>
                </c:pt>
                <c:pt idx="36" formatCode="General">
                  <c:v>86498</c:v>
                </c:pt>
                <c:pt idx="37" formatCode="General">
                  <c:v>92472</c:v>
                </c:pt>
                <c:pt idx="38" formatCode="General">
                  <c:v>97689</c:v>
                </c:pt>
                <c:pt idx="39" formatCode="General">
                  <c:v>101739</c:v>
                </c:pt>
                <c:pt idx="40" formatCode="General">
                  <c:v>105792</c:v>
                </c:pt>
                <c:pt idx="41" formatCode="General">
                  <c:v>110574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 confirmed - Gompertz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fit'!$E$7:$E$70</c:f>
              <c:numCache>
                <c:formatCode>0</c:formatCode>
                <c:ptCount val="64"/>
                <c:pt idx="0">
                  <c:v>35.709495473972233</c:v>
                </c:pt>
                <c:pt idx="1">
                  <c:v>56.79873237438634</c:v>
                </c:pt>
                <c:pt idx="2">
                  <c:v>88.256438585106864</c:v>
                </c:pt>
                <c:pt idx="3">
                  <c:v>134.12750110693869</c:v>
                </c:pt>
                <c:pt idx="4">
                  <c:v>199.58968091008606</c:v>
                </c:pt>
                <c:pt idx="5">
                  <c:v>291.11719700331815</c:v>
                </c:pt>
                <c:pt idx="6">
                  <c:v>416.62438172603964</c:v>
                </c:pt>
                <c:pt idx="7">
                  <c:v>585.57703707611915</c:v>
                </c:pt>
                <c:pt idx="8">
                  <c:v>809.05957334575589</c:v>
                </c:pt>
                <c:pt idx="9">
                  <c:v>1099.7875026189945</c:v>
                </c:pt>
                <c:pt idx="10">
                  <c:v>1472.0573135653322</c:v>
                </c:pt>
                <c:pt idx="11">
                  <c:v>1941.6289880139632</c:v>
                </c:pt>
                <c:pt idx="12">
                  <c:v>2525.5401695988207</c:v>
                </c:pt>
                <c:pt idx="13">
                  <c:v>3241.8549467549142</c:v>
                </c:pt>
                <c:pt idx="14">
                  <c:v>4109.3540407620876</c:v>
                </c:pt>
                <c:pt idx="15">
                  <c:v>5147.1765920480411</c:v>
                </c:pt>
                <c:pt idx="16">
                  <c:v>6374.4264653775108</c:v>
                </c:pt>
                <c:pt idx="17">
                  <c:v>7809.7578714317369</c:v>
                </c:pt>
                <c:pt idx="18">
                  <c:v>9470.9560371518965</c:v>
                </c:pt>
                <c:pt idx="19">
                  <c:v>11374.528642577559</c:v>
                </c:pt>
                <c:pt idx="20">
                  <c:v>13535.322845533354</c:v>
                </c:pt>
                <c:pt idx="21">
                  <c:v>15966.181065458997</c:v>
                </c:pt>
                <c:pt idx="22">
                  <c:v>18677.646463629</c:v>
                </c:pt>
                <c:pt idx="23">
                  <c:v>21677.726430640283</c:v>
                </c:pt>
                <c:pt idx="24">
                  <c:v>24971.719568535133</c:v>
                </c:pt>
                <c:pt idx="25">
                  <c:v>28562.108817301585</c:v>
                </c:pt>
                <c:pt idx="26">
                  <c:v>32448.520682753486</c:v>
                </c:pt>
                <c:pt idx="27">
                  <c:v>36627.748102193633</c:v>
                </c:pt>
                <c:pt idx="28">
                  <c:v>41093.832427595247</c:v>
                </c:pt>
                <c:pt idx="29">
                  <c:v>45838.198369412072</c:v>
                </c:pt>
                <c:pt idx="30">
                  <c:v>50849.834550536187</c:v>
                </c:pt>
                <c:pt idx="31">
                  <c:v>56115.51156373202</c:v>
                </c:pt>
                <c:pt idx="32">
                  <c:v>61620.02907849905</c:v>
                </c:pt>
                <c:pt idx="33">
                  <c:v>67346.483559287895</c:v>
                </c:pt>
                <c:pt idx="34">
                  <c:v>73276.548479961333</c:v>
                </c:pt>
                <c:pt idx="35">
                  <c:v>79390.759487495656</c:v>
                </c:pt>
                <c:pt idx="36">
                  <c:v>85668.797718419315</c:v>
                </c:pt>
                <c:pt idx="37">
                  <c:v>92089.765344382715</c:v>
                </c:pt>
                <c:pt idx="38">
                  <c:v>98632.448363964781</c:v>
                </c:pt>
                <c:pt idx="39">
                  <c:v>105275.56261891384</c:v>
                </c:pt>
                <c:pt idx="40">
                  <c:v>111997.97995514928</c:v>
                </c:pt>
                <c:pt idx="41">
                  <c:v>118778.93234101206</c:v>
                </c:pt>
                <c:pt idx="42">
                  <c:v>125598.19257452106</c:v>
                </c:pt>
                <c:pt idx="43">
                  <c:v>132436.23094227808</c:v>
                </c:pt>
                <c:pt idx="44">
                  <c:v>139274.34782623113</c:v>
                </c:pt>
                <c:pt idx="45">
                  <c:v>146094.7827873546</c:v>
                </c:pt>
                <c:pt idx="46">
                  <c:v>152880.80108851404</c:v>
                </c:pt>
                <c:pt idx="47">
                  <c:v>159616.75895689736</c:v>
                </c:pt>
                <c:pt idx="48">
                  <c:v>166288.14913645413</c:v>
                </c:pt>
                <c:pt idx="49">
                  <c:v>172881.62845151001</c:v>
                </c:pt>
                <c:pt idx="50">
                  <c:v>179385.02920377691</c:v>
                </c:pt>
                <c:pt idx="51">
                  <c:v>185787.35626639638</c:v>
                </c:pt>
                <c:pt idx="52">
                  <c:v>192078.77173036375</c:v>
                </c:pt>
                <c:pt idx="53">
                  <c:v>198250.56891017364</c:v>
                </c:pt>
                <c:pt idx="54">
                  <c:v>204295.13743560101</c:v>
                </c:pt>
                <c:pt idx="55">
                  <c:v>210205.92105312934</c:v>
                </c:pt>
                <c:pt idx="56">
                  <c:v>215977.36964067875</c:v>
                </c:pt>
                <c:pt idx="57">
                  <c:v>221604.88680901076</c:v>
                </c:pt>
                <c:pt idx="58">
                  <c:v>227084.77432759979</c:v>
                </c:pt>
                <c:pt idx="59">
                  <c:v>232414.17447605243</c:v>
                </c:pt>
                <c:pt idx="60">
                  <c:v>237591.01128768886</c:v>
                </c:pt>
                <c:pt idx="61">
                  <c:v>242613.93152228557</c:v>
                </c:pt>
                <c:pt idx="62">
                  <c:v>247482.24608215175</c:v>
                </c:pt>
                <c:pt idx="63">
                  <c:v>252195.8724710556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'Cumul_ confirmed - Gompertz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fit'!$F$7:$F$70</c:f>
              <c:numCache>
                <c:formatCode>0</c:formatCode>
                <c:ptCount val="64"/>
                <c:pt idx="0">
                  <c:v>4094.1903146193513</c:v>
                </c:pt>
                <c:pt idx="1">
                  <c:v>4115.2795515197649</c:v>
                </c:pt>
                <c:pt idx="2">
                  <c:v>4146.7372577304859</c:v>
                </c:pt>
                <c:pt idx="3">
                  <c:v>4192.6083202523178</c:v>
                </c:pt>
                <c:pt idx="4">
                  <c:v>4258.0705000554653</c:v>
                </c:pt>
                <c:pt idx="5">
                  <c:v>4349.5980161486968</c:v>
                </c:pt>
                <c:pt idx="6">
                  <c:v>4475.1052008714187</c:v>
                </c:pt>
                <c:pt idx="7">
                  <c:v>4644.0578562214978</c:v>
                </c:pt>
                <c:pt idx="8">
                  <c:v>4867.5403924911352</c:v>
                </c:pt>
                <c:pt idx="9">
                  <c:v>5158.2683217643735</c:v>
                </c:pt>
                <c:pt idx="10">
                  <c:v>5530.5381327107116</c:v>
                </c:pt>
                <c:pt idx="11">
                  <c:v>6000.1098071593424</c:v>
                </c:pt>
                <c:pt idx="12">
                  <c:v>6584.0209887441997</c:v>
                </c:pt>
                <c:pt idx="13">
                  <c:v>7300.3357659002932</c:v>
                </c:pt>
                <c:pt idx="14">
                  <c:v>8167.834859907467</c:v>
                </c:pt>
                <c:pt idx="15">
                  <c:v>9205.6574111934206</c:v>
                </c:pt>
                <c:pt idx="16">
                  <c:v>10432.907284522889</c:v>
                </c:pt>
                <c:pt idx="17">
                  <c:v>11868.238690577116</c:v>
                </c:pt>
                <c:pt idx="18">
                  <c:v>13529.436856297276</c:v>
                </c:pt>
                <c:pt idx="19">
                  <c:v>15433.009461722939</c:v>
                </c:pt>
                <c:pt idx="20">
                  <c:v>17593.803664678733</c:v>
                </c:pt>
                <c:pt idx="21">
                  <c:v>20024.661884604375</c:v>
                </c:pt>
                <c:pt idx="22">
                  <c:v>22736.127282774378</c:v>
                </c:pt>
                <c:pt idx="23">
                  <c:v>25736.207249785661</c:v>
                </c:pt>
                <c:pt idx="24">
                  <c:v>29030.20038768051</c:v>
                </c:pt>
                <c:pt idx="25">
                  <c:v>32620.589636446963</c:v>
                </c:pt>
                <c:pt idx="26">
                  <c:v>36507.001501898863</c:v>
                </c:pt>
                <c:pt idx="27">
                  <c:v>40686.22892133901</c:v>
                </c:pt>
                <c:pt idx="28">
                  <c:v>45152.313246740625</c:v>
                </c:pt>
                <c:pt idx="29">
                  <c:v>49896.679188557449</c:v>
                </c:pt>
                <c:pt idx="30">
                  <c:v>54908.315369681564</c:v>
                </c:pt>
                <c:pt idx="31">
                  <c:v>60173.992382877397</c:v>
                </c:pt>
                <c:pt idx="32">
                  <c:v>65678.509897644428</c:v>
                </c:pt>
                <c:pt idx="33">
                  <c:v>71404.964378433273</c:v>
                </c:pt>
                <c:pt idx="34">
                  <c:v>77335.029299106711</c:v>
                </c:pt>
                <c:pt idx="35">
                  <c:v>83449.240306641033</c:v>
                </c:pt>
                <c:pt idx="36">
                  <c:v>89727.278537564693</c:v>
                </c:pt>
                <c:pt idx="37">
                  <c:v>96148.246163528092</c:v>
                </c:pt>
                <c:pt idx="38">
                  <c:v>102690.92918311016</c:v>
                </c:pt>
                <c:pt idx="39">
                  <c:v>109334.04343805922</c:v>
                </c:pt>
                <c:pt idx="40">
                  <c:v>116056.46077429465</c:v>
                </c:pt>
                <c:pt idx="41">
                  <c:v>122837.41316015743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'Cumul_ confirmed - Gompertz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fit'!$G$7:$G$70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50.873221616708634</c:v>
                </c:pt>
                <c:pt idx="15">
                  <c:v>1088.6957729026622</c:v>
                </c:pt>
                <c:pt idx="16">
                  <c:v>2315.9456462321318</c:v>
                </c:pt>
                <c:pt idx="17">
                  <c:v>3751.277052286358</c:v>
                </c:pt>
                <c:pt idx="18">
                  <c:v>5412.475218006517</c:v>
                </c:pt>
                <c:pt idx="19">
                  <c:v>7316.0478234321799</c:v>
                </c:pt>
                <c:pt idx="20">
                  <c:v>9476.8420263879743</c:v>
                </c:pt>
                <c:pt idx="21">
                  <c:v>11907.700246313618</c:v>
                </c:pt>
                <c:pt idx="22">
                  <c:v>14619.165644483621</c:v>
                </c:pt>
                <c:pt idx="23">
                  <c:v>17619.245611494905</c:v>
                </c:pt>
                <c:pt idx="24">
                  <c:v>20913.238749389755</c:v>
                </c:pt>
                <c:pt idx="25">
                  <c:v>24503.627998156207</c:v>
                </c:pt>
                <c:pt idx="26">
                  <c:v>28390.039863608108</c:v>
                </c:pt>
                <c:pt idx="27">
                  <c:v>32569.267283048255</c:v>
                </c:pt>
                <c:pt idx="28">
                  <c:v>37035.35160844987</c:v>
                </c:pt>
                <c:pt idx="29">
                  <c:v>41779.717550266694</c:v>
                </c:pt>
                <c:pt idx="30">
                  <c:v>46791.353731390809</c:v>
                </c:pt>
                <c:pt idx="31">
                  <c:v>52057.030744586642</c:v>
                </c:pt>
                <c:pt idx="32">
                  <c:v>57561.548259353673</c:v>
                </c:pt>
                <c:pt idx="33">
                  <c:v>63288.002740142518</c:v>
                </c:pt>
                <c:pt idx="34">
                  <c:v>69218.067660815956</c:v>
                </c:pt>
                <c:pt idx="35">
                  <c:v>75332.278668350278</c:v>
                </c:pt>
                <c:pt idx="36">
                  <c:v>81610.316899273937</c:v>
                </c:pt>
                <c:pt idx="37">
                  <c:v>88031.284525237337</c:v>
                </c:pt>
                <c:pt idx="38">
                  <c:v>94573.967544819403</c:v>
                </c:pt>
                <c:pt idx="39">
                  <c:v>101217.08179976846</c:v>
                </c:pt>
                <c:pt idx="40">
                  <c:v>107939.4991360039</c:v>
                </c:pt>
                <c:pt idx="41">
                  <c:v>114720.45152186668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ser>
          <c:idx val="4"/>
          <c:order val="4"/>
          <c:tx>
            <c:strRef>
              <c:f>'Cumul_ confirmed - Gompertz fit'!$H$6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 confirmed - Gompertz fit'!$H$7:$H$70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10</c:v>
                </c:pt>
                <c:pt idx="6">
                  <c:v>12</c:v>
                </c:pt>
                <c:pt idx="7">
                  <c:v>17</c:v>
                </c:pt>
                <c:pt idx="8">
                  <c:v>21</c:v>
                </c:pt>
                <c:pt idx="9">
                  <c:v>29</c:v>
                </c:pt>
                <c:pt idx="10">
                  <c:v>34</c:v>
                </c:pt>
                <c:pt idx="11">
                  <c:v>52</c:v>
                </c:pt>
                <c:pt idx="12">
                  <c:v>79</c:v>
                </c:pt>
                <c:pt idx="13">
                  <c:v>107</c:v>
                </c:pt>
                <c:pt idx="14">
                  <c:v>148</c:v>
                </c:pt>
                <c:pt idx="15">
                  <c:v>197</c:v>
                </c:pt>
                <c:pt idx="16">
                  <c:v>233</c:v>
                </c:pt>
                <c:pt idx="17">
                  <c:v>366</c:v>
                </c:pt>
                <c:pt idx="18">
                  <c:v>463</c:v>
                </c:pt>
                <c:pt idx="19">
                  <c:v>631</c:v>
                </c:pt>
                <c:pt idx="20">
                  <c:v>827</c:v>
                </c:pt>
                <c:pt idx="21">
                  <c:v>1016</c:v>
                </c:pt>
                <c:pt idx="22">
                  <c:v>1266</c:v>
                </c:pt>
                <c:pt idx="23">
                  <c:v>1441</c:v>
                </c:pt>
                <c:pt idx="24">
                  <c:v>1809</c:v>
                </c:pt>
                <c:pt idx="25">
                  <c:v>2158</c:v>
                </c:pt>
                <c:pt idx="26">
                  <c:v>2503</c:v>
                </c:pt>
                <c:pt idx="27">
                  <c:v>2978</c:v>
                </c:pt>
                <c:pt idx="28">
                  <c:v>3405</c:v>
                </c:pt>
                <c:pt idx="29">
                  <c:v>4032</c:v>
                </c:pt>
                <c:pt idx="30">
                  <c:v>4825</c:v>
                </c:pt>
                <c:pt idx="31">
                  <c:v>5476</c:v>
                </c:pt>
                <c:pt idx="32">
                  <c:v>6077</c:v>
                </c:pt>
                <c:pt idx="33">
                  <c:v>6820</c:v>
                </c:pt>
                <c:pt idx="34">
                  <c:v>7503</c:v>
                </c:pt>
                <c:pt idx="35">
                  <c:v>8165</c:v>
                </c:pt>
                <c:pt idx="36">
                  <c:v>9134</c:v>
                </c:pt>
                <c:pt idx="37">
                  <c:v>10023</c:v>
                </c:pt>
                <c:pt idx="38">
                  <c:v>10779</c:v>
                </c:pt>
                <c:pt idx="39">
                  <c:v>11591</c:v>
                </c:pt>
                <c:pt idx="40">
                  <c:v>12428</c:v>
                </c:pt>
                <c:pt idx="41">
                  <c:v>13155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E-4EA2-A6D4-DC85486CE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 confirmed - Gompertz fit'!$I$6</c:f>
              <c:strCache>
                <c:ptCount val="1"/>
                <c:pt idx="0">
                  <c:v>Deaths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fit'!$I$7:$I$70</c:f>
              <c:numCache>
                <c:formatCode>0</c:formatCode>
                <c:ptCount val="64"/>
                <c:pt idx="0">
                  <c:v>0.11939461860631181</c:v>
                </c:pt>
                <c:pt idx="1">
                  <c:v>0.2507518409088515</c:v>
                </c:pt>
                <c:pt idx="2">
                  <c:v>0.50420436145692549</c:v>
                </c:pt>
                <c:pt idx="3">
                  <c:v>0.97315103523072566</c:v>
                </c:pt>
                <c:pt idx="4">
                  <c:v>1.8072082397850628</c:v>
                </c:pt>
                <c:pt idx="5">
                  <c:v>3.2364760192380411</c:v>
                </c:pt>
                <c:pt idx="6">
                  <c:v>5.6014079457663017</c:v>
                </c:pt>
                <c:pt idx="7">
                  <c:v>9.3875614120407196</c:v>
                </c:pt>
                <c:pt idx="8">
                  <c:v>15.263646384544341</c:v>
                </c:pt>
                <c:pt idx="9">
                  <c:v>24.120417650417565</c:v>
                </c:pt>
                <c:pt idx="10">
                  <c:v>37.10720655818583</c:v>
                </c:pt>
                <c:pt idx="11">
                  <c:v>55.66240083785835</c:v>
                </c:pt>
                <c:pt idx="12">
                  <c:v>81.534065068774922</c:v>
                </c:pt>
                <c:pt idx="13">
                  <c:v>116.78720899777173</c:v>
                </c:pt>
                <c:pt idx="14">
                  <c:v>163.79495209722688</c:v>
                </c:pt>
                <c:pt idx="15">
                  <c:v>225.21193264938015</c:v>
                </c:pt>
                <c:pt idx="16">
                  <c:v>303.92964820782572</c:v>
                </c:pt>
                <c:pt idx="17">
                  <c:v>403.01483961411157</c:v>
                </c:pt>
                <c:pt idx="18">
                  <c:v>525.63338348358991</c:v>
                </c:pt>
                <c:pt idx="19">
                  <c:v>674.96329494317365</c:v>
                </c:pt>
                <c:pt idx="20">
                  <c:v>854.10125475354027</c:v>
                </c:pt>
                <c:pt idx="21">
                  <c:v>1065.9674998414096</c:v>
                </c:pt>
                <c:pt idx="22">
                  <c:v>1313.2139394171802</c:v>
                </c:pt>
                <c:pt idx="23">
                  <c:v>1598.1400103008536</c:v>
                </c:pt>
                <c:pt idx="24">
                  <c:v>1922.6201295608312</c:v>
                </c:pt>
                <c:pt idx="25">
                  <c:v>2288.0457269913718</c:v>
                </c:pt>
                <c:pt idx="26">
                  <c:v>2695.2838403250485</c:v>
                </c:pt>
                <c:pt idx="27">
                  <c:v>3144.6532258032089</c:v>
                </c:pt>
                <c:pt idx="28">
                  <c:v>3635.9179575154931</c:v>
                </c:pt>
                <c:pt idx="29">
                  <c:v>4168.2976248559598</c:v>
                </c:pt>
                <c:pt idx="30">
                  <c:v>4740.4925322539902</c:v>
                </c:pt>
                <c:pt idx="31">
                  <c:v>5350.7217823858255</c:v>
                </c:pt>
                <c:pt idx="32">
                  <c:v>5996.7717884311614</c:v>
                </c:pt>
                <c:pt idx="33">
                  <c:v>6676.0526027876749</c:v>
                </c:pt>
                <c:pt idx="34">
                  <c:v>7385.6594482979626</c:v>
                </c:pt>
                <c:pt idx="35">
                  <c:v>8122.4369659596641</c:v>
                </c:pt>
                <c:pt idx="36">
                  <c:v>8883.0439196187144</c:v>
                </c:pt>
                <c:pt idx="37">
                  <c:v>9664.0163925172019</c:v>
                </c:pt>
                <c:pt idx="38">
                  <c:v>10461.827844185538</c:v>
                </c:pt>
                <c:pt idx="39">
                  <c:v>11272.944744135591</c:v>
                </c:pt>
                <c:pt idx="40">
                  <c:v>12093.876840766881</c:v>
                </c:pt>
                <c:pt idx="41">
                  <c:v>12921.221444292489</c:v>
                </c:pt>
                <c:pt idx="42">
                  <c:v>13751.701390429685</c:v>
                </c:pt>
                <c:pt idx="43">
                  <c:v>14582.196600390849</c:v>
                </c:pt>
                <c:pt idx="44">
                  <c:v>15409.769359237383</c:v>
                </c:pt>
                <c:pt idx="45">
                  <c:v>16231.683598683261</c:v>
                </c:pt>
                <c:pt idx="46">
                  <c:v>17045.41859388489</c:v>
                </c:pt>
                <c:pt idx="47">
                  <c:v>17848.677570078587</c:v>
                </c:pt>
                <c:pt idx="48">
                  <c:v>18639.391768519643</c:v>
                </c:pt>
                <c:pt idx="49">
                  <c:v>19415.720546905381</c:v>
                </c:pt>
                <c:pt idx="50">
                  <c:v>20176.048092297595</c:v>
                </c:pt>
                <c:pt idx="51">
                  <c:v>20918.977309291065</c:v>
                </c:pt>
                <c:pt idx="52">
                  <c:v>21643.321417234194</c:v>
                </c:pt>
                <c:pt idx="53">
                  <c:v>22348.093751640339</c:v>
                </c:pt>
                <c:pt idx="54">
                  <c:v>23032.496219938021</c:v>
                </c:pt>
                <c:pt idx="55">
                  <c:v>23695.906813238504</c:v>
                </c:pt>
                <c:pt idx="56">
                  <c:v>24337.86652615502</c:v>
                </c:pt>
                <c:pt idx="57">
                  <c:v>24958.065987691149</c:v>
                </c:pt>
                <c:pt idx="58">
                  <c:v>25556.332059179927</c:v>
                </c:pt>
                <c:pt idx="59">
                  <c:v>26132.614611164638</c:v>
                </c:pt>
                <c:pt idx="60">
                  <c:v>26686.973650602384</c:v>
                </c:pt>
                <c:pt idx="61">
                  <c:v>27219.566933208538</c:v>
                </c:pt>
                <c:pt idx="62">
                  <c:v>27730.638163295644</c:v>
                </c:pt>
                <c:pt idx="63">
                  <c:v>28220.505855079897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4E-4EA2-A6D4-DC85486CE05D}"/>
            </c:ext>
          </c:extLst>
        </c:ser>
        <c:ser>
          <c:idx val="6"/>
          <c:order val="6"/>
          <c:tx>
            <c:strRef>
              <c:f>'Cumul_ confirmed - Gompertz fit'!$J$6</c:f>
              <c:strCache>
                <c:ptCount val="1"/>
                <c:pt idx="0">
                  <c:v>D.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fit'!$J$7:$J$70</c:f>
              <c:numCache>
                <c:formatCode>0</c:formatCode>
                <c:ptCount val="64"/>
                <c:pt idx="0">
                  <c:v>296.21810372873114</c:v>
                </c:pt>
                <c:pt idx="1">
                  <c:v>296.34946095103368</c:v>
                </c:pt>
                <c:pt idx="2">
                  <c:v>296.60291347158176</c:v>
                </c:pt>
                <c:pt idx="3">
                  <c:v>297.07186014535557</c:v>
                </c:pt>
                <c:pt idx="4">
                  <c:v>297.90591734990988</c:v>
                </c:pt>
                <c:pt idx="5">
                  <c:v>299.33518512936291</c:v>
                </c:pt>
                <c:pt idx="6">
                  <c:v>301.70011705589116</c:v>
                </c:pt>
                <c:pt idx="7">
                  <c:v>305.48627052216557</c:v>
                </c:pt>
                <c:pt idx="8">
                  <c:v>311.3623554946692</c:v>
                </c:pt>
                <c:pt idx="9">
                  <c:v>320.21912676054239</c:v>
                </c:pt>
                <c:pt idx="10">
                  <c:v>333.20591566831069</c:v>
                </c:pt>
                <c:pt idx="11">
                  <c:v>351.76110994798319</c:v>
                </c:pt>
                <c:pt idx="12">
                  <c:v>377.63277417889975</c:v>
                </c:pt>
                <c:pt idx="13">
                  <c:v>412.8859181078966</c:v>
                </c:pt>
                <c:pt idx="14">
                  <c:v>459.89366120735173</c:v>
                </c:pt>
                <c:pt idx="15">
                  <c:v>521.31064175950496</c:v>
                </c:pt>
                <c:pt idx="16">
                  <c:v>600.02835731795062</c:v>
                </c:pt>
                <c:pt idx="17">
                  <c:v>699.11354872423635</c:v>
                </c:pt>
                <c:pt idx="18">
                  <c:v>821.7320925937147</c:v>
                </c:pt>
                <c:pt idx="19">
                  <c:v>971.06200405329855</c:v>
                </c:pt>
                <c:pt idx="20">
                  <c:v>1150.1999638636651</c:v>
                </c:pt>
                <c:pt idx="21">
                  <c:v>1362.0662089515345</c:v>
                </c:pt>
                <c:pt idx="22">
                  <c:v>1609.3126485273051</c:v>
                </c:pt>
                <c:pt idx="23">
                  <c:v>1894.2387194109785</c:v>
                </c:pt>
                <c:pt idx="24">
                  <c:v>2218.7188386709558</c:v>
                </c:pt>
                <c:pt idx="25">
                  <c:v>2584.1444361014965</c:v>
                </c:pt>
                <c:pt idx="26">
                  <c:v>2991.3825494351731</c:v>
                </c:pt>
                <c:pt idx="27">
                  <c:v>3440.7519349133336</c:v>
                </c:pt>
                <c:pt idx="28">
                  <c:v>3932.0166666256177</c:v>
                </c:pt>
                <c:pt idx="29">
                  <c:v>4464.396333966085</c:v>
                </c:pt>
                <c:pt idx="30">
                  <c:v>5036.5912413641154</c:v>
                </c:pt>
                <c:pt idx="31">
                  <c:v>5646.8204914959506</c:v>
                </c:pt>
                <c:pt idx="32">
                  <c:v>6292.8704975412866</c:v>
                </c:pt>
                <c:pt idx="33">
                  <c:v>6972.1513118978</c:v>
                </c:pt>
                <c:pt idx="34">
                  <c:v>7681.7581574080878</c:v>
                </c:pt>
                <c:pt idx="35">
                  <c:v>8418.5356750697883</c:v>
                </c:pt>
                <c:pt idx="36">
                  <c:v>9179.1426287288396</c:v>
                </c:pt>
                <c:pt idx="37">
                  <c:v>9960.115101627327</c:v>
                </c:pt>
                <c:pt idx="38">
                  <c:v>10757.926553295663</c:v>
                </c:pt>
                <c:pt idx="39">
                  <c:v>11569.043453245717</c:v>
                </c:pt>
                <c:pt idx="40">
                  <c:v>12389.975549877006</c:v>
                </c:pt>
                <c:pt idx="41">
                  <c:v>13217.320153402614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4E-4EA2-A6D4-DC85486CE05D}"/>
            </c:ext>
          </c:extLst>
        </c:ser>
        <c:ser>
          <c:idx val="7"/>
          <c:order val="7"/>
          <c:tx>
            <c:strRef>
              <c:f>'Cumul_ confirmed - Gompertz fit'!$K$6</c:f>
              <c:strCache>
                <c:ptCount val="1"/>
                <c:pt idx="0">
                  <c:v>D.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fit'!$K$7:$K$70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7.8309390977008775</c:v>
                </c:pt>
                <c:pt idx="17">
                  <c:v>106.91613050398672</c:v>
                </c:pt>
                <c:pt idx="18">
                  <c:v>229.53467437346507</c:v>
                </c:pt>
                <c:pt idx="19">
                  <c:v>378.86458583304881</c:v>
                </c:pt>
                <c:pt idx="20">
                  <c:v>558.00254564341549</c:v>
                </c:pt>
                <c:pt idx="21">
                  <c:v>769.86879073128466</c:v>
                </c:pt>
                <c:pt idx="22">
                  <c:v>1017.1152303070553</c:v>
                </c:pt>
                <c:pt idx="23">
                  <c:v>1302.0413011907287</c:v>
                </c:pt>
                <c:pt idx="24">
                  <c:v>1626.5214204507063</c:v>
                </c:pt>
                <c:pt idx="25">
                  <c:v>1991.9470178812469</c:v>
                </c:pt>
                <c:pt idx="26">
                  <c:v>2399.1851312149238</c:v>
                </c:pt>
                <c:pt idx="27">
                  <c:v>2848.5545166930842</c:v>
                </c:pt>
                <c:pt idx="28">
                  <c:v>3339.8192484053684</c:v>
                </c:pt>
                <c:pt idx="29">
                  <c:v>3872.1989157458352</c:v>
                </c:pt>
                <c:pt idx="30">
                  <c:v>4444.3938231438651</c:v>
                </c:pt>
                <c:pt idx="31">
                  <c:v>5054.6230732757003</c:v>
                </c:pt>
                <c:pt idx="32">
                  <c:v>5700.6730793210363</c:v>
                </c:pt>
                <c:pt idx="33">
                  <c:v>6379.9538936775498</c:v>
                </c:pt>
                <c:pt idx="34">
                  <c:v>7089.5607391878375</c:v>
                </c:pt>
                <c:pt idx="35">
                  <c:v>7826.338256849539</c:v>
                </c:pt>
                <c:pt idx="36">
                  <c:v>8586.9452105085893</c:v>
                </c:pt>
                <c:pt idx="37">
                  <c:v>9367.9176834070768</c:v>
                </c:pt>
                <c:pt idx="38">
                  <c:v>10165.729135075413</c:v>
                </c:pt>
                <c:pt idx="39">
                  <c:v>10976.846035025466</c:v>
                </c:pt>
                <c:pt idx="40">
                  <c:v>11797.778131656756</c:v>
                </c:pt>
                <c:pt idx="41">
                  <c:v>12625.122735182364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4E-4EA2-A6D4-DC85486CE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</a:t>
            </a:r>
            <a:r>
              <a:rPr lang="it-IT" baseline="0"/>
              <a:t> C</a:t>
            </a:r>
            <a:r>
              <a:rPr lang="it-IT"/>
              <a:t>onfirmed Cases</a:t>
            </a:r>
          </a:p>
          <a:p>
            <a:pPr>
              <a:defRPr/>
            </a:pPr>
            <a:r>
              <a:rPr lang="it-IT" sz="1400" b="0" i="0" u="none" strike="noStrike" cap="none" baseline="0">
                <a:effectLst/>
              </a:rPr>
              <a:t>Daily New Cases and Deaths</a:t>
            </a:r>
            <a:r>
              <a:rPr lang="it-IT"/>
              <a:t> - Gompertz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'New_ confirmed - Gompertz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 confirmed - Gompertz fit'!$H$7:$H$70</c:f>
              <c:numCache>
                <c:formatCode>0</c:formatCode>
                <c:ptCount val="64"/>
                <c:pt idx="0">
                  <c:v>1479.3163193947489</c:v>
                </c:pt>
                <c:pt idx="1">
                  <c:v>1555.2603047345613</c:v>
                </c:pt>
                <c:pt idx="2">
                  <c:v>1580.2915807426932</c:v>
                </c:pt>
                <c:pt idx="3">
                  <c:v>1611.5962693019655</c:v>
                </c:pt>
                <c:pt idx="4">
                  <c:v>1650.167923719001</c:v>
                </c:pt>
                <c:pt idx="5">
                  <c:v>1697.0200028644308</c:v>
                </c:pt>
                <c:pt idx="6">
                  <c:v>1753.1567189575969</c:v>
                </c:pt>
                <c:pt idx="7">
                  <c:v>1819.5410391490632</c:v>
                </c:pt>
                <c:pt idx="8">
                  <c:v>1897.0612024796012</c:v>
                </c:pt>
                <c:pt idx="9">
                  <c:v>1986.4972534261531</c:v>
                </c:pt>
                <c:pt idx="10">
                  <c:v>2088.4891333017349</c:v>
                </c:pt>
                <c:pt idx="11">
                  <c:v>2203.5078106594819</c:v>
                </c:pt>
                <c:pt idx="12">
                  <c:v>2331.8307794930602</c:v>
                </c:pt>
                <c:pt idx="13">
                  <c:v>2473.5230244440922</c:v>
                </c:pt>
                <c:pt idx="14">
                  <c:v>2628.4242655122302</c:v>
                </c:pt>
                <c:pt idx="15">
                  <c:v>2796.142973794244</c:v>
                </c:pt>
                <c:pt idx="16">
                  <c:v>2976.0573179569114</c:v>
                </c:pt>
                <c:pt idx="17">
                  <c:v>3167.3228803889883</c:v>
                </c:pt>
                <c:pt idx="18">
                  <c:v>3368.8866911059445</c:v>
                </c:pt>
                <c:pt idx="19">
                  <c:v>3579.5068811569577</c:v>
                </c:pt>
                <c:pt idx="20">
                  <c:v>3797.7770654342689</c:v>
                </c:pt>
                <c:pt idx="21">
                  <c:v>4022.1544325425434</c:v>
                </c:pt>
                <c:pt idx="22">
                  <c:v>4250.9904474149898</c:v>
                </c:pt>
                <c:pt idx="23">
                  <c:v>4482.5630575005725</c:v>
                </c:pt>
                <c:pt idx="24">
                  <c:v>4715.1093294243856</c:v>
                </c:pt>
                <c:pt idx="25">
                  <c:v>4946.8575217623638</c:v>
                </c:pt>
                <c:pt idx="26">
                  <c:v>5176.0577114886346</c:v>
                </c:pt>
                <c:pt idx="27">
                  <c:v>5401.0102268570499</c:v>
                </c:pt>
                <c:pt idx="28">
                  <c:v>5620.0912883696528</c:v>
                </c:pt>
                <c:pt idx="29">
                  <c:v>5831.7754132739447</c:v>
                </c:pt>
                <c:pt idx="30">
                  <c:v>6034.6542901209996</c:v>
                </c:pt>
                <c:pt idx="31">
                  <c:v>6227.4519721192792</c:v>
                </c:pt>
                <c:pt idx="32">
                  <c:v>6409.0363666313879</c:v>
                </c:pt>
                <c:pt idx="33">
                  <c:v>6578.4271099574053</c:v>
                </c:pt>
                <c:pt idx="34">
                  <c:v>6734.8000096467531</c:v>
                </c:pt>
                <c:pt idx="35">
                  <c:v>6877.4883103061384</c:v>
                </c:pt>
                <c:pt idx="36">
                  <c:v>7005.9810935234946</c:v>
                </c:pt>
                <c:pt idx="37">
                  <c:v>7119.9191591942745</c:v>
                </c:pt>
                <c:pt idx="38">
                  <c:v>7219.0887558726045</c:v>
                </c:pt>
                <c:pt idx="39">
                  <c:v>7303.4135337979042</c:v>
                </c:pt>
                <c:pt idx="40">
                  <c:v>7372.9450881986359</c:v>
                </c:pt>
                <c:pt idx="41">
                  <c:v>7427.8524446393076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69-4D76-86FB-8CBD3E1407F4}"/>
            </c:ext>
          </c:extLst>
        </c:ser>
        <c:ser>
          <c:idx val="3"/>
          <c:order val="3"/>
          <c:tx>
            <c:strRef>
              <c:f>'New_ confirmed - Gompertz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 confirmed - Gompertz fit'!$I$7:$I$70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17.424679167413615</c:v>
                </c:pt>
                <c:pt idx="17">
                  <c:v>208.69024159949049</c:v>
                </c:pt>
                <c:pt idx="18">
                  <c:v>410.25405231644663</c:v>
                </c:pt>
                <c:pt idx="19">
                  <c:v>620.87424236745983</c:v>
                </c:pt>
                <c:pt idx="20">
                  <c:v>839.1444266447711</c:v>
                </c:pt>
                <c:pt idx="21">
                  <c:v>1063.5217937530456</c:v>
                </c:pt>
                <c:pt idx="22">
                  <c:v>1292.3578086254915</c:v>
                </c:pt>
                <c:pt idx="23">
                  <c:v>1523.9304187110743</c:v>
                </c:pt>
                <c:pt idx="24">
                  <c:v>1756.4766906348873</c:v>
                </c:pt>
                <c:pt idx="25">
                  <c:v>1988.2248829728655</c:v>
                </c:pt>
                <c:pt idx="26">
                  <c:v>2217.4250726991363</c:v>
                </c:pt>
                <c:pt idx="27">
                  <c:v>2442.3775880675516</c:v>
                </c:pt>
                <c:pt idx="28">
                  <c:v>2661.4586495801545</c:v>
                </c:pt>
                <c:pt idx="29">
                  <c:v>2873.1427744844464</c:v>
                </c:pt>
                <c:pt idx="30">
                  <c:v>3076.0216513315013</c:v>
                </c:pt>
                <c:pt idx="31">
                  <c:v>3268.8193333297809</c:v>
                </c:pt>
                <c:pt idx="32">
                  <c:v>3450.4037278418896</c:v>
                </c:pt>
                <c:pt idx="33">
                  <c:v>3619.794471167907</c:v>
                </c:pt>
                <c:pt idx="34">
                  <c:v>3776.1673708572548</c:v>
                </c:pt>
                <c:pt idx="35">
                  <c:v>3918.8556715166401</c:v>
                </c:pt>
                <c:pt idx="36">
                  <c:v>4047.3484547339963</c:v>
                </c:pt>
                <c:pt idx="37">
                  <c:v>4161.2865204047757</c:v>
                </c:pt>
                <c:pt idx="38">
                  <c:v>4260.4561170831057</c:v>
                </c:pt>
                <c:pt idx="39">
                  <c:v>4344.7808950084054</c:v>
                </c:pt>
                <c:pt idx="40">
                  <c:v>4414.3124494091371</c:v>
                </c:pt>
                <c:pt idx="41">
                  <c:v>4469.2198058498088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69-4D76-86FB-8CBD3E1407F4}"/>
            </c:ext>
          </c:extLst>
        </c:ser>
        <c:ser>
          <c:idx val="5"/>
          <c:order val="5"/>
          <c:tx>
            <c:strRef>
              <c:f>'New_ confirmed - Gompertz fit'!$M$6</c:f>
              <c:strCache>
                <c:ptCount val="1"/>
                <c:pt idx="0">
                  <c:v>New_D_fit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'New_ confirmed - Gompertz fit'!$M$7:$M$70</c:f>
              <c:numCache>
                <c:formatCode>0</c:formatCode>
                <c:ptCount val="64"/>
                <c:pt idx="0">
                  <c:v>0</c:v>
                </c:pt>
                <c:pt idx="1">
                  <c:v>0.26652257459334566</c:v>
                </c:pt>
                <c:pt idx="2">
                  <c:v>0.48026039072675064</c:v>
                </c:pt>
                <c:pt idx="3">
                  <c:v>0.83472515295326311</c:v>
                </c:pt>
                <c:pt idx="4">
                  <c:v>1.4021907701912149</c:v>
                </c:pt>
                <c:pt idx="5">
                  <c:v>2.2808258505599528</c:v>
                </c:pt>
                <c:pt idx="6">
                  <c:v>3.5989631730134501</c:v>
                </c:pt>
                <c:pt idx="7">
                  <c:v>5.5182143838990534</c:v>
                </c:pt>
                <c:pt idx="8">
                  <c:v>8.2347503929647132</c:v>
                </c:pt>
                <c:pt idx="9">
                  <c:v>11.978136406772666</c:v>
                </c:pt>
                <c:pt idx="10">
                  <c:v>17.007277736597075</c:v>
                </c:pt>
                <c:pt idx="11">
                  <c:v>23.603284384006805</c:v>
                </c:pt>
                <c:pt idx="12">
                  <c:v>32.059369095156825</c:v>
                </c:pt>
                <c:pt idx="13">
                  <c:v>42.668214658401993</c:v>
                </c:pt>
                <c:pt idx="14">
                  <c:v>55.707537973854187</c:v>
                </c:pt>
                <c:pt idx="15">
                  <c:v>71.424801481327961</c:v>
                </c:pt>
                <c:pt idx="16">
                  <c:v>90.022148285496769</c:v>
                </c:pt>
                <c:pt idx="17">
                  <c:v>111.64265188017032</c:v>
                </c:pt>
                <c:pt idx="18">
                  <c:v>136.35887663033498</c:v>
                </c:pt>
                <c:pt idx="19">
                  <c:v>164.16455706746456</c:v>
                </c:pt>
                <c:pt idx="20">
                  <c:v>194.96994885150934</c:v>
                </c:pt>
                <c:pt idx="21">
                  <c:v>228.60111370242475</c:v>
                </c:pt>
                <c:pt idx="22">
                  <c:v>264.80310702997986</c:v>
                </c:pt>
                <c:pt idx="23">
                  <c:v>303.24676909476443</c:v>
                </c:pt>
                <c:pt idx="24">
                  <c:v>343.53860042563178</c:v>
                </c:pt>
                <c:pt idx="25">
                  <c:v>385.23304387558574</c:v>
                </c:pt>
                <c:pt idx="26">
                  <c:v>427.8464047677121</c:v>
                </c:pt>
                <c:pt idx="27">
                  <c:v>470.87161527071476</c:v>
                </c:pt>
                <c:pt idx="28">
                  <c:v>513.7930818124637</c:v>
                </c:pt>
                <c:pt idx="29">
                  <c:v>556.10093344526149</c:v>
                </c:pt>
                <c:pt idx="30">
                  <c:v>597.30410111656329</c:v>
                </c:pt>
                <c:pt idx="31">
                  <c:v>636.94178902906697</c:v>
                </c:pt>
                <c:pt idx="32">
                  <c:v>674.59303705153889</c:v>
                </c:pt>
                <c:pt idx="33">
                  <c:v>709.88420682855485</c:v>
                </c:pt>
                <c:pt idx="34">
                  <c:v>742.49434568982633</c:v>
                </c:pt>
                <c:pt idx="35">
                  <c:v>772.15848615046707</c:v>
                </c:pt>
                <c:pt idx="36">
                  <c:v>798.66902166075852</c:v>
                </c:pt>
                <c:pt idx="37">
                  <c:v>821.87536037288737</c:v>
                </c:pt>
                <c:pt idx="38">
                  <c:v>841.68209879790629</c:v>
                </c:pt>
                <c:pt idx="39">
                  <c:v>858.04597830515559</c:v>
                </c:pt>
                <c:pt idx="40">
                  <c:v>870.97189222120141</c:v>
                </c:pt>
                <c:pt idx="41">
                  <c:v>880.50820295320409</c:v>
                </c:pt>
                <c:pt idx="42">
                  <c:v>886.74161030333198</c:v>
                </c:pt>
                <c:pt idx="43">
                  <c:v>889.791787000966</c:v>
                </c:pt>
                <c:pt idx="44">
                  <c:v>889.80596818234517</c:v>
                </c:pt>
                <c:pt idx="45">
                  <c:v>886.95365040300567</c:v>
                </c:pt>
                <c:pt idx="46">
                  <c:v>881.4215246353051</c:v>
                </c:pt>
                <c:pt idx="47">
                  <c:v>873.40873799534529</c:v>
                </c:pt>
                <c:pt idx="48">
                  <c:v>863.12255165816896</c:v>
                </c:pt>
                <c:pt idx="49">
                  <c:v>850.77443819401014</c:v>
                </c:pt>
                <c:pt idx="50">
                  <c:v>836.5766407232768</c:v>
                </c:pt>
                <c:pt idx="51">
                  <c:v>820.73919893398488</c:v>
                </c:pt>
                <c:pt idx="52">
                  <c:v>803.46743303986659</c:v>
                </c:pt>
                <c:pt idx="53">
                  <c:v>784.95986595728391</c:v>
                </c:pt>
                <c:pt idx="54">
                  <c:v>765.40655603645428</c:v>
                </c:pt>
                <c:pt idx="55">
                  <c:v>744.98780724338576</c:v>
                </c:pt>
                <c:pt idx="56">
                  <c:v>723.87322038112688</c:v>
                </c:pt>
                <c:pt idx="57">
                  <c:v>702.22104739417045</c:v>
                </c:pt>
                <c:pt idx="58">
                  <c:v>680.17781067181204</c:v>
                </c:pt>
                <c:pt idx="59">
                  <c:v>657.87815023651638</c:v>
                </c:pt>
                <c:pt idx="60">
                  <c:v>635.44486349259751</c:v>
                </c:pt>
                <c:pt idx="61">
                  <c:v>612.98910457417514</c:v>
                </c:pt>
                <c:pt idx="62">
                  <c:v>590.61071306854865</c:v>
                </c:pt>
                <c:pt idx="63">
                  <c:v>568.39864483211568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54-4F54-8540-3EA4BAD91994}"/>
            </c:ext>
          </c:extLst>
        </c:ser>
        <c:ser>
          <c:idx val="6"/>
          <c:order val="6"/>
          <c:tx>
            <c:strRef>
              <c:f>'New_ confirmed - Gompertz fit'!$N$6</c:f>
              <c:strCache>
                <c:ptCount val="1"/>
                <c:pt idx="0">
                  <c:v>ND_Upper CI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 confirmed - Gompertz fit'!$N$7:$N$70</c:f>
              <c:numCache>
                <c:formatCode>0</c:formatCode>
                <c:ptCount val="64"/>
                <c:pt idx="0">
                  <c:v>135.13857770600103</c:v>
                </c:pt>
                <c:pt idx="1">
                  <c:v>135.40510028059438</c:v>
                </c:pt>
                <c:pt idx="2">
                  <c:v>135.61883809672779</c:v>
                </c:pt>
                <c:pt idx="3">
                  <c:v>135.9733028589543</c:v>
                </c:pt>
                <c:pt idx="4">
                  <c:v>136.54076847619226</c:v>
                </c:pt>
                <c:pt idx="5">
                  <c:v>137.41940355656098</c:v>
                </c:pt>
                <c:pt idx="6">
                  <c:v>138.73754087901449</c:v>
                </c:pt>
                <c:pt idx="7">
                  <c:v>140.65679208990008</c:v>
                </c:pt>
                <c:pt idx="8">
                  <c:v>143.37332809896574</c:v>
                </c:pt>
                <c:pt idx="9">
                  <c:v>147.11671411277371</c:v>
                </c:pt>
                <c:pt idx="10">
                  <c:v>152.1458554425981</c:v>
                </c:pt>
                <c:pt idx="11">
                  <c:v>158.74186209000783</c:v>
                </c:pt>
                <c:pt idx="12">
                  <c:v>167.19794680115785</c:v>
                </c:pt>
                <c:pt idx="13">
                  <c:v>177.80679236440301</c:v>
                </c:pt>
                <c:pt idx="14">
                  <c:v>190.84611567985522</c:v>
                </c:pt>
                <c:pt idx="15">
                  <c:v>206.56337918732899</c:v>
                </c:pt>
                <c:pt idx="16">
                  <c:v>225.1607259914978</c:v>
                </c:pt>
                <c:pt idx="17">
                  <c:v>246.78122958617135</c:v>
                </c:pt>
                <c:pt idx="18">
                  <c:v>271.49745433633598</c:v>
                </c:pt>
                <c:pt idx="19">
                  <c:v>299.30313477346556</c:v>
                </c:pt>
                <c:pt idx="20">
                  <c:v>330.10852655751034</c:v>
                </c:pt>
                <c:pt idx="21">
                  <c:v>363.73969140842576</c:v>
                </c:pt>
                <c:pt idx="22">
                  <c:v>399.94168473598086</c:v>
                </c:pt>
                <c:pt idx="23">
                  <c:v>438.38534680076543</c:v>
                </c:pt>
                <c:pt idx="24">
                  <c:v>478.67717813163279</c:v>
                </c:pt>
                <c:pt idx="25">
                  <c:v>520.37162158158674</c:v>
                </c:pt>
                <c:pt idx="26">
                  <c:v>562.9849824737131</c:v>
                </c:pt>
                <c:pt idx="27">
                  <c:v>606.01019297671576</c:v>
                </c:pt>
                <c:pt idx="28">
                  <c:v>648.9316595184647</c:v>
                </c:pt>
                <c:pt idx="29">
                  <c:v>691.23951115126249</c:v>
                </c:pt>
                <c:pt idx="30">
                  <c:v>732.44267882256429</c:v>
                </c:pt>
                <c:pt idx="31">
                  <c:v>772.08036673506797</c:v>
                </c:pt>
                <c:pt idx="32">
                  <c:v>809.73161475753989</c:v>
                </c:pt>
                <c:pt idx="33">
                  <c:v>845.02278453455585</c:v>
                </c:pt>
                <c:pt idx="34">
                  <c:v>877.63292339582733</c:v>
                </c:pt>
                <c:pt idx="35">
                  <c:v>907.29706385646807</c:v>
                </c:pt>
                <c:pt idx="36">
                  <c:v>933.80759936675952</c:v>
                </c:pt>
                <c:pt idx="37">
                  <c:v>957.01393807888837</c:v>
                </c:pt>
                <c:pt idx="38">
                  <c:v>976.82067650390729</c:v>
                </c:pt>
                <c:pt idx="39">
                  <c:v>993.18455601115659</c:v>
                </c:pt>
                <c:pt idx="40">
                  <c:v>1006.1104699272024</c:v>
                </c:pt>
                <c:pt idx="41">
                  <c:v>1015.6467806592051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54-4F54-8540-3EA4BAD91994}"/>
            </c:ext>
          </c:extLst>
        </c:ser>
        <c:ser>
          <c:idx val="7"/>
          <c:order val="7"/>
          <c:tx>
            <c:strRef>
              <c:f>'New_ confirmed - Gompertz fit'!$O$6</c:f>
              <c:strCache>
                <c:ptCount val="1"/>
                <c:pt idx="0">
                  <c:v>ND_Lower CI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 confirmed - Gompertz fit'!$O$7:$O$70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1.2202989243339459</c:v>
                </c:pt>
                <c:pt idx="19">
                  <c:v>29.025979361463527</c:v>
                </c:pt>
                <c:pt idx="20">
                  <c:v>59.831371145508314</c:v>
                </c:pt>
                <c:pt idx="21">
                  <c:v>93.462535996423725</c:v>
                </c:pt>
                <c:pt idx="22">
                  <c:v>129.66452932397883</c:v>
                </c:pt>
                <c:pt idx="23">
                  <c:v>168.1081913887634</c:v>
                </c:pt>
                <c:pt idx="24">
                  <c:v>208.40002271963075</c:v>
                </c:pt>
                <c:pt idx="25">
                  <c:v>250.09446616958471</c:v>
                </c:pt>
                <c:pt idx="26">
                  <c:v>292.7078270617111</c:v>
                </c:pt>
                <c:pt idx="27">
                  <c:v>335.73303756471375</c:v>
                </c:pt>
                <c:pt idx="28">
                  <c:v>378.6545041064627</c:v>
                </c:pt>
                <c:pt idx="29">
                  <c:v>420.96235573926049</c:v>
                </c:pt>
                <c:pt idx="30">
                  <c:v>462.16552341056229</c:v>
                </c:pt>
                <c:pt idx="31">
                  <c:v>501.80321132306597</c:v>
                </c:pt>
                <c:pt idx="32">
                  <c:v>539.45445934553788</c:v>
                </c:pt>
                <c:pt idx="33">
                  <c:v>574.74562912255385</c:v>
                </c:pt>
                <c:pt idx="34">
                  <c:v>607.35576798382533</c:v>
                </c:pt>
                <c:pt idx="35">
                  <c:v>637.01990844446607</c:v>
                </c:pt>
                <c:pt idx="36">
                  <c:v>663.53044395475752</c:v>
                </c:pt>
                <c:pt idx="37">
                  <c:v>686.73678266688637</c:v>
                </c:pt>
                <c:pt idx="38">
                  <c:v>706.54352109190529</c:v>
                </c:pt>
                <c:pt idx="39">
                  <c:v>722.90740059915458</c:v>
                </c:pt>
                <c:pt idx="40">
                  <c:v>735.83331451520041</c:v>
                </c:pt>
                <c:pt idx="41">
                  <c:v>745.36962524720309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154-4F54-8540-3EA4BAD9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lineMarker"/>
        <c:varyColors val="0"/>
        <c:ser>
          <c:idx val="0"/>
          <c:order val="0"/>
          <c:tx>
            <c:strRef>
              <c:f>'New_ confirmed - Gompertz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'New_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 confirmed - Gompertz fit'!$E$7:$E$70</c:f>
              <c:numCache>
                <c:formatCode>General</c:formatCode>
                <c:ptCount val="64"/>
                <c:pt idx="0" formatCode="0">
                  <c:v>0</c:v>
                </c:pt>
                <c:pt idx="1">
                  <c:v>17</c:v>
                </c:pt>
                <c:pt idx="2">
                  <c:v>42</c:v>
                </c:pt>
                <c:pt idx="3">
                  <c:v>93</c:v>
                </c:pt>
                <c:pt idx="4">
                  <c:v>74</c:v>
                </c:pt>
                <c:pt idx="5">
                  <c:v>93</c:v>
                </c:pt>
                <c:pt idx="6">
                  <c:v>78</c:v>
                </c:pt>
                <c:pt idx="7">
                  <c:v>250</c:v>
                </c:pt>
                <c:pt idx="8">
                  <c:v>238</c:v>
                </c:pt>
                <c:pt idx="9">
                  <c:v>240</c:v>
                </c:pt>
                <c:pt idx="10">
                  <c:v>566</c:v>
                </c:pt>
                <c:pt idx="11">
                  <c:v>342</c:v>
                </c:pt>
                <c:pt idx="12">
                  <c:v>466</c:v>
                </c:pt>
                <c:pt idx="13">
                  <c:v>587</c:v>
                </c:pt>
                <c:pt idx="14">
                  <c:v>769</c:v>
                </c:pt>
                <c:pt idx="15">
                  <c:v>778</c:v>
                </c:pt>
                <c:pt idx="16">
                  <c:v>1247</c:v>
                </c:pt>
                <c:pt idx="17">
                  <c:v>1492</c:v>
                </c:pt>
                <c:pt idx="18">
                  <c:v>1797</c:v>
                </c:pt>
                <c:pt idx="19">
                  <c:v>977</c:v>
                </c:pt>
                <c:pt idx="20">
                  <c:v>2313</c:v>
                </c:pt>
                <c:pt idx="21">
                  <c:v>2651</c:v>
                </c:pt>
                <c:pt idx="22">
                  <c:v>2547</c:v>
                </c:pt>
                <c:pt idx="23">
                  <c:v>3497</c:v>
                </c:pt>
                <c:pt idx="24">
                  <c:v>3590</c:v>
                </c:pt>
                <c:pt idx="25">
                  <c:v>3233</c:v>
                </c:pt>
                <c:pt idx="26">
                  <c:v>3526</c:v>
                </c:pt>
                <c:pt idx="27">
                  <c:v>4207</c:v>
                </c:pt>
                <c:pt idx="28">
                  <c:v>5322</c:v>
                </c:pt>
                <c:pt idx="29">
                  <c:v>5986</c:v>
                </c:pt>
                <c:pt idx="30">
                  <c:v>6557</c:v>
                </c:pt>
                <c:pt idx="31">
                  <c:v>5560</c:v>
                </c:pt>
                <c:pt idx="32">
                  <c:v>4789</c:v>
                </c:pt>
                <c:pt idx="33">
                  <c:v>5249</c:v>
                </c:pt>
                <c:pt idx="34">
                  <c:v>5210</c:v>
                </c:pt>
                <c:pt idx="35">
                  <c:v>6153</c:v>
                </c:pt>
                <c:pt idx="36">
                  <c:v>5959</c:v>
                </c:pt>
                <c:pt idx="37">
                  <c:v>5974</c:v>
                </c:pt>
                <c:pt idx="38">
                  <c:v>5217</c:v>
                </c:pt>
                <c:pt idx="39">
                  <c:v>4050</c:v>
                </c:pt>
                <c:pt idx="40">
                  <c:v>4053</c:v>
                </c:pt>
                <c:pt idx="41">
                  <c:v>4782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9-4D76-86FB-8CBD3E1407F4}"/>
            </c:ext>
          </c:extLst>
        </c:ser>
        <c:ser>
          <c:idx val="1"/>
          <c:order val="1"/>
          <c:tx>
            <c:strRef>
              <c:f>'New_ confirmed - Gompertz fit'!$G$6</c:f>
              <c:strCache>
                <c:ptCount val="1"/>
                <c:pt idx="0">
                  <c:v>New_fit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fit'!$C$7:$C$130</c:f>
              <c:numCache>
                <c:formatCode>General</c:formatCode>
                <c:ptCount val="1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</c:numCache>
            </c:numRef>
          </c:xVal>
          <c:yVal>
            <c:numRef>
              <c:f>'New_ confirmed - Gompertz fit'!$G$7:$G$130</c:f>
              <c:numCache>
                <c:formatCode>0</c:formatCode>
                <c:ptCount val="124"/>
                <c:pt idx="0">
                  <c:v>0</c:v>
                </c:pt>
                <c:pt idx="1">
                  <c:v>75.943985339812372</c:v>
                </c:pt>
                <c:pt idx="2">
                  <c:v>100.9752613479443</c:v>
                </c:pt>
                <c:pt idx="3">
                  <c:v>132.27994990721663</c:v>
                </c:pt>
                <c:pt idx="4">
                  <c:v>170.85160432425204</c:v>
                </c:pt>
                <c:pt idx="5">
                  <c:v>217.70368346968178</c:v>
                </c:pt>
                <c:pt idx="6">
                  <c:v>273.84039956284801</c:v>
                </c:pt>
                <c:pt idx="7">
                  <c:v>340.22471975431426</c:v>
                </c:pt>
                <c:pt idx="8">
                  <c:v>417.74488308485229</c:v>
                </c:pt>
                <c:pt idx="9">
                  <c:v>507.18093403140415</c:v>
                </c:pt>
                <c:pt idx="10">
                  <c:v>609.17281390698599</c:v>
                </c:pt>
                <c:pt idx="11">
                  <c:v>724.19149126473303</c:v>
                </c:pt>
                <c:pt idx="12">
                  <c:v>852.51446009831125</c:v>
                </c:pt>
                <c:pt idx="13">
                  <c:v>994.20670504934333</c:v>
                </c:pt>
                <c:pt idx="14">
                  <c:v>1149.1079461174813</c:v>
                </c:pt>
                <c:pt idx="15">
                  <c:v>1316.8266543994951</c:v>
                </c:pt>
                <c:pt idx="16">
                  <c:v>1496.7409985621625</c:v>
                </c:pt>
                <c:pt idx="17">
                  <c:v>1688.0065609942394</c:v>
                </c:pt>
                <c:pt idx="18">
                  <c:v>1889.5703717111955</c:v>
                </c:pt>
                <c:pt idx="19">
                  <c:v>2100.1905617622087</c:v>
                </c:pt>
                <c:pt idx="20">
                  <c:v>2318.46074603952</c:v>
                </c:pt>
                <c:pt idx="21">
                  <c:v>2542.8381131477945</c:v>
                </c:pt>
                <c:pt idx="22">
                  <c:v>2771.6741280202405</c:v>
                </c:pt>
                <c:pt idx="23">
                  <c:v>3003.2467381058232</c:v>
                </c:pt>
                <c:pt idx="24">
                  <c:v>3235.7930100296362</c:v>
                </c:pt>
                <c:pt idx="25">
                  <c:v>3467.5412023676145</c:v>
                </c:pt>
                <c:pt idx="26">
                  <c:v>3696.7413920938852</c:v>
                </c:pt>
                <c:pt idx="27">
                  <c:v>3921.6939074623006</c:v>
                </c:pt>
                <c:pt idx="28">
                  <c:v>4140.7749689749035</c:v>
                </c:pt>
                <c:pt idx="29">
                  <c:v>4352.4590938791953</c:v>
                </c:pt>
                <c:pt idx="30">
                  <c:v>4555.3379707262502</c:v>
                </c:pt>
                <c:pt idx="31">
                  <c:v>4748.1356527245298</c:v>
                </c:pt>
                <c:pt idx="32">
                  <c:v>4929.7200472366385</c:v>
                </c:pt>
                <c:pt idx="33">
                  <c:v>5099.1107905626559</c:v>
                </c:pt>
                <c:pt idx="34">
                  <c:v>5255.4836902520037</c:v>
                </c:pt>
                <c:pt idx="35">
                  <c:v>5398.171990911389</c:v>
                </c:pt>
                <c:pt idx="36">
                  <c:v>5526.6647741287452</c:v>
                </c:pt>
                <c:pt idx="37">
                  <c:v>5640.6028397995251</c:v>
                </c:pt>
                <c:pt idx="38">
                  <c:v>5739.7724364778551</c:v>
                </c:pt>
                <c:pt idx="39">
                  <c:v>5824.0972144031548</c:v>
                </c:pt>
                <c:pt idx="40">
                  <c:v>5893.6287688038865</c:v>
                </c:pt>
                <c:pt idx="41">
                  <c:v>5948.5361252445582</c:v>
                </c:pt>
                <c:pt idx="42">
                  <c:v>5989.0944953891158</c:v>
                </c:pt>
                <c:pt idx="43">
                  <c:v>6015.6736026979779</c:v>
                </c:pt>
                <c:pt idx="44">
                  <c:v>6028.7258451463276</c:v>
                </c:pt>
                <c:pt idx="45">
                  <c:v>6028.7745277034992</c:v>
                </c:pt>
                <c:pt idx="46">
                  <c:v>6016.4023624394322</c:v>
                </c:pt>
                <c:pt idx="47">
                  <c:v>5992.2403998771333</c:v>
                </c:pt>
                <c:pt idx="48">
                  <c:v>5956.9575224714936</c:v>
                </c:pt>
                <c:pt idx="49">
                  <c:v>5911.2506005439791</c:v>
                </c:pt>
                <c:pt idx="50">
                  <c:v>5855.8353830968554</c:v>
                </c:pt>
                <c:pt idx="51">
                  <c:v>5791.4381709531881</c:v>
                </c:pt>
                <c:pt idx="52">
                  <c:v>5718.7882977689733</c:v>
                </c:pt>
                <c:pt idx="53">
                  <c:v>5638.6114256363362</c:v>
                </c:pt>
                <c:pt idx="54">
                  <c:v>5551.6236461857043</c:v>
                </c:pt>
                <c:pt idx="55">
                  <c:v>5458.5263651210698</c:v>
                </c:pt>
                <c:pt idx="56">
                  <c:v>5360.0019378061697</c:v>
                </c:pt>
                <c:pt idx="57">
                  <c:v>5256.7100155989174</c:v>
                </c:pt>
                <c:pt idx="58">
                  <c:v>5149.2845568692719</c:v>
                </c:pt>
                <c:pt idx="59">
                  <c:v>5038.3314527534822</c:v>
                </c:pt>
                <c:pt idx="60">
                  <c:v>4924.4267154413974</c:v>
                </c:pt>
                <c:pt idx="61">
                  <c:v>4808.1151759114291</c:v>
                </c:pt>
                <c:pt idx="62">
                  <c:v>4689.909638283716</c:v>
                </c:pt>
                <c:pt idx="63">
                  <c:v>4570.2904391343473</c:v>
                </c:pt>
                <c:pt idx="64">
                  <c:v>4449.7053620200895</c:v>
                </c:pt>
                <c:pt idx="65">
                  <c:v>4328.5698599094758</c:v>
                </c:pt>
                <c:pt idx="66">
                  <c:v>4207.2675410702941</c:v>
                </c:pt>
                <c:pt idx="67">
                  <c:v>4086.15087708176</c:v>
                </c:pt>
                <c:pt idx="68">
                  <c:v>3965.5420949134859</c:v>
                </c:pt>
                <c:pt idx="69">
                  <c:v>3845.7342183567234</c:v>
                </c:pt>
                <c:pt idx="70">
                  <c:v>3726.9922274216078</c:v>
                </c:pt>
                <c:pt idx="71">
                  <c:v>3609.5543075756286</c:v>
                </c:pt>
                <c:pt idx="72">
                  <c:v>3493.6331638409756</c:v>
                </c:pt>
                <c:pt idx="73">
                  <c:v>3379.4173777628457</c:v>
                </c:pt>
                <c:pt idx="74">
                  <c:v>3267.0727880719933</c:v>
                </c:pt>
                <c:pt idx="75">
                  <c:v>3156.7438784930273</c:v>
                </c:pt>
                <c:pt idx="76">
                  <c:v>3048.5551585672656</c:v>
                </c:pt>
                <c:pt idx="77">
                  <c:v>2942.6125255752704</c:v>
                </c:pt>
                <c:pt idx="78">
                  <c:v>2839.0045976563124</c:v>
                </c:pt>
                <c:pt idx="79">
                  <c:v>2737.8040100313956</c:v>
                </c:pt>
                <c:pt idx="80">
                  <c:v>2639.0686678568018</c:v>
                </c:pt>
                <c:pt idx="81">
                  <c:v>2542.8429506708053</c:v>
                </c:pt>
                <c:pt idx="82">
                  <c:v>2449.1588646608288</c:v>
                </c:pt>
                <c:pt idx="83">
                  <c:v>2358.0371400806471</c:v>
                </c:pt>
                <c:pt idx="84">
                  <c:v>2269.4882721087779</c:v>
                </c:pt>
                <c:pt idx="85">
                  <c:v>2183.5135042528273</c:v>
                </c:pt>
                <c:pt idx="86">
                  <c:v>2100.1057541118935</c:v>
                </c:pt>
                <c:pt idx="87">
                  <c:v>2019.2504818873713</c:v>
                </c:pt>
                <c:pt idx="88">
                  <c:v>1940.9265025280765</c:v>
                </c:pt>
                <c:pt idx="89">
                  <c:v>1865.1067427892704</c:v>
                </c:pt>
                <c:pt idx="90">
                  <c:v>1791.7589448083309</c:v>
                </c:pt>
                <c:pt idx="91">
                  <c:v>1720.8463180510444</c:v>
                </c:pt>
                <c:pt idx="92">
                  <c:v>1652.3281416736427</c:v>
                </c:pt>
                <c:pt idx="93">
                  <c:v>1586.1603194861673</c:v>
                </c:pt>
                <c:pt idx="94">
                  <c:v>1522.2958897933131</c:v>
                </c:pt>
                <c:pt idx="95">
                  <c:v>1460.6854924514191</c:v>
                </c:pt>
                <c:pt idx="96">
                  <c:v>1401.2777954965713</c:v>
                </c:pt>
                <c:pt idx="97">
                  <c:v>1344.0198836993077</c:v>
                </c:pt>
                <c:pt idx="98">
                  <c:v>1288.8576113747549</c:v>
                </c:pt>
                <c:pt idx="99">
                  <c:v>1235.7359217312769</c:v>
                </c:pt>
                <c:pt idx="100">
                  <c:v>1184.5991349797114</c:v>
                </c:pt>
                <c:pt idx="101">
                  <c:v>1135.3912073588581</c:v>
                </c:pt>
                <c:pt idx="102">
                  <c:v>1088.0559631476062</c:v>
                </c:pt>
                <c:pt idx="103">
                  <c:v>1042.5373016492231</c:v>
                </c:pt>
                <c:pt idx="104">
                  <c:v>998.77938104508212</c:v>
                </c:pt>
                <c:pt idx="105">
                  <c:v>956.72678091481794</c:v>
                </c:pt>
                <c:pt idx="106">
                  <c:v>916.32464513037121</c:v>
                </c:pt>
                <c:pt idx="107">
                  <c:v>877.5188067330746</c:v>
                </c:pt>
                <c:pt idx="108">
                  <c:v>840.25589630671311</c:v>
                </c:pt>
                <c:pt idx="109">
                  <c:v>804.48343527055113</c:v>
                </c:pt>
                <c:pt idx="110">
                  <c:v>770.14991541980999</c:v>
                </c:pt>
                <c:pt idx="111">
                  <c:v>737.20486595714465</c:v>
                </c:pt>
                <c:pt idx="112">
                  <c:v>705.59890917257871</c:v>
                </c:pt>
                <c:pt idx="113">
                  <c:v>675.28380584577098</c:v>
                </c:pt>
                <c:pt idx="114">
                  <c:v>646.21249136870028</c:v>
                </c:pt>
                <c:pt idx="115">
                  <c:v>618.33910351310624</c:v>
                </c:pt>
                <c:pt idx="116">
                  <c:v>591.6190026930999</c:v>
                </c:pt>
                <c:pt idx="117">
                  <c:v>566.00878551154165</c:v>
                </c:pt>
                <c:pt idx="118">
                  <c:v>541.46629231225234</c:v>
                </c:pt>
                <c:pt idx="119">
                  <c:v>517.95060940505937</c:v>
                </c:pt>
                <c:pt idx="120">
                  <c:v>495.42206656973576</c:v>
                </c:pt>
                <c:pt idx="121">
                  <c:v>473.84223040117649</c:v>
                </c:pt>
                <c:pt idx="122">
                  <c:v>453.17389400181128</c:v>
                </c:pt>
                <c:pt idx="123">
                  <c:v>433.38106348906877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9-4D76-86FB-8CBD3E1407F4}"/>
            </c:ext>
          </c:extLst>
        </c:ser>
        <c:ser>
          <c:idx val="4"/>
          <c:order val="4"/>
          <c:tx>
            <c:strRef>
              <c:f>'New_ confirmed - Gompertz fit'!$K$6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/>
            </c:spPr>
          </c:marker>
          <c:yVal>
            <c:numRef>
              <c:f>'New_ confirmed - Gompertz fit'!$K$7:$K$70</c:f>
              <c:numCache>
                <c:formatCode>0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5</c:v>
                </c:pt>
                <c:pt idx="11">
                  <c:v>18</c:v>
                </c:pt>
                <c:pt idx="12">
                  <c:v>27</c:v>
                </c:pt>
                <c:pt idx="13">
                  <c:v>28</c:v>
                </c:pt>
                <c:pt idx="14">
                  <c:v>41</c:v>
                </c:pt>
                <c:pt idx="15">
                  <c:v>49</c:v>
                </c:pt>
                <c:pt idx="16">
                  <c:v>36</c:v>
                </c:pt>
                <c:pt idx="17">
                  <c:v>133</c:v>
                </c:pt>
                <c:pt idx="18">
                  <c:v>97</c:v>
                </c:pt>
                <c:pt idx="19">
                  <c:v>168</c:v>
                </c:pt>
                <c:pt idx="20">
                  <c:v>196</c:v>
                </c:pt>
                <c:pt idx="21">
                  <c:v>189</c:v>
                </c:pt>
                <c:pt idx="22">
                  <c:v>250</c:v>
                </c:pt>
                <c:pt idx="23">
                  <c:v>175</c:v>
                </c:pt>
                <c:pt idx="24">
                  <c:v>368</c:v>
                </c:pt>
                <c:pt idx="25">
                  <c:v>349</c:v>
                </c:pt>
                <c:pt idx="26">
                  <c:v>345</c:v>
                </c:pt>
                <c:pt idx="27">
                  <c:v>475</c:v>
                </c:pt>
                <c:pt idx="28">
                  <c:v>427</c:v>
                </c:pt>
                <c:pt idx="29">
                  <c:v>627</c:v>
                </c:pt>
                <c:pt idx="30">
                  <c:v>793</c:v>
                </c:pt>
                <c:pt idx="31">
                  <c:v>651</c:v>
                </c:pt>
                <c:pt idx="32">
                  <c:v>601</c:v>
                </c:pt>
                <c:pt idx="33">
                  <c:v>743</c:v>
                </c:pt>
                <c:pt idx="34">
                  <c:v>683</c:v>
                </c:pt>
                <c:pt idx="35">
                  <c:v>662</c:v>
                </c:pt>
                <c:pt idx="36">
                  <c:v>969</c:v>
                </c:pt>
                <c:pt idx="37">
                  <c:v>889</c:v>
                </c:pt>
                <c:pt idx="38">
                  <c:v>756</c:v>
                </c:pt>
                <c:pt idx="39">
                  <c:v>812</c:v>
                </c:pt>
                <c:pt idx="40">
                  <c:v>837</c:v>
                </c:pt>
                <c:pt idx="41">
                  <c:v>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4-4F54-8540-3EA4BAD9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7620</xdr:rowOff>
    </xdr:from>
    <xdr:to>
      <xdr:col>25</xdr:col>
      <xdr:colOff>99060</xdr:colOff>
      <xdr:row>37</xdr:row>
      <xdr:rowOff>152399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75E20206-2CE6-4BED-8789-9127B2392E0A}"/>
            </a:ext>
          </a:extLst>
        </xdr:cNvPr>
        <xdr:cNvGrpSpPr/>
      </xdr:nvGrpSpPr>
      <xdr:grpSpPr>
        <a:xfrm>
          <a:off x="8509363" y="1292134"/>
          <a:ext cx="6938554" cy="6131922"/>
          <a:chOff x="6629400" y="1295400"/>
          <a:chExt cx="6941820" cy="5303523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95400"/>
          <a:ext cx="6941820" cy="530352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</a:t>
                </a:r>
                <a:r>
                  <a:rPr lang="it-IT" sz="14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2366D626-FC51-41E1-8627-7475466C9F30}"/>
              </a:ext>
            </a:extLst>
          </xdr:cNvPr>
          <xdr:cNvSpPr txBox="1"/>
        </xdr:nvSpPr>
        <xdr:spPr>
          <a:xfrm>
            <a:off x="8168640" y="3291186"/>
            <a:ext cx="1828800" cy="11783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Total cases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359999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44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19.359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 0.9971</a:t>
            </a:r>
          </a:p>
          <a:p>
            <a:r>
              <a:rPr lang="it-IT" sz="1100" b="1" i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 4058</a:t>
            </a:r>
            <a:endParaRPr lang="it-IT" b="1">
              <a:solidFill>
                <a:srgbClr val="0070C0"/>
              </a:solidFill>
              <a:effectLst/>
            </a:endParaRPr>
          </a:p>
          <a:p>
            <a:pPr eaLnBrk="1" fontAlgn="auto" latinLnBrk="0" hangingPunct="1"/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0070C0"/>
              </a:solidFill>
              <a:effectLst/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0.68935</cdr:x>
      <cdr:y>0.46965</cdr:y>
    </cdr:from>
    <cdr:to>
      <cdr:x>0.9528</cdr:x>
      <cdr:y>0.69111</cdr:y>
    </cdr:to>
    <cdr:sp macro="" textlink="">
      <cdr:nvSpPr>
        <cdr:cNvPr id="2" name="CasellaDiTesto 4">
          <a:extLst xmlns:a="http://schemas.openxmlformats.org/drawingml/2006/main">
            <a:ext uri="{FF2B5EF4-FFF2-40B4-BE49-F238E27FC236}">
              <a16:creationId xmlns:a16="http://schemas.microsoft.com/office/drawing/2014/main" id="{2366D626-FC51-41E1-8627-7475466C9F30}"/>
            </a:ext>
          </a:extLst>
        </cdr:cNvPr>
        <cdr:cNvSpPr txBox="1"/>
      </cdr:nvSpPr>
      <cdr:spPr>
        <a:xfrm xmlns:a="http://schemas.openxmlformats.org/drawingml/2006/main">
          <a:off x="4783092" y="2879858"/>
          <a:ext cx="1827962" cy="135795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</a:t>
          </a:r>
          <a:r>
            <a:rPr lang="it-IT" sz="1400" b="1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deaths</a:t>
          </a:r>
          <a:endParaRPr lang="it-IT" sz="1400" b="1" i="1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37381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43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16.549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b="1" i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0.9988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296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pPr eaLnBrk="1" fontAlgn="auto" latinLnBrk="0" hangingPunct="1"/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69669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708469" y="645523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708469" y="645523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20</xdr:col>
      <xdr:colOff>137160</xdr:colOff>
      <xdr:row>18</xdr:row>
      <xdr:rowOff>15240</xdr:rowOff>
    </xdr:from>
    <xdr:ext cx="65" cy="172227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2D42E899-4196-4B9B-8AB7-590BACDD6DA0}"/>
            </a:ext>
          </a:extLst>
        </xdr:cNvPr>
        <xdr:cNvSpPr txBox="1"/>
      </xdr:nvSpPr>
      <xdr:spPr>
        <a:xfrm>
          <a:off x="10195560" y="29870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18</xdr:col>
      <xdr:colOff>7620</xdr:colOff>
      <xdr:row>5</xdr:row>
      <xdr:rowOff>7620</xdr:rowOff>
    </xdr:from>
    <xdr:to>
      <xdr:col>29</xdr:col>
      <xdr:colOff>99060</xdr:colOff>
      <xdr:row>37</xdr:row>
      <xdr:rowOff>152400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40C6C291-EC82-44BE-93C5-7967E3816F27}"/>
            </a:ext>
          </a:extLst>
        </xdr:cNvPr>
        <xdr:cNvGrpSpPr/>
      </xdr:nvGrpSpPr>
      <xdr:grpSpPr>
        <a:xfrm>
          <a:off x="10871563" y="1292134"/>
          <a:ext cx="6938554" cy="6131923"/>
          <a:chOff x="8846820" y="1295399"/>
          <a:chExt cx="6941820" cy="5303518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5E16BE54-62FA-499A-B2CC-9239B9EDEDE2}"/>
              </a:ext>
            </a:extLst>
          </xdr:cNvPr>
          <xdr:cNvGraphicFramePr>
            <a:graphicFrameLocks/>
          </xdr:cNvGraphicFramePr>
        </xdr:nvGraphicFramePr>
        <xdr:xfrm>
          <a:off x="8846820" y="1295399"/>
          <a:ext cx="6941820" cy="530351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232364" y="2381873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𝐺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232364" y="2381873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𝐺(𝑡)=</a:t>
                </a:r>
                <a:r>
                  <a:rPr lang="it-IT" sz="14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096104" y="1889337"/>
                <a:ext cx="3249534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+1)=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096104" y="1889337"/>
                <a:ext cx="3249534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𝑦(𝑡+1)=𝐺(𝑡+1)−𝐺(𝑡)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  <xdr:cxnSp macro="">
        <xdr:nvCxnSpPr>
          <xdr:cNvPr id="11" name="Connettore diritto 10">
            <a:extLst>
              <a:ext uri="{FF2B5EF4-FFF2-40B4-BE49-F238E27FC236}">
                <a16:creationId xmlns:a16="http://schemas.microsoft.com/office/drawing/2014/main" id="{1173D55D-DEC2-4B98-9577-8873827CA26A}"/>
              </a:ext>
            </a:extLst>
          </xdr:cNvPr>
          <xdr:cNvCxnSpPr/>
        </xdr:nvCxnSpPr>
        <xdr:spPr>
          <a:xfrm>
            <a:off x="9296400" y="2783136"/>
            <a:ext cx="237744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9584129" y="2525887"/>
                <a:ext cx="467720" cy="21129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skw"/>
                          <m:ctrlPr>
                            <a:rPr lang="it-IT" sz="1400" b="0" i="1">
                              <a:solidFill>
                                <a:srgbClr val="0070C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0070C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𝐾</m:t>
                          </m:r>
                        </m:num>
                        <m:den>
                          <m:r>
                            <a:rPr lang="it-IT" sz="1400" b="0" i="1">
                              <a:solidFill>
                                <a:srgbClr val="0070C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𝑒𝑤</m:t>
                          </m:r>
                        </m:den>
                      </m:f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Choice>
        <mc:Fallback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9584129" y="2525887"/>
                <a:ext cx="467720" cy="21129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400" b="0" i="0">
                    <a:solidFill>
                      <a:srgbClr val="0070C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𝐾⁄𝑒𝑤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Fallback>
      </mc:AlternateContent>
    </xdr:grpSp>
    <xdr:clientData/>
  </xdr:twoCellAnchor>
  <xdr:twoCellAnchor>
    <xdr:from>
      <xdr:col>23</xdr:col>
      <xdr:colOff>337458</xdr:colOff>
      <xdr:row>24</xdr:row>
      <xdr:rowOff>32657</xdr:rowOff>
    </xdr:from>
    <xdr:to>
      <xdr:col>26</xdr:col>
      <xdr:colOff>336551</xdr:colOff>
      <xdr:row>31</xdr:row>
      <xdr:rowOff>99648</xdr:rowOff>
    </xdr:to>
    <xdr:sp macro="" textlink="">
      <xdr:nvSpPr>
        <xdr:cNvPr id="13" name="CasellaDiTesto 4">
          <a:extLst>
            <a:ext uri="{FF2B5EF4-FFF2-40B4-BE49-F238E27FC236}">
              <a16:creationId xmlns:a16="http://schemas.microsoft.com/office/drawing/2014/main" id="{64E97727-E9BD-4F4B-B9DF-5C95FB8B23DA}"/>
            </a:ext>
          </a:extLst>
        </xdr:cNvPr>
        <xdr:cNvSpPr txBox="1"/>
      </xdr:nvSpPr>
      <xdr:spPr>
        <a:xfrm>
          <a:off x="14390915" y="4898571"/>
          <a:ext cx="1827893" cy="1362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Daily new deaths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K/ew=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908</a:t>
          </a:r>
          <a:endParaRPr lang="it-IT" b="1">
            <a:solidFill>
              <a:srgbClr val="FF0000"/>
            </a:solidFill>
          </a:endParaRP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44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17.354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b="1" i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0.9600</a:t>
          </a:r>
        </a:p>
        <a:p>
          <a:r>
            <a:rPr lang="it-IT" sz="1100" b="1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135</a:t>
          </a:r>
          <a:endParaRPr lang="it-IT" b="1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0.50466</cdr:x>
      <cdr:y>0.28167</cdr:y>
    </cdr:from>
    <cdr:to>
      <cdr:x>0.7681</cdr:x>
      <cdr:y>0.50385</cdr:y>
    </cdr:to>
    <cdr:sp macro="" textlink="">
      <cdr:nvSpPr>
        <cdr:cNvPr id="2" name="CasellaDiTesto 4">
          <a:extLst xmlns:a="http://schemas.openxmlformats.org/drawingml/2006/main">
            <a:ext uri="{FF2B5EF4-FFF2-40B4-BE49-F238E27FC236}">
              <a16:creationId xmlns:a16="http://schemas.microsoft.com/office/drawing/2014/main" id="{2366D626-FC51-41E1-8627-7475466C9F30}"/>
            </a:ext>
          </a:extLst>
        </cdr:cNvPr>
        <cdr:cNvSpPr txBox="1"/>
      </cdr:nvSpPr>
      <cdr:spPr>
        <a:xfrm xmlns:a="http://schemas.openxmlformats.org/drawingml/2006/main">
          <a:off x="3501593" y="1727186"/>
          <a:ext cx="1827893" cy="136239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New cases detected</a:t>
          </a:r>
        </a:p>
        <a:p xmlns:a="http://schemas.openxmlformats.org/drawingml/2006/main"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K/ew=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6031</a:t>
          </a:r>
          <a:r>
            <a:rPr lang="it-IT" b="1">
              <a:solidFill>
                <a:srgbClr val="0070C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45</a:t>
          </a:r>
          <a:r>
            <a:rPr lang="it-IT" b="1">
              <a:solidFill>
                <a:srgbClr val="0070C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21.770</a:t>
          </a:r>
          <a:r>
            <a:rPr lang="it-IT" b="1">
              <a:solidFill>
                <a:srgbClr val="0070C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b="1" i="1" baseline="30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 0.9014</a:t>
          </a:r>
        </a:p>
        <a:p xmlns:a="http://schemas.openxmlformats.org/drawingml/2006/main">
          <a:r>
            <a:rPr lang="it-IT" sz="1100" b="1" i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 1479</a:t>
          </a:r>
          <a:endParaRPr lang="it-IT" b="1">
            <a:solidFill>
              <a:srgbClr val="0070C0"/>
            </a:solidFill>
            <a:effectLst/>
          </a:endParaRPr>
        </a:p>
        <a:p xmlns:a="http://schemas.openxmlformats.org/drawingml/2006/main">
          <a:pPr eaLnBrk="1" fontAlgn="auto" latinLnBrk="0" hangingPunct="1"/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0070C0"/>
            </a:solidFill>
            <a:effectLst/>
          </a:endParaRPr>
        </a:p>
      </cdr:txBody>
    </cdr:sp>
  </cdr:relSizeAnchor>
  <cdr:relSizeAnchor xmlns:cdr="http://schemas.openxmlformats.org/drawingml/2006/chartDrawing">
    <cdr:from>
      <cdr:x>0.06449</cdr:x>
      <cdr:y>0.73031</cdr:y>
    </cdr:from>
    <cdr:to>
      <cdr:x>0.40697</cdr:x>
      <cdr:y>0.73031</cdr:y>
    </cdr:to>
    <cdr:cxnSp macro="">
      <cdr:nvCxnSpPr>
        <cdr:cNvPr id="3" name="Connettore diritto 2">
          <a:extLst xmlns:a="http://schemas.openxmlformats.org/drawingml/2006/main">
            <a:ext uri="{FF2B5EF4-FFF2-40B4-BE49-F238E27FC236}">
              <a16:creationId xmlns:a16="http://schemas.microsoft.com/office/drawing/2014/main" id="{1173D55D-DEC2-4B98-9577-8873827CA26A}"/>
            </a:ext>
          </a:extLst>
        </cdr:cNvPr>
        <cdr:cNvCxnSpPr/>
      </cdr:nvCxnSpPr>
      <cdr:spPr>
        <a:xfrm xmlns:a="http://schemas.openxmlformats.org/drawingml/2006/main">
          <a:off x="447467" y="4478176"/>
          <a:ext cx="2376316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5752BB5A-86CD-499A-9399-71093D9E2521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1C0BD-0543-4FCB-89C9-A3035C211C82}" name="dpc_covid19_ita_andamento_nazionale__9" displayName="dpc_covid19_ita_andamento_nazionale__9" ref="A1:O39" tableType="queryTable" totalsRowShown="0">
  <autoFilter ref="A1:O39" xr:uid="{9EB70A45-6BB7-4493-BE34-D2E588E230B9}"/>
  <tableColumns count="15">
    <tableColumn id="1" xr3:uid="{149115E2-B5B2-4730-A035-390C865B2CC4}" uniqueName="1" name="data" queryTableFieldId="1" dataDxfId="3"/>
    <tableColumn id="2" xr3:uid="{FECF19DC-43A3-46C3-B8D7-3DC923310E79}" uniqueName="2" name="stato" queryTableFieldId="2" dataDxfId="2"/>
    <tableColumn id="3" xr3:uid="{85F31668-9CF9-4621-A714-B3AFA333CBD0}" uniqueName="3" name="ricoverati_con_sintomi" queryTableFieldId="3"/>
    <tableColumn id="4" xr3:uid="{2108A999-7F81-4E66-8AF2-E9043871EDAE}" uniqueName="4" name="terapia_intensiva" queryTableFieldId="4"/>
    <tableColumn id="5" xr3:uid="{19B92816-677B-459F-8345-515819513CA3}" uniqueName="5" name="totale_ospedalizzati" queryTableFieldId="5"/>
    <tableColumn id="6" xr3:uid="{160A0F0E-B84B-47DA-BE3A-8A8347AACFC5}" uniqueName="6" name="isolamento_domiciliare" queryTableFieldId="6"/>
    <tableColumn id="7" xr3:uid="{8420EF34-31BE-44FA-8553-689EC4E54567}" uniqueName="7" name="totale_positivi" queryTableFieldId="7"/>
    <tableColumn id="8" xr3:uid="{59FA9595-F4FB-489E-87C0-18EB91DC4037}" uniqueName="8" name="variazione_totale_positivi" queryTableFieldId="8"/>
    <tableColumn id="9" xr3:uid="{AA11A0B8-0A56-4965-A591-4FC3E82A703C}" uniqueName="9" name="nuovi_positivi" queryTableFieldId="9"/>
    <tableColumn id="10" xr3:uid="{73A84D9F-6C19-4967-BB9C-85237EFC834F}" uniqueName="10" name="dimessi_guariti" queryTableFieldId="10"/>
    <tableColumn id="11" xr3:uid="{FDEDEE72-5362-406D-86A9-7AC9C6562F43}" uniqueName="11" name="deceduti" queryTableFieldId="11"/>
    <tableColumn id="12" xr3:uid="{1D16D4E7-C761-4B7B-9493-5790840FEE47}" uniqueName="12" name="totale_casi" queryTableFieldId="12"/>
    <tableColumn id="13" xr3:uid="{6F5814D7-CB1E-468F-AF5D-6602D625C6DA}" uniqueName="13" name="tamponi" queryTableFieldId="13"/>
    <tableColumn id="14" xr3:uid="{634FAC36-D32F-4654-9F48-877572B01CE3}" uniqueName="14" name="note_it" queryTableFieldId="14" dataDxfId="1"/>
    <tableColumn id="15" xr3:uid="{361F9462-91CE-43A3-B879-6AA5D54F6002}" uniqueName="15" name="note_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30T22:47:17.14" personId="{6B746D70-F039-4BD3-A8E2-CFBE3CA77AEB}" id="{64E3EB96-87C7-4B9C-BD54-C3277E98F305}">
    <text>Worldometer data</text>
  </threadedComment>
  <threadedComment ref="B11" dT="2020-03-21T22:11:56.31" personId="{6B746D70-F039-4BD3-A8E2-CFBE3CA77AEB}" id="{A8254C99-F8D0-4594-8DF9-BAFD3FB1F24C}">
    <text>red zone</text>
  </threadedComment>
  <threadedComment ref="B17" dT="2020-03-21T22:12:51.46" personId="{6B746D70-F039-4BD3-A8E2-CFBE3CA77AEB}" id="{68C9FCAD-9B4E-4A36-9FFD-6E42EF7BAB2E}">
    <text>partial lockdown (north)</text>
  </threadedComment>
  <threadedComment ref="B21" dT="2020-03-21T22:13:52.19" personId="{6B746D70-F039-4BD3-A8E2-CFBE3CA77AEB}" id="{2996D8DF-A90C-4837-A522-D1B05D838A82}">
    <text>school closure (Italy)</text>
  </threadedComment>
  <threadedComment ref="B24" dT="2020-03-21T22:14:24.84" personId="{6B746D70-F039-4BD3-A8E2-CFBE3CA77AEB}" id="{882C4A53-2ECA-4C73-9AA1-B5A8E73D3E81}">
    <text>lockdown (north)</text>
  </threadedComment>
  <threadedComment ref="B26" dT="2020-03-21T22:14:52.14" personId="{6B746D70-F039-4BD3-A8E2-CFBE3CA77AEB}" id="{6447A7C0-2273-4DFF-A091-BC96FA683C9A}">
    <text>partial lockdown (Italy)</text>
  </threadedComment>
  <threadedComment ref="B28" dT="2020-03-21T22:15:16.77" personId="{6B746D70-F039-4BD3-A8E2-CFBE3CA77AEB}" id="{15FBF8B4-9604-4298-88C0-A397053E9646}">
    <text>lockdown (Italy)</text>
  </threadedComment>
  <threadedComment ref="B39" dT="2020-03-23T22:01:18.08" personId="{6B746D70-F039-4BD3-A8E2-CFBE3CA77AEB}" id="{7D93C683-3CC9-4CA5-88A7-CE381226F7E8}">
    <text>reinforced lockdown (Itay)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30T22:47:17.14" personId="{6B746D70-F039-4BD3-A8E2-CFBE3CA77AEB}" id="{0526C815-FBB1-40DE-857A-780B07E348C3}">
    <text>Worldometer data</text>
  </threadedComment>
  <threadedComment ref="B11" dT="2020-03-21T22:11:56.31" personId="{6B746D70-F039-4BD3-A8E2-CFBE3CA77AEB}" id="{E55EDF91-B929-427F-974C-7C4BA6A2256F}">
    <text>red zone</text>
  </threadedComment>
  <threadedComment ref="B17" dT="2020-03-21T22:12:51.46" personId="{6B746D70-F039-4BD3-A8E2-CFBE3CA77AEB}" id="{E68D444F-F44E-4F7B-A08B-3E97C8F77EB8}">
    <text>partial lockdown (north)</text>
  </threadedComment>
  <threadedComment ref="B21" dT="2020-03-21T22:13:52.19" personId="{6B746D70-F039-4BD3-A8E2-CFBE3CA77AEB}" id="{5FA73663-8ACB-4C87-9ACE-833B3E2F4F52}">
    <text>school closure (Italy)</text>
  </threadedComment>
  <threadedComment ref="B24" dT="2020-03-21T22:14:24.84" personId="{6B746D70-F039-4BD3-A8E2-CFBE3CA77AEB}" id="{C84EE756-EBBF-4242-B72B-A7663F6ADECE}">
    <text>lockdown (north)</text>
  </threadedComment>
  <threadedComment ref="B26" dT="2020-03-21T22:14:52.14" personId="{6B746D70-F039-4BD3-A8E2-CFBE3CA77AEB}" id="{B367DBCB-7C6A-4BA4-9A30-B8A2E8E7290F}">
    <text>partial lockdown (Italy)</text>
  </threadedComment>
  <threadedComment ref="B28" dT="2020-03-21T22:15:16.77" personId="{6B746D70-F039-4BD3-A8E2-CFBE3CA77AEB}" id="{926C33C6-F39A-4524-91C9-0CF38C04972A}">
    <text>lockdown (Italy)</text>
  </threadedComment>
  <threadedComment ref="B39" dT="2020-03-23T22:01:18.08" personId="{6B746D70-F039-4BD3-A8E2-CFBE3CA77AEB}" id="{5CCFFE3B-C34B-4578-99E2-92A322494188}">
    <text>reinforced lockdown (Itay)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798-5C84-40AD-9A9A-8A8BDF7164C5}">
  <dimension ref="A1:O39"/>
  <sheetViews>
    <sheetView topLeftCell="A19" workbookViewId="0"/>
  </sheetViews>
  <sheetFormatPr defaultRowHeight="14.4" x14ac:dyDescent="0.3"/>
  <cols>
    <col min="1" max="1" width="15.6640625" style="2" bestFit="1" customWidth="1"/>
    <col min="2" max="2" width="7.44140625" style="2" bestFit="1" customWidth="1"/>
    <col min="3" max="3" width="22.6640625" style="2" bestFit="1" customWidth="1"/>
    <col min="4" max="4" width="17.77734375" style="2" bestFit="1" customWidth="1"/>
    <col min="5" max="5" width="20" style="2" bestFit="1" customWidth="1"/>
    <col min="6" max="6" width="23" style="2" bestFit="1" customWidth="1"/>
    <col min="7" max="7" width="15.109375" style="2" bestFit="1" customWidth="1"/>
    <col min="8" max="8" width="25" style="2" bestFit="1" customWidth="1"/>
    <col min="9" max="9" width="15" style="2" bestFit="1" customWidth="1"/>
    <col min="10" max="10" width="15.88671875" style="2" bestFit="1" customWidth="1"/>
    <col min="11" max="11" width="10.5546875" style="2" bestFit="1" customWidth="1"/>
    <col min="12" max="12" width="12.21875" style="2" bestFit="1" customWidth="1"/>
    <col min="13" max="13" width="10.33203125" style="2" bestFit="1" customWidth="1"/>
    <col min="14" max="14" width="19.5546875" style="2" bestFit="1" customWidth="1"/>
    <col min="15" max="15" width="21.109375" style="2" bestFit="1" customWidth="1"/>
    <col min="16" max="16384" width="8.88671875" style="2"/>
  </cols>
  <sheetData>
    <row r="1" spans="1:15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70</v>
      </c>
      <c r="H1" s="2" t="s">
        <v>71</v>
      </c>
      <c r="I1" s="2" t="s">
        <v>72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30</v>
      </c>
      <c r="O1" s="2" t="s">
        <v>31</v>
      </c>
    </row>
    <row r="2" spans="1:15" x14ac:dyDescent="0.3">
      <c r="A2" s="15">
        <v>43885.75</v>
      </c>
      <c r="B2" s="16" t="s">
        <v>25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6" t="s">
        <v>32</v>
      </c>
      <c r="O2" s="16" t="s">
        <v>32</v>
      </c>
    </row>
    <row r="3" spans="1:15" x14ac:dyDescent="0.3">
      <c r="A3" s="15">
        <v>43886.75</v>
      </c>
      <c r="B3" s="16" t="s">
        <v>25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6" t="s">
        <v>32</v>
      </c>
      <c r="O3" s="16" t="s">
        <v>32</v>
      </c>
    </row>
    <row r="4" spans="1:15" x14ac:dyDescent="0.3">
      <c r="A4" s="15">
        <v>43887.75</v>
      </c>
      <c r="B4" s="16" t="s">
        <v>25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6" t="s">
        <v>32</v>
      </c>
      <c r="O4" s="16" t="s">
        <v>32</v>
      </c>
    </row>
    <row r="5" spans="1:15" x14ac:dyDescent="0.3">
      <c r="A5" s="15">
        <v>43888.75</v>
      </c>
      <c r="B5" s="16" t="s">
        <v>25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6" t="s">
        <v>32</v>
      </c>
      <c r="O5" s="16" t="s">
        <v>32</v>
      </c>
    </row>
    <row r="6" spans="1:15" x14ac:dyDescent="0.3">
      <c r="A6" s="15">
        <v>43889.75</v>
      </c>
      <c r="B6" s="16" t="s">
        <v>25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6" t="s">
        <v>32</v>
      </c>
      <c r="O6" s="16" t="s">
        <v>32</v>
      </c>
    </row>
    <row r="7" spans="1:15" x14ac:dyDescent="0.3">
      <c r="A7" s="15">
        <v>43890.75</v>
      </c>
      <c r="B7" s="16" t="s">
        <v>25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6" t="s">
        <v>32</v>
      </c>
      <c r="O7" s="16" t="s">
        <v>32</v>
      </c>
    </row>
    <row r="8" spans="1:15" x14ac:dyDescent="0.3">
      <c r="A8" s="15">
        <v>43891.75</v>
      </c>
      <c r="B8" s="16" t="s">
        <v>25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6" t="s">
        <v>32</v>
      </c>
      <c r="O8" s="16" t="s">
        <v>32</v>
      </c>
    </row>
    <row r="9" spans="1:15" x14ac:dyDescent="0.3">
      <c r="A9" s="15">
        <v>43892.75</v>
      </c>
      <c r="B9" s="16" t="s">
        <v>25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6" t="s">
        <v>32</v>
      </c>
      <c r="O9" s="16" t="s">
        <v>32</v>
      </c>
    </row>
    <row r="10" spans="1:15" x14ac:dyDescent="0.3">
      <c r="A10" s="15">
        <v>43893.75</v>
      </c>
      <c r="B10" s="16" t="s">
        <v>25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6" t="s">
        <v>32</v>
      </c>
      <c r="O10" s="16" t="s">
        <v>32</v>
      </c>
    </row>
    <row r="11" spans="1:15" x14ac:dyDescent="0.3">
      <c r="A11" s="15">
        <v>43894.75</v>
      </c>
      <c r="B11" s="16" t="s">
        <v>25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6" t="s">
        <v>32</v>
      </c>
      <c r="O11" s="16" t="s">
        <v>32</v>
      </c>
    </row>
    <row r="12" spans="1:15" x14ac:dyDescent="0.3">
      <c r="A12" s="15">
        <v>43895.75</v>
      </c>
      <c r="B12" s="16" t="s">
        <v>25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6" t="s">
        <v>32</v>
      </c>
      <c r="O12" s="16" t="s">
        <v>32</v>
      </c>
    </row>
    <row r="13" spans="1:15" x14ac:dyDescent="0.3">
      <c r="A13" s="15">
        <v>43896.75</v>
      </c>
      <c r="B13" s="16" t="s">
        <v>25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6" t="s">
        <v>32</v>
      </c>
      <c r="O13" s="16" t="s">
        <v>32</v>
      </c>
    </row>
    <row r="14" spans="1:15" x14ac:dyDescent="0.3">
      <c r="A14" s="15">
        <v>43897.75</v>
      </c>
      <c r="B14" s="16" t="s">
        <v>25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6" t="s">
        <v>33</v>
      </c>
      <c r="O14" s="16" t="s">
        <v>34</v>
      </c>
    </row>
    <row r="15" spans="1:15" x14ac:dyDescent="0.3">
      <c r="A15" s="15">
        <v>43898.75</v>
      </c>
      <c r="B15" s="16" t="s">
        <v>25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6" t="s">
        <v>32</v>
      </c>
      <c r="O15" s="16" t="s">
        <v>32</v>
      </c>
    </row>
    <row r="16" spans="1:15" x14ac:dyDescent="0.3">
      <c r="A16" s="15">
        <v>43899.75</v>
      </c>
      <c r="B16" s="16" t="s">
        <v>25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6" t="s">
        <v>32</v>
      </c>
      <c r="O16" s="16" t="s">
        <v>32</v>
      </c>
    </row>
    <row r="17" spans="1:15" x14ac:dyDescent="0.3">
      <c r="A17" s="15">
        <v>43900.75</v>
      </c>
      <c r="B17" s="16" t="s">
        <v>25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6" t="s">
        <v>35</v>
      </c>
      <c r="O17" s="16" t="s">
        <v>36</v>
      </c>
    </row>
    <row r="18" spans="1:15" x14ac:dyDescent="0.3">
      <c r="A18" s="15">
        <v>43901.708333333336</v>
      </c>
      <c r="B18" s="16" t="s">
        <v>25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6" t="s">
        <v>37</v>
      </c>
      <c r="O18" s="16" t="s">
        <v>38</v>
      </c>
    </row>
    <row r="19" spans="1:15" x14ac:dyDescent="0.3">
      <c r="A19" s="15">
        <v>43902.708333333336</v>
      </c>
      <c r="B19" s="16" t="s">
        <v>25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6" t="s">
        <v>32</v>
      </c>
      <c r="O19" s="16" t="s">
        <v>32</v>
      </c>
    </row>
    <row r="20" spans="1:15" x14ac:dyDescent="0.3">
      <c r="A20" s="15">
        <v>43903.708333333336</v>
      </c>
      <c r="B20" s="16" t="s">
        <v>25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6" t="s">
        <v>32</v>
      </c>
      <c r="O20" s="16" t="s">
        <v>32</v>
      </c>
    </row>
    <row r="21" spans="1:15" x14ac:dyDescent="0.3">
      <c r="A21" s="15">
        <v>43904.708333333336</v>
      </c>
      <c r="B21" s="16" t="s">
        <v>25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6" t="s">
        <v>32</v>
      </c>
      <c r="O21" s="16" t="s">
        <v>32</v>
      </c>
    </row>
    <row r="22" spans="1:15" x14ac:dyDescent="0.3">
      <c r="A22" s="15">
        <v>43905.708333333336</v>
      </c>
      <c r="B22" s="16" t="s">
        <v>25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6" t="s">
        <v>32</v>
      </c>
      <c r="O22" s="16" t="s">
        <v>32</v>
      </c>
    </row>
    <row r="23" spans="1:15" x14ac:dyDescent="0.3">
      <c r="A23" s="15">
        <v>43906.708333333336</v>
      </c>
      <c r="B23" s="16" t="s">
        <v>25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6" t="s">
        <v>39</v>
      </c>
      <c r="O23" s="16" t="s">
        <v>40</v>
      </c>
    </row>
    <row r="24" spans="1:15" x14ac:dyDescent="0.3">
      <c r="A24" s="15">
        <v>43907.708333333336</v>
      </c>
      <c r="B24" s="16" t="s">
        <v>25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6" t="s">
        <v>41</v>
      </c>
      <c r="O24" s="16" t="s">
        <v>42</v>
      </c>
    </row>
    <row r="25" spans="1:15" x14ac:dyDescent="0.3">
      <c r="A25" s="15">
        <v>43908.708333333336</v>
      </c>
      <c r="B25" s="16" t="s">
        <v>25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6" t="s">
        <v>43</v>
      </c>
      <c r="O25" s="16" t="s">
        <v>44</v>
      </c>
    </row>
    <row r="26" spans="1:15" x14ac:dyDescent="0.3">
      <c r="A26" s="15">
        <v>43909.708333333336</v>
      </c>
      <c r="B26" s="16" t="s">
        <v>25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6" t="s">
        <v>32</v>
      </c>
      <c r="O26" s="16" t="s">
        <v>32</v>
      </c>
    </row>
    <row r="27" spans="1:15" x14ac:dyDescent="0.3">
      <c r="A27" s="15">
        <v>43910.708333333336</v>
      </c>
      <c r="B27" s="16" t="s">
        <v>25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6" t="s">
        <v>32</v>
      </c>
      <c r="O27" s="16" t="s">
        <v>32</v>
      </c>
    </row>
    <row r="28" spans="1:15" x14ac:dyDescent="0.3">
      <c r="A28" s="15">
        <v>43911.708333333336</v>
      </c>
      <c r="B28" s="16" t="s">
        <v>25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6" t="s">
        <v>32</v>
      </c>
      <c r="O28" s="16" t="s">
        <v>32</v>
      </c>
    </row>
    <row r="29" spans="1:15" x14ac:dyDescent="0.3">
      <c r="A29" s="15">
        <v>43912.708333333336</v>
      </c>
      <c r="B29" s="16" t="s">
        <v>25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6" t="s">
        <v>32</v>
      </c>
      <c r="O29" s="16" t="s">
        <v>32</v>
      </c>
    </row>
    <row r="30" spans="1:15" x14ac:dyDescent="0.3">
      <c r="A30" s="15">
        <v>43913.708333333336</v>
      </c>
      <c r="B30" s="16" t="s">
        <v>25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6" t="s">
        <v>32</v>
      </c>
      <c r="O30" s="16" t="s">
        <v>32</v>
      </c>
    </row>
    <row r="31" spans="1:15" x14ac:dyDescent="0.3">
      <c r="A31" s="15">
        <v>43914.708333333336</v>
      </c>
      <c r="B31" s="16" t="s">
        <v>25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6" t="s">
        <v>32</v>
      </c>
      <c r="O31" s="16" t="s">
        <v>32</v>
      </c>
    </row>
    <row r="32" spans="1:15" x14ac:dyDescent="0.3">
      <c r="A32" s="15">
        <v>43915.708333333336</v>
      </c>
      <c r="B32" s="16" t="s">
        <v>25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6" t="s">
        <v>32</v>
      </c>
      <c r="O32" s="16" t="s">
        <v>32</v>
      </c>
    </row>
    <row r="33" spans="1:15" x14ac:dyDescent="0.3">
      <c r="A33" s="15">
        <v>43916.708333333336</v>
      </c>
      <c r="B33" s="16" t="s">
        <v>25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6" t="s">
        <v>45</v>
      </c>
      <c r="O33" s="16" t="s">
        <v>46</v>
      </c>
    </row>
    <row r="34" spans="1:15" x14ac:dyDescent="0.3">
      <c r="A34" s="15">
        <v>43917.708333333336</v>
      </c>
      <c r="B34" s="16" t="s">
        <v>25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6" t="s">
        <v>32</v>
      </c>
      <c r="O34" s="16" t="s">
        <v>32</v>
      </c>
    </row>
    <row r="35" spans="1:15" x14ac:dyDescent="0.3">
      <c r="A35" s="15">
        <v>43918.708333333336</v>
      </c>
      <c r="B35" s="16" t="s">
        <v>25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6" t="s">
        <v>32</v>
      </c>
      <c r="O35" s="16" t="s">
        <v>32</v>
      </c>
    </row>
    <row r="36" spans="1:15" x14ac:dyDescent="0.3">
      <c r="A36" s="15">
        <v>43919.708333333336</v>
      </c>
      <c r="B36" s="16" t="s">
        <v>25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6" t="s">
        <v>51</v>
      </c>
      <c r="O36" s="16" t="s">
        <v>52</v>
      </c>
    </row>
    <row r="37" spans="1:15" x14ac:dyDescent="0.3">
      <c r="A37" s="15">
        <v>43920.708333333336</v>
      </c>
      <c r="B37" s="16" t="s">
        <v>25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6" t="s">
        <v>32</v>
      </c>
      <c r="O37" s="16" t="s">
        <v>32</v>
      </c>
    </row>
    <row r="38" spans="1:15" x14ac:dyDescent="0.3">
      <c r="A38" s="15">
        <v>43921.708333333336</v>
      </c>
      <c r="B38" s="16" t="s">
        <v>25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6" t="s">
        <v>32</v>
      </c>
      <c r="O38" s="16" t="s">
        <v>32</v>
      </c>
    </row>
    <row r="39" spans="1:15" x14ac:dyDescent="0.3">
      <c r="A39" s="15">
        <v>43922.708333333336</v>
      </c>
      <c r="B39" s="16" t="s">
        <v>25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6" t="s">
        <v>32</v>
      </c>
      <c r="O39" s="16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R70"/>
  <sheetViews>
    <sheetView topLeftCell="A3" zoomScale="70" zoomScaleNormal="70" workbookViewId="0">
      <selection activeCell="N24" sqref="N24"/>
    </sheetView>
  </sheetViews>
  <sheetFormatPr defaultRowHeight="14.4" x14ac:dyDescent="0.3"/>
  <cols>
    <col min="1" max="1" width="2.77734375" style="2" customWidth="1"/>
    <col min="2" max="2" width="8.88671875" style="2"/>
    <col min="3" max="3" width="4.109375" style="2" bestFit="1" customWidth="1"/>
    <col min="4" max="4" width="14.5546875" style="2" bestFit="1" customWidth="1"/>
    <col min="5" max="5" width="11.77734375" style="2" bestFit="1" customWidth="1"/>
    <col min="6" max="6" width="10.21875" style="2" bestFit="1" customWidth="1"/>
    <col min="7" max="7" width="10.33203125" style="2" bestFit="1" customWidth="1"/>
    <col min="8" max="8" width="6.6640625" style="2" bestFit="1" customWidth="1"/>
    <col min="9" max="9" width="8.88671875" style="2" bestFit="1" customWidth="1"/>
    <col min="10" max="10" width="10.33203125" style="2" bestFit="1" customWidth="1"/>
    <col min="11" max="11" width="10.44140625" style="2" bestFit="1" customWidth="1"/>
    <col min="12" max="12" width="1.77734375" style="2" customWidth="1"/>
    <col min="13" max="13" width="11.777343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18" ht="31.2" x14ac:dyDescent="0.6">
      <c r="B2" s="12" t="s">
        <v>13</v>
      </c>
    </row>
    <row r="3" spans="2:18" ht="17.399999999999999" customHeight="1" x14ac:dyDescent="0.6">
      <c r="B3" s="12"/>
      <c r="O3" s="18" t="s">
        <v>0</v>
      </c>
      <c r="P3" s="17" t="s">
        <v>54</v>
      </c>
      <c r="Q3" s="23"/>
      <c r="R3" s="23"/>
    </row>
    <row r="4" spans="2:18" ht="20.399999999999999" x14ac:dyDescent="0.35">
      <c r="B4" s="13" t="s">
        <v>14</v>
      </c>
      <c r="C4" s="14"/>
      <c r="O4" s="18" t="s">
        <v>26</v>
      </c>
      <c r="P4" s="17" t="s">
        <v>55</v>
      </c>
      <c r="Q4" s="23"/>
      <c r="R4" s="23"/>
    </row>
    <row r="5" spans="2:18" ht="18" x14ac:dyDescent="0.35">
      <c r="B5" s="13" t="s">
        <v>53</v>
      </c>
      <c r="O5" s="18" t="s">
        <v>1</v>
      </c>
      <c r="P5" s="17" t="s">
        <v>56</v>
      </c>
      <c r="Q5" s="23"/>
      <c r="R5" s="23"/>
    </row>
    <row r="6" spans="2:18" x14ac:dyDescent="0.3">
      <c r="B6" s="4" t="s">
        <v>10</v>
      </c>
      <c r="C6" s="4" t="s">
        <v>11</v>
      </c>
      <c r="D6" s="4" t="s">
        <v>12</v>
      </c>
      <c r="E6" s="9" t="s">
        <v>47</v>
      </c>
      <c r="F6" s="9" t="s">
        <v>48</v>
      </c>
      <c r="G6" s="9" t="s">
        <v>49</v>
      </c>
      <c r="H6" s="4" t="s">
        <v>57</v>
      </c>
      <c r="I6" s="9" t="s">
        <v>58</v>
      </c>
      <c r="J6" s="9" t="s">
        <v>59</v>
      </c>
      <c r="K6" s="9" t="s">
        <v>60</v>
      </c>
      <c r="L6" s="9"/>
      <c r="M6" s="31" t="s">
        <v>50</v>
      </c>
      <c r="N6" s="3"/>
      <c r="O6" s="3"/>
    </row>
    <row r="7" spans="2:18" x14ac:dyDescent="0.3">
      <c r="B7" s="24">
        <v>43881</v>
      </c>
      <c r="C7" s="25">
        <v>1</v>
      </c>
      <c r="D7" s="26">
        <v>3</v>
      </c>
      <c r="E7" s="11">
        <f>K*EXP(-EXP(-($C7-t0)/w))</f>
        <v>35.709495473972233</v>
      </c>
      <c r="F7" s="11">
        <f>E7+CI</f>
        <v>4094.1903146193513</v>
      </c>
      <c r="G7" s="11">
        <f>MAX(E7-CI,0)</f>
        <v>0</v>
      </c>
      <c r="H7" s="25">
        <v>0</v>
      </c>
      <c r="I7" s="11">
        <f>Kh*EXP(-EXP(-($C7-t0h)/wh))</f>
        <v>0.11939461860631181</v>
      </c>
      <c r="J7" s="11">
        <f>I7+CIh</f>
        <v>296.21810372873114</v>
      </c>
      <c r="K7" s="11">
        <f>MAX(I7-CIh,0)</f>
        <v>0</v>
      </c>
      <c r="L7" s="9"/>
      <c r="M7" s="19" t="s">
        <v>0</v>
      </c>
      <c r="N7" s="5">
        <v>359999</v>
      </c>
      <c r="O7" s="3"/>
    </row>
    <row r="8" spans="2:18" ht="15.6" x14ac:dyDescent="0.35">
      <c r="B8" s="24">
        <v>43882</v>
      </c>
      <c r="C8" s="25">
        <v>2</v>
      </c>
      <c r="D8" s="26">
        <v>20</v>
      </c>
      <c r="E8" s="11">
        <f>K*EXP(-EXP(-($C8-t0)/w))</f>
        <v>56.79873237438634</v>
      </c>
      <c r="F8" s="11">
        <f>E8+CI</f>
        <v>4115.2795515197649</v>
      </c>
      <c r="G8" s="11">
        <f>MAX(E8-CI,0)</f>
        <v>0</v>
      </c>
      <c r="H8" s="25">
        <v>1</v>
      </c>
      <c r="I8" s="11">
        <f>Kh*EXP(-EXP(-($C8-t0h)/wh))</f>
        <v>0.2507518409088515</v>
      </c>
      <c r="J8" s="11">
        <f>I8+CIh</f>
        <v>296.34946095103368</v>
      </c>
      <c r="K8" s="11">
        <f>MAX(I8-CIh,0)</f>
        <v>0</v>
      </c>
      <c r="L8" s="9"/>
      <c r="M8" s="19" t="s">
        <v>27</v>
      </c>
      <c r="N8" s="5">
        <v>44</v>
      </c>
      <c r="O8" s="3"/>
    </row>
    <row r="9" spans="2:18" x14ac:dyDescent="0.3">
      <c r="B9" s="24">
        <v>43883</v>
      </c>
      <c r="C9" s="25">
        <v>3</v>
      </c>
      <c r="D9" s="26">
        <v>62</v>
      </c>
      <c r="E9" s="11">
        <f>K*EXP(-EXP(-($C9-t0)/w))</f>
        <v>88.256438585106864</v>
      </c>
      <c r="F9" s="11">
        <f>E9+CI</f>
        <v>4146.7372577304859</v>
      </c>
      <c r="G9" s="11">
        <f>MAX(E9-CI,0)</f>
        <v>0</v>
      </c>
      <c r="H9" s="25">
        <v>2</v>
      </c>
      <c r="I9" s="11">
        <f>Kh*EXP(-EXP(-($C9-t0h)/wh))</f>
        <v>0.50420436145692549</v>
      </c>
      <c r="J9" s="11">
        <f>I9+CIh</f>
        <v>296.60291347158176</v>
      </c>
      <c r="K9" s="11">
        <f>MAX(I9-CIh,0)</f>
        <v>0</v>
      </c>
      <c r="L9" s="9"/>
      <c r="M9" s="19" t="s">
        <v>1</v>
      </c>
      <c r="N9" s="22">
        <v>19.358854416085439</v>
      </c>
      <c r="O9" s="3"/>
    </row>
    <row r="10" spans="2:18" x14ac:dyDescent="0.3">
      <c r="B10" s="24">
        <v>43884</v>
      </c>
      <c r="C10" s="25">
        <v>4</v>
      </c>
      <c r="D10" s="26">
        <v>155</v>
      </c>
      <c r="E10" s="11">
        <f>K*EXP(-EXP(-($C10-t0)/w))</f>
        <v>134.12750110693869</v>
      </c>
      <c r="F10" s="11">
        <f>E10+CI</f>
        <v>4192.6083202523178</v>
      </c>
      <c r="G10" s="11">
        <f>MAX(E10-CI,0)</f>
        <v>0</v>
      </c>
      <c r="H10" s="25">
        <v>3</v>
      </c>
      <c r="I10" s="11">
        <f>Kh*EXP(-EXP(-($C10-t0h)/wh))</f>
        <v>0.97315103523072566</v>
      </c>
      <c r="J10" s="11">
        <f>I10+CIh</f>
        <v>297.07186014535557</v>
      </c>
      <c r="K10" s="11">
        <f>MAX(I10-CIh,0)</f>
        <v>0</v>
      </c>
      <c r="L10" s="9"/>
      <c r="M10" s="6" t="s">
        <v>2</v>
      </c>
      <c r="N10" s="1">
        <f>AVERAGE(D7:D48)</f>
        <v>31527.452380952382</v>
      </c>
      <c r="O10" s="3"/>
    </row>
    <row r="11" spans="2:18" x14ac:dyDescent="0.3">
      <c r="B11" s="20">
        <v>43885</v>
      </c>
      <c r="C11" s="4">
        <v>5</v>
      </c>
      <c r="D11" s="4">
        <f>'dpc-covid-19-ita-andamento-naz'!L2</f>
        <v>229</v>
      </c>
      <c r="E11" s="11">
        <f t="shared" ref="E11:E42" si="0">K*EXP(-EXP(-($C11-t0)/w))</f>
        <v>199.58968091008606</v>
      </c>
      <c r="F11" s="11">
        <f t="shared" ref="F11:F33" si="1">E11+CI</f>
        <v>4258.0705000554653</v>
      </c>
      <c r="G11" s="11">
        <f t="shared" ref="G11:G37" si="2">MAX(E11-CI,0)</f>
        <v>0</v>
      </c>
      <c r="H11" s="4">
        <f>'dpc-covid-19-ita-andamento-naz'!K2</f>
        <v>7</v>
      </c>
      <c r="I11" s="11">
        <f t="shared" ref="I11:I42" si="3">Kh*EXP(-EXP(-($C11-t0h)/wh))</f>
        <v>1.8072082397850628</v>
      </c>
      <c r="J11" s="11">
        <f t="shared" ref="J11:J44" si="4">I11+CIh</f>
        <v>297.90591734990988</v>
      </c>
      <c r="K11" s="11">
        <f t="shared" ref="K11:K44" si="5">MAX(I11-CIh,0)</f>
        <v>0</v>
      </c>
      <c r="L11" s="1"/>
      <c r="M11" s="6" t="s">
        <v>3</v>
      </c>
      <c r="N11" s="1">
        <f>COUNT(D7:D48)-COUNT(N7:N9)</f>
        <v>39</v>
      </c>
    </row>
    <row r="12" spans="2:18" x14ac:dyDescent="0.3">
      <c r="B12" s="10">
        <v>43886</v>
      </c>
      <c r="C12" s="4">
        <v>6</v>
      </c>
      <c r="D12" s="4">
        <f>'dpc-covid-19-ita-andamento-naz'!L3</f>
        <v>322</v>
      </c>
      <c r="E12" s="11">
        <f t="shared" si="0"/>
        <v>291.11719700331815</v>
      </c>
      <c r="F12" s="11">
        <f t="shared" si="1"/>
        <v>4349.5980161486968</v>
      </c>
      <c r="G12" s="11">
        <f t="shared" si="2"/>
        <v>0</v>
      </c>
      <c r="H12" s="4">
        <f>'dpc-covid-19-ita-andamento-naz'!K3</f>
        <v>10</v>
      </c>
      <c r="I12" s="11">
        <f t="shared" si="3"/>
        <v>3.2364760192380411</v>
      </c>
      <c r="J12" s="11">
        <f t="shared" si="4"/>
        <v>299.33518512936291</v>
      </c>
      <c r="K12" s="11">
        <f t="shared" si="5"/>
        <v>0</v>
      </c>
      <c r="L12" s="1"/>
      <c r="M12" s="6" t="s">
        <v>4</v>
      </c>
      <c r="N12" s="7" cm="1">
        <f t="array" ref="N12">SQRT(SUM((D7:D48-E7:E48)^2)/df)</f>
        <v>2006.4760161535812</v>
      </c>
    </row>
    <row r="13" spans="2:18" ht="16.2" x14ac:dyDescent="0.3">
      <c r="B13" s="10">
        <v>43887</v>
      </c>
      <c r="C13" s="4">
        <v>7</v>
      </c>
      <c r="D13" s="4">
        <f>'dpc-covid-19-ita-andamento-naz'!L4</f>
        <v>400</v>
      </c>
      <c r="E13" s="11">
        <f t="shared" si="0"/>
        <v>416.62438172603964</v>
      </c>
      <c r="F13" s="11">
        <f t="shared" si="1"/>
        <v>4475.1052008714187</v>
      </c>
      <c r="G13" s="11">
        <f t="shared" si="2"/>
        <v>0</v>
      </c>
      <c r="H13" s="4">
        <f>'dpc-covid-19-ita-andamento-naz'!K4</f>
        <v>12</v>
      </c>
      <c r="I13" s="11">
        <f t="shared" si="3"/>
        <v>5.6014079457663017</v>
      </c>
      <c r="J13" s="11">
        <f t="shared" si="4"/>
        <v>301.70011705589116</v>
      </c>
      <c r="K13" s="11">
        <f t="shared" si="5"/>
        <v>0</v>
      </c>
      <c r="L13" s="1"/>
      <c r="M13" s="6" t="s">
        <v>5</v>
      </c>
      <c r="N13" s="8" cm="1">
        <f t="array" ref="N13">1-SUM((D7:D48-E7:E48)^2)/SUM((D7:D48-Mean_of_y)^2)</f>
        <v>0.99708684559448801</v>
      </c>
    </row>
    <row r="14" spans="2:18" x14ac:dyDescent="0.3">
      <c r="B14" s="10">
        <v>43888</v>
      </c>
      <c r="C14" s="4">
        <v>8</v>
      </c>
      <c r="D14" s="4">
        <f>'dpc-covid-19-ita-andamento-naz'!L5</f>
        <v>650</v>
      </c>
      <c r="E14" s="11">
        <f t="shared" si="0"/>
        <v>585.57703707611915</v>
      </c>
      <c r="F14" s="11">
        <f t="shared" si="1"/>
        <v>4644.0578562214978</v>
      </c>
      <c r="G14" s="11">
        <f t="shared" si="2"/>
        <v>0</v>
      </c>
      <c r="H14" s="4">
        <f>'dpc-covid-19-ita-andamento-naz'!K5</f>
        <v>17</v>
      </c>
      <c r="I14" s="11">
        <f t="shared" si="3"/>
        <v>9.3875614120407196</v>
      </c>
      <c r="J14" s="11">
        <f t="shared" si="4"/>
        <v>305.48627052216557</v>
      </c>
      <c r="K14" s="11">
        <f t="shared" si="5"/>
        <v>0</v>
      </c>
      <c r="L14" s="1"/>
      <c r="M14" s="6" t="s">
        <v>6</v>
      </c>
      <c r="N14" s="8">
        <f>TINV(0.05,df)</f>
        <v>2.0226909200367595</v>
      </c>
    </row>
    <row r="15" spans="2:18" x14ac:dyDescent="0.3">
      <c r="B15" s="10">
        <v>43889</v>
      </c>
      <c r="C15" s="4">
        <v>9</v>
      </c>
      <c r="D15" s="4">
        <f>'dpc-covid-19-ita-andamento-naz'!L6</f>
        <v>888</v>
      </c>
      <c r="E15" s="11">
        <f t="shared" si="0"/>
        <v>809.05957334575589</v>
      </c>
      <c r="F15" s="11">
        <f t="shared" si="1"/>
        <v>4867.5403924911352</v>
      </c>
      <c r="G15" s="11">
        <f t="shared" si="2"/>
        <v>0</v>
      </c>
      <c r="H15" s="4">
        <f>'dpc-covid-19-ita-andamento-naz'!K6</f>
        <v>21</v>
      </c>
      <c r="I15" s="11">
        <f t="shared" si="3"/>
        <v>15.263646384544341</v>
      </c>
      <c r="J15" s="11">
        <f t="shared" si="4"/>
        <v>311.3623554946692</v>
      </c>
      <c r="K15" s="11">
        <f t="shared" si="5"/>
        <v>0</v>
      </c>
      <c r="L15" s="1"/>
      <c r="M15" s="6" t="s">
        <v>7</v>
      </c>
      <c r="N15" s="1">
        <f>Critical_t*SE_of_y</f>
        <v>4058.480819145379</v>
      </c>
    </row>
    <row r="16" spans="2:18" x14ac:dyDescent="0.3">
      <c r="B16" s="10">
        <v>43890</v>
      </c>
      <c r="C16" s="4">
        <v>10</v>
      </c>
      <c r="D16" s="4">
        <f>'dpc-covid-19-ita-andamento-naz'!L7</f>
        <v>1128</v>
      </c>
      <c r="E16" s="11">
        <f t="shared" si="0"/>
        <v>1099.7875026189945</v>
      </c>
      <c r="F16" s="11">
        <f t="shared" si="1"/>
        <v>5158.2683217643735</v>
      </c>
      <c r="G16" s="11">
        <f t="shared" si="2"/>
        <v>0</v>
      </c>
      <c r="H16" s="4">
        <f>'dpc-covid-19-ita-andamento-naz'!K7</f>
        <v>29</v>
      </c>
      <c r="I16" s="11">
        <f t="shared" si="3"/>
        <v>24.120417650417565</v>
      </c>
      <c r="J16" s="11">
        <f t="shared" si="4"/>
        <v>320.21912676054239</v>
      </c>
      <c r="K16" s="11">
        <f t="shared" si="5"/>
        <v>0</v>
      </c>
      <c r="L16" s="1"/>
      <c r="M16" s="6"/>
    </row>
    <row r="17" spans="2:14" x14ac:dyDescent="0.3">
      <c r="B17" s="20">
        <v>43891</v>
      </c>
      <c r="C17" s="4">
        <v>11</v>
      </c>
      <c r="D17" s="4">
        <f>'dpc-covid-19-ita-andamento-naz'!L8</f>
        <v>1694</v>
      </c>
      <c r="E17" s="11">
        <f t="shared" si="0"/>
        <v>1472.0573135653322</v>
      </c>
      <c r="F17" s="11">
        <f t="shared" si="1"/>
        <v>5530.5381327107116</v>
      </c>
      <c r="G17" s="11">
        <f t="shared" si="2"/>
        <v>0</v>
      </c>
      <c r="H17" s="4">
        <f>'dpc-covid-19-ita-andamento-naz'!K8</f>
        <v>34</v>
      </c>
      <c r="I17" s="11">
        <f t="shared" si="3"/>
        <v>37.10720655818583</v>
      </c>
      <c r="J17" s="11">
        <f t="shared" si="4"/>
        <v>333.20591566831069</v>
      </c>
      <c r="K17" s="11">
        <f t="shared" si="5"/>
        <v>0</v>
      </c>
      <c r="L17" s="1"/>
      <c r="M17" s="21" t="s">
        <v>57</v>
      </c>
      <c r="N17" s="3"/>
    </row>
    <row r="18" spans="2:14" x14ac:dyDescent="0.3">
      <c r="B18" s="10">
        <v>43892</v>
      </c>
      <c r="C18" s="4">
        <v>12</v>
      </c>
      <c r="D18" s="4">
        <f>'dpc-covid-19-ita-andamento-naz'!L9</f>
        <v>2036</v>
      </c>
      <c r="E18" s="11">
        <f t="shared" si="0"/>
        <v>1941.6289880139632</v>
      </c>
      <c r="F18" s="11">
        <f t="shared" si="1"/>
        <v>6000.1098071593424</v>
      </c>
      <c r="G18" s="11">
        <f t="shared" si="2"/>
        <v>0</v>
      </c>
      <c r="H18" s="4">
        <f>'dpc-covid-19-ita-andamento-naz'!K9</f>
        <v>52</v>
      </c>
      <c r="I18" s="11">
        <f t="shared" si="3"/>
        <v>55.66240083785835</v>
      </c>
      <c r="J18" s="11">
        <f t="shared" si="4"/>
        <v>351.76110994798319</v>
      </c>
      <c r="K18" s="11">
        <f t="shared" si="5"/>
        <v>0</v>
      </c>
      <c r="L18" s="1"/>
      <c r="M18" s="19" t="s">
        <v>0</v>
      </c>
      <c r="N18" s="5">
        <v>37381</v>
      </c>
    </row>
    <row r="19" spans="2:14" ht="15.6" x14ac:dyDescent="0.35">
      <c r="B19" s="10">
        <v>43893</v>
      </c>
      <c r="C19" s="4">
        <v>13</v>
      </c>
      <c r="D19" s="4">
        <f>'dpc-covid-19-ita-andamento-naz'!L10</f>
        <v>2502</v>
      </c>
      <c r="E19" s="11">
        <f t="shared" si="0"/>
        <v>2525.5401695988207</v>
      </c>
      <c r="F19" s="11">
        <f t="shared" si="1"/>
        <v>6584.0209887441997</v>
      </c>
      <c r="G19" s="11">
        <f t="shared" si="2"/>
        <v>0</v>
      </c>
      <c r="H19" s="4">
        <f>'dpc-covid-19-ita-andamento-naz'!K10</f>
        <v>79</v>
      </c>
      <c r="I19" s="11">
        <f t="shared" si="3"/>
        <v>81.534065068774922</v>
      </c>
      <c r="J19" s="11">
        <f t="shared" si="4"/>
        <v>377.63277417889975</v>
      </c>
      <c r="K19" s="11">
        <f t="shared" si="5"/>
        <v>0</v>
      </c>
      <c r="L19" s="1"/>
      <c r="M19" s="19" t="s">
        <v>27</v>
      </c>
      <c r="N19" s="5">
        <v>43</v>
      </c>
    </row>
    <row r="20" spans="2:14" x14ac:dyDescent="0.3">
      <c r="B20" s="10">
        <v>43894</v>
      </c>
      <c r="C20" s="4">
        <v>14</v>
      </c>
      <c r="D20" s="4">
        <f>'dpc-covid-19-ita-andamento-naz'!L11</f>
        <v>3089</v>
      </c>
      <c r="E20" s="11">
        <f t="shared" si="0"/>
        <v>3241.8549467549142</v>
      </c>
      <c r="F20" s="11">
        <f t="shared" si="1"/>
        <v>7300.3357659002932</v>
      </c>
      <c r="G20" s="11">
        <f t="shared" si="2"/>
        <v>0</v>
      </c>
      <c r="H20" s="4">
        <f>'dpc-covid-19-ita-andamento-naz'!K11</f>
        <v>107</v>
      </c>
      <c r="I20" s="11">
        <f t="shared" si="3"/>
        <v>116.78720899777173</v>
      </c>
      <c r="J20" s="11">
        <f t="shared" si="4"/>
        <v>412.8859181078966</v>
      </c>
      <c r="K20" s="11">
        <f t="shared" si="5"/>
        <v>0</v>
      </c>
      <c r="L20" s="1"/>
      <c r="M20" s="19" t="s">
        <v>1</v>
      </c>
      <c r="N20" s="22">
        <v>16.548513847199828</v>
      </c>
    </row>
    <row r="21" spans="2:14" x14ac:dyDescent="0.3">
      <c r="B21" s="20">
        <v>43895</v>
      </c>
      <c r="C21" s="4">
        <v>15</v>
      </c>
      <c r="D21" s="4">
        <f>'dpc-covid-19-ita-andamento-naz'!L12</f>
        <v>3858</v>
      </c>
      <c r="E21" s="11">
        <f t="shared" si="0"/>
        <v>4109.3540407620876</v>
      </c>
      <c r="F21" s="11">
        <f t="shared" si="1"/>
        <v>8167.834859907467</v>
      </c>
      <c r="G21" s="11">
        <f t="shared" si="2"/>
        <v>50.873221616708634</v>
      </c>
      <c r="H21" s="4">
        <f>'dpc-covid-19-ita-andamento-naz'!K12</f>
        <v>148</v>
      </c>
      <c r="I21" s="11">
        <f t="shared" si="3"/>
        <v>163.79495209722688</v>
      </c>
      <c r="J21" s="11">
        <f t="shared" si="4"/>
        <v>459.89366120735173</v>
      </c>
      <c r="K21" s="11">
        <f t="shared" si="5"/>
        <v>0</v>
      </c>
      <c r="L21" s="1"/>
      <c r="M21" s="6" t="s">
        <v>2</v>
      </c>
      <c r="N21" s="1">
        <f>AVERAGE(H7:H48)</f>
        <v>3091.0238095238096</v>
      </c>
    </row>
    <row r="22" spans="2:14" x14ac:dyDescent="0.3">
      <c r="B22" s="10">
        <v>43896</v>
      </c>
      <c r="C22" s="4">
        <v>16</v>
      </c>
      <c r="D22" s="4">
        <f>'dpc-covid-19-ita-andamento-naz'!L13</f>
        <v>4636</v>
      </c>
      <c r="E22" s="11">
        <f t="shared" si="0"/>
        <v>5147.1765920480411</v>
      </c>
      <c r="F22" s="11">
        <f t="shared" si="1"/>
        <v>9205.6574111934206</v>
      </c>
      <c r="G22" s="11">
        <f t="shared" si="2"/>
        <v>1088.6957729026622</v>
      </c>
      <c r="H22" s="4">
        <f>'dpc-covid-19-ita-andamento-naz'!K13</f>
        <v>197</v>
      </c>
      <c r="I22" s="11">
        <f t="shared" si="3"/>
        <v>225.21193264938015</v>
      </c>
      <c r="J22" s="11">
        <f t="shared" si="4"/>
        <v>521.31064175950496</v>
      </c>
      <c r="K22" s="11">
        <f t="shared" si="5"/>
        <v>0</v>
      </c>
      <c r="L22" s="1"/>
      <c r="M22" s="6" t="s">
        <v>3</v>
      </c>
      <c r="N22" s="1">
        <f>COUNT(H7:H48)-COUNT(N18:N20)</f>
        <v>39</v>
      </c>
    </row>
    <row r="23" spans="2:14" x14ac:dyDescent="0.3">
      <c r="B23" s="10">
        <v>43897</v>
      </c>
      <c r="C23" s="4">
        <v>17</v>
      </c>
      <c r="D23" s="4">
        <f>'dpc-covid-19-ita-andamento-naz'!L14</f>
        <v>5883</v>
      </c>
      <c r="E23" s="11">
        <f t="shared" si="0"/>
        <v>6374.4264653775108</v>
      </c>
      <c r="F23" s="11">
        <f t="shared" si="1"/>
        <v>10432.907284522889</v>
      </c>
      <c r="G23" s="11">
        <f t="shared" si="2"/>
        <v>2315.9456462321318</v>
      </c>
      <c r="H23" s="4">
        <f>'dpc-covid-19-ita-andamento-naz'!K14</f>
        <v>233</v>
      </c>
      <c r="I23" s="11">
        <f t="shared" si="3"/>
        <v>303.92964820782572</v>
      </c>
      <c r="J23" s="11">
        <f t="shared" si="4"/>
        <v>600.02835731795062</v>
      </c>
      <c r="K23" s="11">
        <f t="shared" si="5"/>
        <v>7.8309390977008775</v>
      </c>
      <c r="L23" s="1"/>
      <c r="M23" s="6" t="s">
        <v>4</v>
      </c>
      <c r="N23" s="7" cm="1">
        <f t="array" ref="N23">SQRT(SUM((H7:H48-I7:I48)^2)/dfh)</f>
        <v>146.38850957255679</v>
      </c>
    </row>
    <row r="24" spans="2:14" ht="16.2" x14ac:dyDescent="0.3">
      <c r="B24" s="20">
        <v>43898</v>
      </c>
      <c r="C24" s="4">
        <v>18</v>
      </c>
      <c r="D24" s="4">
        <f>'dpc-covid-19-ita-andamento-naz'!L15</f>
        <v>7375</v>
      </c>
      <c r="E24" s="11">
        <f t="shared" si="0"/>
        <v>7809.7578714317369</v>
      </c>
      <c r="F24" s="11">
        <f t="shared" si="1"/>
        <v>11868.238690577116</v>
      </c>
      <c r="G24" s="11">
        <f t="shared" si="2"/>
        <v>3751.277052286358</v>
      </c>
      <c r="H24" s="4">
        <f>'dpc-covid-19-ita-andamento-naz'!K15</f>
        <v>366</v>
      </c>
      <c r="I24" s="11">
        <f t="shared" si="3"/>
        <v>403.01483961411157</v>
      </c>
      <c r="J24" s="11">
        <f t="shared" si="4"/>
        <v>699.11354872423635</v>
      </c>
      <c r="K24" s="11">
        <f t="shared" si="5"/>
        <v>106.91613050398672</v>
      </c>
      <c r="L24" s="1"/>
      <c r="M24" s="6" t="s">
        <v>5</v>
      </c>
      <c r="N24" s="8" cm="1">
        <f t="array" ref="N24">1-SUM((H7:H48-I7:I48)^2)/SUM((H7:H48-Mean_of_yh)^2)</f>
        <v>0.99876644704474249</v>
      </c>
    </row>
    <row r="25" spans="2:14" x14ac:dyDescent="0.3">
      <c r="B25" s="10">
        <v>43899</v>
      </c>
      <c r="C25" s="4">
        <v>19</v>
      </c>
      <c r="D25" s="4">
        <f>'dpc-covid-19-ita-andamento-naz'!L16</f>
        <v>9172</v>
      </c>
      <c r="E25" s="11">
        <f t="shared" si="0"/>
        <v>9470.9560371518965</v>
      </c>
      <c r="F25" s="11">
        <f t="shared" si="1"/>
        <v>13529.436856297276</v>
      </c>
      <c r="G25" s="11">
        <f t="shared" si="2"/>
        <v>5412.475218006517</v>
      </c>
      <c r="H25" s="4">
        <f>'dpc-covid-19-ita-andamento-naz'!K16</f>
        <v>463</v>
      </c>
      <c r="I25" s="11">
        <f t="shared" si="3"/>
        <v>525.63338348358991</v>
      </c>
      <c r="J25" s="11">
        <f t="shared" si="4"/>
        <v>821.7320925937147</v>
      </c>
      <c r="K25" s="11">
        <f t="shared" si="5"/>
        <v>229.53467437346507</v>
      </c>
      <c r="L25" s="1"/>
      <c r="M25" s="6" t="s">
        <v>6</v>
      </c>
      <c r="N25" s="8">
        <f>TINV(0.05,dfh)</f>
        <v>2.0226909200367595</v>
      </c>
    </row>
    <row r="26" spans="2:14" x14ac:dyDescent="0.3">
      <c r="B26" s="20">
        <v>43900</v>
      </c>
      <c r="C26" s="4">
        <v>20</v>
      </c>
      <c r="D26" s="4">
        <f>'dpc-covid-19-ita-andamento-naz'!L17</f>
        <v>10149</v>
      </c>
      <c r="E26" s="11">
        <f t="shared" si="0"/>
        <v>11374.528642577559</v>
      </c>
      <c r="F26" s="11">
        <f t="shared" si="1"/>
        <v>15433.009461722939</v>
      </c>
      <c r="G26" s="11">
        <f t="shared" si="2"/>
        <v>7316.0478234321799</v>
      </c>
      <c r="H26" s="4">
        <f>'dpc-covid-19-ita-andamento-naz'!K17</f>
        <v>631</v>
      </c>
      <c r="I26" s="11">
        <f t="shared" si="3"/>
        <v>674.96329494317365</v>
      </c>
      <c r="J26" s="11">
        <f t="shared" si="4"/>
        <v>971.06200405329855</v>
      </c>
      <c r="K26" s="11">
        <f t="shared" si="5"/>
        <v>378.86458583304881</v>
      </c>
      <c r="L26" s="1"/>
      <c r="M26" s="6" t="s">
        <v>7</v>
      </c>
      <c r="N26" s="1">
        <f>Critical_th*SE_of_yh</f>
        <v>296.09870911012484</v>
      </c>
    </row>
    <row r="27" spans="2:14" x14ac:dyDescent="0.3">
      <c r="B27" s="10">
        <v>43901</v>
      </c>
      <c r="C27" s="4">
        <v>21</v>
      </c>
      <c r="D27" s="4">
        <f>'dpc-covid-19-ita-andamento-naz'!L18</f>
        <v>12462</v>
      </c>
      <c r="E27" s="11">
        <f t="shared" si="0"/>
        <v>13535.322845533354</v>
      </c>
      <c r="F27" s="11">
        <f t="shared" si="1"/>
        <v>17593.803664678733</v>
      </c>
      <c r="G27" s="11">
        <f t="shared" si="2"/>
        <v>9476.8420263879743</v>
      </c>
      <c r="H27" s="4">
        <f>'dpc-covid-19-ita-andamento-naz'!K18</f>
        <v>827</v>
      </c>
      <c r="I27" s="11">
        <f t="shared" si="3"/>
        <v>854.10125475354027</v>
      </c>
      <c r="J27" s="11">
        <f t="shared" si="4"/>
        <v>1150.1999638636651</v>
      </c>
      <c r="K27" s="11">
        <f t="shared" si="5"/>
        <v>558.00254564341549</v>
      </c>
      <c r="L27" s="1"/>
      <c r="M27" s="6"/>
    </row>
    <row r="28" spans="2:14" x14ac:dyDescent="0.3">
      <c r="B28" s="20">
        <v>43902</v>
      </c>
      <c r="C28" s="4">
        <v>22</v>
      </c>
      <c r="D28" s="4">
        <f>'dpc-covid-19-ita-andamento-naz'!L19</f>
        <v>15113</v>
      </c>
      <c r="E28" s="11">
        <f t="shared" si="0"/>
        <v>15966.181065458997</v>
      </c>
      <c r="F28" s="11">
        <f t="shared" si="1"/>
        <v>20024.661884604375</v>
      </c>
      <c r="G28" s="11">
        <f t="shared" si="2"/>
        <v>11907.700246313618</v>
      </c>
      <c r="H28" s="4">
        <f>'dpc-covid-19-ita-andamento-naz'!K19</f>
        <v>1016</v>
      </c>
      <c r="I28" s="11">
        <f t="shared" si="3"/>
        <v>1065.9674998414096</v>
      </c>
      <c r="J28" s="11">
        <f t="shared" si="4"/>
        <v>1362.0662089515345</v>
      </c>
      <c r="K28" s="11">
        <f t="shared" si="5"/>
        <v>769.86879073128466</v>
      </c>
      <c r="L28" s="1"/>
      <c r="M28" s="6"/>
    </row>
    <row r="29" spans="2:14" x14ac:dyDescent="0.3">
      <c r="B29" s="10">
        <v>43903</v>
      </c>
      <c r="C29" s="4">
        <v>23</v>
      </c>
      <c r="D29" s="4">
        <f>'dpc-covid-19-ita-andamento-naz'!L20</f>
        <v>17660</v>
      </c>
      <c r="E29" s="11">
        <f t="shared" si="0"/>
        <v>18677.646463629</v>
      </c>
      <c r="F29" s="11">
        <f t="shared" si="1"/>
        <v>22736.127282774378</v>
      </c>
      <c r="G29" s="11">
        <f t="shared" si="2"/>
        <v>14619.165644483621</v>
      </c>
      <c r="H29" s="4">
        <f>'dpc-covid-19-ita-andamento-naz'!K20</f>
        <v>1266</v>
      </c>
      <c r="I29" s="11">
        <f t="shared" si="3"/>
        <v>1313.2139394171802</v>
      </c>
      <c r="J29" s="11">
        <f t="shared" si="4"/>
        <v>1609.3126485273051</v>
      </c>
      <c r="K29" s="11">
        <f t="shared" si="5"/>
        <v>1017.1152303070553</v>
      </c>
      <c r="L29" s="1"/>
    </row>
    <row r="30" spans="2:14" x14ac:dyDescent="0.3">
      <c r="B30" s="10">
        <v>43904</v>
      </c>
      <c r="C30" s="4">
        <v>24</v>
      </c>
      <c r="D30" s="4">
        <f>'dpc-covid-19-ita-andamento-naz'!L21</f>
        <v>21157</v>
      </c>
      <c r="E30" s="11">
        <f t="shared" si="0"/>
        <v>21677.726430640283</v>
      </c>
      <c r="F30" s="11">
        <f t="shared" si="1"/>
        <v>25736.207249785661</v>
      </c>
      <c r="G30" s="11">
        <f t="shared" si="2"/>
        <v>17619.245611494905</v>
      </c>
      <c r="H30" s="4">
        <f>'dpc-covid-19-ita-andamento-naz'!K21</f>
        <v>1441</v>
      </c>
      <c r="I30" s="11">
        <f t="shared" si="3"/>
        <v>1598.1400103008536</v>
      </c>
      <c r="J30" s="11">
        <f t="shared" si="4"/>
        <v>1894.2387194109785</v>
      </c>
      <c r="K30" s="11">
        <f t="shared" si="5"/>
        <v>1302.0413011907287</v>
      </c>
      <c r="L30" s="1"/>
    </row>
    <row r="31" spans="2:14" x14ac:dyDescent="0.3">
      <c r="B31" s="10">
        <v>43905</v>
      </c>
      <c r="C31" s="4">
        <v>25</v>
      </c>
      <c r="D31" s="4">
        <f>'dpc-covid-19-ita-andamento-naz'!L22</f>
        <v>24747</v>
      </c>
      <c r="E31" s="11">
        <f t="shared" si="0"/>
        <v>24971.719568535133</v>
      </c>
      <c r="F31" s="11">
        <f t="shared" si="1"/>
        <v>29030.20038768051</v>
      </c>
      <c r="G31" s="11">
        <f t="shared" si="2"/>
        <v>20913.238749389755</v>
      </c>
      <c r="H31" s="4">
        <f>'dpc-covid-19-ita-andamento-naz'!K22</f>
        <v>1809</v>
      </c>
      <c r="I31" s="11">
        <f t="shared" si="3"/>
        <v>1922.6201295608312</v>
      </c>
      <c r="J31" s="11">
        <f t="shared" si="4"/>
        <v>2218.7188386709558</v>
      </c>
      <c r="K31" s="11">
        <f t="shared" si="5"/>
        <v>1626.5214204507063</v>
      </c>
      <c r="L31" s="1"/>
    </row>
    <row r="32" spans="2:14" x14ac:dyDescent="0.3">
      <c r="B32" s="10">
        <v>43906</v>
      </c>
      <c r="C32" s="4">
        <v>26</v>
      </c>
      <c r="D32" s="4">
        <f>'dpc-covid-19-ita-andamento-naz'!L23</f>
        <v>27980</v>
      </c>
      <c r="E32" s="11">
        <f t="shared" si="0"/>
        <v>28562.108817301585</v>
      </c>
      <c r="F32" s="11">
        <f t="shared" si="1"/>
        <v>32620.589636446963</v>
      </c>
      <c r="G32" s="11">
        <f t="shared" si="2"/>
        <v>24503.627998156207</v>
      </c>
      <c r="H32" s="4">
        <f>'dpc-covid-19-ita-andamento-naz'!K23</f>
        <v>2158</v>
      </c>
      <c r="I32" s="11">
        <f t="shared" si="3"/>
        <v>2288.0457269913718</v>
      </c>
      <c r="J32" s="11">
        <f t="shared" si="4"/>
        <v>2584.1444361014965</v>
      </c>
      <c r="K32" s="11">
        <f t="shared" si="5"/>
        <v>1991.9470178812469</v>
      </c>
      <c r="L32" s="1"/>
    </row>
    <row r="33" spans="2:17" x14ac:dyDescent="0.3">
      <c r="B33" s="10">
        <v>43907</v>
      </c>
      <c r="C33" s="4">
        <v>27</v>
      </c>
      <c r="D33" s="4">
        <f>'dpc-covid-19-ita-andamento-naz'!L24</f>
        <v>31506</v>
      </c>
      <c r="E33" s="11">
        <f t="shared" si="0"/>
        <v>32448.520682753486</v>
      </c>
      <c r="F33" s="11">
        <f t="shared" si="1"/>
        <v>36507.001501898863</v>
      </c>
      <c r="G33" s="11">
        <f t="shared" si="2"/>
        <v>28390.039863608108</v>
      </c>
      <c r="H33" s="4">
        <f>'dpc-covid-19-ita-andamento-naz'!K24</f>
        <v>2503</v>
      </c>
      <c r="I33" s="11">
        <f t="shared" si="3"/>
        <v>2695.2838403250485</v>
      </c>
      <c r="J33" s="11">
        <f t="shared" si="4"/>
        <v>2991.3825494351731</v>
      </c>
      <c r="K33" s="11">
        <f t="shared" si="5"/>
        <v>2399.1851312149238</v>
      </c>
      <c r="L33" s="1"/>
    </row>
    <row r="34" spans="2:17" x14ac:dyDescent="0.3">
      <c r="B34" s="10">
        <v>43908</v>
      </c>
      <c r="C34" s="4">
        <v>28</v>
      </c>
      <c r="D34" s="4">
        <f>'dpc-covid-19-ita-andamento-naz'!L25</f>
        <v>35713</v>
      </c>
      <c r="E34" s="11">
        <f t="shared" si="0"/>
        <v>36627.748102193633</v>
      </c>
      <c r="F34" s="11">
        <f t="shared" ref="F34:F48" si="6">E34+CI</f>
        <v>40686.22892133901</v>
      </c>
      <c r="G34" s="11">
        <f t="shared" si="2"/>
        <v>32569.267283048255</v>
      </c>
      <c r="H34" s="4">
        <f>'dpc-covid-19-ita-andamento-naz'!K25</f>
        <v>2978</v>
      </c>
      <c r="I34" s="11">
        <f t="shared" si="3"/>
        <v>3144.6532258032089</v>
      </c>
      <c r="J34" s="11">
        <f t="shared" si="4"/>
        <v>3440.7519349133336</v>
      </c>
      <c r="K34" s="11">
        <f t="shared" si="5"/>
        <v>2848.5545166930842</v>
      </c>
      <c r="Q34" s="1"/>
    </row>
    <row r="35" spans="2:17" x14ac:dyDescent="0.3">
      <c r="B35" s="10">
        <v>43909</v>
      </c>
      <c r="C35" s="4">
        <v>29</v>
      </c>
      <c r="D35" s="4">
        <f>'dpc-covid-19-ita-andamento-naz'!L26</f>
        <v>41035</v>
      </c>
      <c r="E35" s="11">
        <f t="shared" si="0"/>
        <v>41093.832427595247</v>
      </c>
      <c r="F35" s="11">
        <f t="shared" si="6"/>
        <v>45152.313246740625</v>
      </c>
      <c r="G35" s="11">
        <f t="shared" si="2"/>
        <v>37035.35160844987</v>
      </c>
      <c r="H35" s="4">
        <f>'dpc-covid-19-ita-andamento-naz'!K26</f>
        <v>3405</v>
      </c>
      <c r="I35" s="11">
        <f t="shared" si="3"/>
        <v>3635.9179575154931</v>
      </c>
      <c r="J35" s="11">
        <f t="shared" si="4"/>
        <v>3932.0166666256177</v>
      </c>
      <c r="K35" s="11">
        <f t="shared" si="5"/>
        <v>3339.8192484053684</v>
      </c>
    </row>
    <row r="36" spans="2:17" x14ac:dyDescent="0.3">
      <c r="B36" s="10">
        <v>43910</v>
      </c>
      <c r="C36" s="4">
        <v>30</v>
      </c>
      <c r="D36" s="4">
        <f>'dpc-covid-19-ita-andamento-naz'!L27</f>
        <v>47021</v>
      </c>
      <c r="E36" s="11">
        <f t="shared" si="0"/>
        <v>45838.198369412072</v>
      </c>
      <c r="F36" s="11">
        <f t="shared" si="6"/>
        <v>49896.679188557449</v>
      </c>
      <c r="G36" s="11">
        <f t="shared" si="2"/>
        <v>41779.717550266694</v>
      </c>
      <c r="H36" s="4">
        <f>'dpc-covid-19-ita-andamento-naz'!K27</f>
        <v>4032</v>
      </c>
      <c r="I36" s="11">
        <f t="shared" si="3"/>
        <v>4168.2976248559598</v>
      </c>
      <c r="J36" s="11">
        <f t="shared" si="4"/>
        <v>4464.396333966085</v>
      </c>
      <c r="K36" s="11">
        <f t="shared" si="5"/>
        <v>3872.1989157458352</v>
      </c>
    </row>
    <row r="37" spans="2:17" x14ac:dyDescent="0.3">
      <c r="B37" s="10">
        <v>43911</v>
      </c>
      <c r="C37" s="4">
        <v>31</v>
      </c>
      <c r="D37" s="4">
        <f>'dpc-covid-19-ita-andamento-naz'!L28</f>
        <v>53578</v>
      </c>
      <c r="E37" s="11">
        <f t="shared" si="0"/>
        <v>50849.834550536187</v>
      </c>
      <c r="F37" s="11">
        <f t="shared" si="6"/>
        <v>54908.315369681564</v>
      </c>
      <c r="G37" s="11">
        <f t="shared" si="2"/>
        <v>46791.353731390809</v>
      </c>
      <c r="H37" s="4">
        <f>'dpc-covid-19-ita-andamento-naz'!K28</f>
        <v>4825</v>
      </c>
      <c r="I37" s="11">
        <f t="shared" si="3"/>
        <v>4740.4925322539902</v>
      </c>
      <c r="J37" s="11">
        <f t="shared" si="4"/>
        <v>5036.5912413641154</v>
      </c>
      <c r="K37" s="11">
        <f t="shared" si="5"/>
        <v>4444.3938231438651</v>
      </c>
    </row>
    <row r="38" spans="2:17" x14ac:dyDescent="0.3">
      <c r="B38" s="10">
        <v>43912</v>
      </c>
      <c r="C38" s="4">
        <v>32</v>
      </c>
      <c r="D38" s="4">
        <f>'dpc-covid-19-ita-andamento-naz'!L29</f>
        <v>59138</v>
      </c>
      <c r="E38" s="11">
        <f t="shared" si="0"/>
        <v>56115.51156373202</v>
      </c>
      <c r="F38" s="11">
        <f t="shared" si="6"/>
        <v>60173.992382877397</v>
      </c>
      <c r="G38" s="11">
        <f t="shared" ref="G38:G48" si="7">MAX(E38-CI,0)</f>
        <v>52057.030744586642</v>
      </c>
      <c r="H38" s="4">
        <f>'dpc-covid-19-ita-andamento-naz'!K29</f>
        <v>5476</v>
      </c>
      <c r="I38" s="11">
        <f t="shared" si="3"/>
        <v>5350.7217823858255</v>
      </c>
      <c r="J38" s="11">
        <f t="shared" si="4"/>
        <v>5646.8204914959506</v>
      </c>
      <c r="K38" s="11">
        <f t="shared" si="5"/>
        <v>5054.6230732757003</v>
      </c>
    </row>
    <row r="39" spans="2:17" x14ac:dyDescent="0.3">
      <c r="B39" s="20">
        <v>43913</v>
      </c>
      <c r="C39" s="4">
        <v>33</v>
      </c>
      <c r="D39" s="4">
        <f>'dpc-covid-19-ita-andamento-naz'!L30</f>
        <v>63927</v>
      </c>
      <c r="E39" s="11">
        <f t="shared" si="0"/>
        <v>61620.02907849905</v>
      </c>
      <c r="F39" s="11">
        <f t="shared" si="6"/>
        <v>65678.509897644428</v>
      </c>
      <c r="G39" s="11">
        <f t="shared" si="7"/>
        <v>57561.548259353673</v>
      </c>
      <c r="H39" s="4">
        <f>'dpc-covid-19-ita-andamento-naz'!K30</f>
        <v>6077</v>
      </c>
      <c r="I39" s="11">
        <f t="shared" si="3"/>
        <v>5996.7717884311614</v>
      </c>
      <c r="J39" s="11">
        <f t="shared" si="4"/>
        <v>6292.8704975412866</v>
      </c>
      <c r="K39" s="11">
        <f t="shared" si="5"/>
        <v>5700.6730793210363</v>
      </c>
    </row>
    <row r="40" spans="2:17" x14ac:dyDescent="0.3">
      <c r="B40" s="10">
        <v>43914</v>
      </c>
      <c r="C40" s="4">
        <v>34</v>
      </c>
      <c r="D40" s="4">
        <f>'dpc-covid-19-ita-andamento-naz'!L31</f>
        <v>69176</v>
      </c>
      <c r="E40" s="11">
        <f t="shared" si="0"/>
        <v>67346.483559287895</v>
      </c>
      <c r="F40" s="11">
        <f t="shared" si="6"/>
        <v>71404.964378433273</v>
      </c>
      <c r="G40" s="11">
        <f t="shared" si="7"/>
        <v>63288.002740142518</v>
      </c>
      <c r="H40" s="4">
        <f>'dpc-covid-19-ita-andamento-naz'!K31</f>
        <v>6820</v>
      </c>
      <c r="I40" s="11">
        <f t="shared" si="3"/>
        <v>6676.0526027876749</v>
      </c>
      <c r="J40" s="11">
        <f t="shared" si="4"/>
        <v>6972.1513118978</v>
      </c>
      <c r="K40" s="11">
        <f t="shared" si="5"/>
        <v>6379.9538936775498</v>
      </c>
    </row>
    <row r="41" spans="2:17" x14ac:dyDescent="0.3">
      <c r="B41" s="10">
        <v>43915</v>
      </c>
      <c r="C41" s="4">
        <v>35</v>
      </c>
      <c r="D41" s="4">
        <f>'dpc-covid-19-ita-andamento-naz'!L32</f>
        <v>74386</v>
      </c>
      <c r="E41" s="11">
        <f t="shared" si="0"/>
        <v>73276.548479961333</v>
      </c>
      <c r="F41" s="11">
        <f t="shared" si="6"/>
        <v>77335.029299106711</v>
      </c>
      <c r="G41" s="11">
        <f t="shared" si="7"/>
        <v>69218.067660815956</v>
      </c>
      <c r="H41" s="4">
        <f>'dpc-covid-19-ita-andamento-naz'!K32</f>
        <v>7503</v>
      </c>
      <c r="I41" s="11">
        <f t="shared" si="3"/>
        <v>7385.6594482979626</v>
      </c>
      <c r="J41" s="11">
        <f t="shared" si="4"/>
        <v>7681.7581574080878</v>
      </c>
      <c r="K41" s="11">
        <f t="shared" si="5"/>
        <v>7089.5607391878375</v>
      </c>
    </row>
    <row r="42" spans="2:17" x14ac:dyDescent="0.3">
      <c r="B42" s="10">
        <v>43916</v>
      </c>
      <c r="C42" s="4">
        <v>36</v>
      </c>
      <c r="D42" s="4">
        <f>'dpc-covid-19-ita-andamento-naz'!L33</f>
        <v>80539</v>
      </c>
      <c r="E42" s="11">
        <f t="shared" si="0"/>
        <v>79390.759487495656</v>
      </c>
      <c r="F42" s="11">
        <f t="shared" si="6"/>
        <v>83449.240306641033</v>
      </c>
      <c r="G42" s="11">
        <f t="shared" si="7"/>
        <v>75332.278668350278</v>
      </c>
      <c r="H42" s="4">
        <f>'dpc-covid-19-ita-andamento-naz'!K33</f>
        <v>8165</v>
      </c>
      <c r="I42" s="11">
        <f t="shared" si="3"/>
        <v>8122.4369659596641</v>
      </c>
      <c r="J42" s="11">
        <f t="shared" si="4"/>
        <v>8418.5356750697883</v>
      </c>
      <c r="K42" s="11">
        <f t="shared" si="5"/>
        <v>7826.338256849539</v>
      </c>
    </row>
    <row r="43" spans="2:17" x14ac:dyDescent="0.3">
      <c r="B43" s="10">
        <v>43917</v>
      </c>
      <c r="C43" s="4">
        <v>37</v>
      </c>
      <c r="D43" s="4">
        <f>'dpc-covid-19-ita-andamento-naz'!L34</f>
        <v>86498</v>
      </c>
      <c r="E43" s="11">
        <f t="shared" ref="E43:E70" si="8">K*EXP(-EXP(-($C43-t0)/w))</f>
        <v>85668.797718419315</v>
      </c>
      <c r="F43" s="11">
        <f t="shared" si="6"/>
        <v>89727.278537564693</v>
      </c>
      <c r="G43" s="11">
        <f t="shared" si="7"/>
        <v>81610.316899273937</v>
      </c>
      <c r="H43" s="4">
        <f>'dpc-covid-19-ita-andamento-naz'!K34</f>
        <v>9134</v>
      </c>
      <c r="I43" s="11">
        <f t="shared" ref="I43:I70" si="9">Kh*EXP(-EXP(-($C43-t0h)/wh))</f>
        <v>8883.0439196187144</v>
      </c>
      <c r="J43" s="11">
        <f t="shared" si="4"/>
        <v>9179.1426287288396</v>
      </c>
      <c r="K43" s="11">
        <f t="shared" si="5"/>
        <v>8586.9452105085893</v>
      </c>
    </row>
    <row r="44" spans="2:17" x14ac:dyDescent="0.3">
      <c r="B44" s="10">
        <v>43918</v>
      </c>
      <c r="C44" s="4">
        <v>38</v>
      </c>
      <c r="D44" s="4">
        <f>'dpc-covid-19-ita-andamento-naz'!L35</f>
        <v>92472</v>
      </c>
      <c r="E44" s="11">
        <f t="shared" si="8"/>
        <v>92089.765344382715</v>
      </c>
      <c r="F44" s="11">
        <f t="shared" si="6"/>
        <v>96148.246163528092</v>
      </c>
      <c r="G44" s="11">
        <f t="shared" si="7"/>
        <v>88031.284525237337</v>
      </c>
      <c r="H44" s="4">
        <f>'dpc-covid-19-ita-andamento-naz'!K35</f>
        <v>10023</v>
      </c>
      <c r="I44" s="11">
        <f t="shared" si="9"/>
        <v>9664.0163925172019</v>
      </c>
      <c r="J44" s="11">
        <f t="shared" si="4"/>
        <v>9960.115101627327</v>
      </c>
      <c r="K44" s="11">
        <f t="shared" si="5"/>
        <v>9367.9176834070768</v>
      </c>
    </row>
    <row r="45" spans="2:17" x14ac:dyDescent="0.3">
      <c r="B45" s="10">
        <v>43919</v>
      </c>
      <c r="C45" s="4">
        <v>39</v>
      </c>
      <c r="D45" s="4">
        <f>'dpc-covid-19-ita-andamento-naz'!L36</f>
        <v>97689</v>
      </c>
      <c r="E45" s="11">
        <f t="shared" si="8"/>
        <v>98632.448363964781</v>
      </c>
      <c r="F45" s="11">
        <f t="shared" si="6"/>
        <v>102690.92918311016</v>
      </c>
      <c r="G45" s="11">
        <f t="shared" si="7"/>
        <v>94573.967544819403</v>
      </c>
      <c r="H45" s="4">
        <f>'dpc-covid-19-ita-andamento-naz'!K36</f>
        <v>10779</v>
      </c>
      <c r="I45" s="11">
        <f t="shared" si="9"/>
        <v>10461.827844185538</v>
      </c>
      <c r="J45" s="11">
        <f>I45+CIh</f>
        <v>10757.926553295663</v>
      </c>
      <c r="K45" s="11">
        <f>MAX(I45-CIh,0)</f>
        <v>10165.729135075413</v>
      </c>
    </row>
    <row r="46" spans="2:17" x14ac:dyDescent="0.3">
      <c r="B46" s="10">
        <v>43920</v>
      </c>
      <c r="C46" s="4">
        <v>40</v>
      </c>
      <c r="D46" s="4">
        <f>'dpc-covid-19-ita-andamento-naz'!L37</f>
        <v>101739</v>
      </c>
      <c r="E46" s="11">
        <f t="shared" si="8"/>
        <v>105275.56261891384</v>
      </c>
      <c r="F46" s="11">
        <f t="shared" si="6"/>
        <v>109334.04343805922</v>
      </c>
      <c r="G46" s="11">
        <f t="shared" si="7"/>
        <v>101217.08179976846</v>
      </c>
      <c r="H46" s="4">
        <f>'dpc-covid-19-ita-andamento-naz'!K37</f>
        <v>11591</v>
      </c>
      <c r="I46" s="11">
        <f t="shared" si="9"/>
        <v>11272.944744135591</v>
      </c>
      <c r="J46" s="11">
        <f>I46+CIh</f>
        <v>11569.043453245717</v>
      </c>
      <c r="K46" s="11">
        <f>MAX(I46-CIh,0)</f>
        <v>10976.846035025466</v>
      </c>
    </row>
    <row r="47" spans="2:17" x14ac:dyDescent="0.3">
      <c r="B47" s="10">
        <v>43921</v>
      </c>
      <c r="C47" s="4">
        <v>41</v>
      </c>
      <c r="D47" s="4">
        <f>'dpc-covid-19-ita-andamento-naz'!L38</f>
        <v>105792</v>
      </c>
      <c r="E47" s="11">
        <f t="shared" si="8"/>
        <v>111997.97995514928</v>
      </c>
      <c r="F47" s="11">
        <f t="shared" si="6"/>
        <v>116056.46077429465</v>
      </c>
      <c r="G47" s="11">
        <f t="shared" si="7"/>
        <v>107939.4991360039</v>
      </c>
      <c r="H47" s="4">
        <f>'dpc-covid-19-ita-andamento-naz'!K38</f>
        <v>12428</v>
      </c>
      <c r="I47" s="11">
        <f t="shared" si="9"/>
        <v>12093.876840766881</v>
      </c>
      <c r="J47" s="11">
        <f>I47+CIh</f>
        <v>12389.975549877006</v>
      </c>
      <c r="K47" s="11">
        <f>MAX(I47-CIh,0)</f>
        <v>11797.778131656756</v>
      </c>
    </row>
    <row r="48" spans="2:17" x14ac:dyDescent="0.3">
      <c r="B48" s="10">
        <v>43922</v>
      </c>
      <c r="C48" s="4">
        <v>42</v>
      </c>
      <c r="D48" s="4">
        <f>'dpc-covid-19-ita-andamento-naz'!L39</f>
        <v>110574</v>
      </c>
      <c r="E48" s="11">
        <f t="shared" si="8"/>
        <v>118778.93234101206</v>
      </c>
      <c r="F48" s="11">
        <f t="shared" si="6"/>
        <v>122837.41316015743</v>
      </c>
      <c r="G48" s="11">
        <f t="shared" si="7"/>
        <v>114720.45152186668</v>
      </c>
      <c r="H48" s="4">
        <f>'dpc-covid-19-ita-andamento-naz'!K39</f>
        <v>13155</v>
      </c>
      <c r="I48" s="11">
        <f t="shared" si="9"/>
        <v>12921.221444292489</v>
      </c>
      <c r="J48" s="11">
        <f>I48+CIh</f>
        <v>13217.320153402614</v>
      </c>
      <c r="K48" s="11">
        <f>MAX(I48-CIh,0)</f>
        <v>12625.122735182364</v>
      </c>
    </row>
    <row r="49" spans="2:11" x14ac:dyDescent="0.3">
      <c r="B49" s="10">
        <v>43923</v>
      </c>
      <c r="C49" s="4">
        <v>43</v>
      </c>
      <c r="E49" s="11">
        <f t="shared" si="8"/>
        <v>125598.19257452106</v>
      </c>
      <c r="F49" s="11"/>
      <c r="G49" s="11"/>
      <c r="H49" s="4"/>
      <c r="I49" s="11">
        <f t="shared" si="9"/>
        <v>13751.701390429685</v>
      </c>
      <c r="J49" s="11"/>
      <c r="K49" s="11"/>
    </row>
    <row r="50" spans="2:11" x14ac:dyDescent="0.3">
      <c r="B50" s="10">
        <v>43924</v>
      </c>
      <c r="C50" s="4">
        <v>44</v>
      </c>
      <c r="E50" s="11">
        <f t="shared" si="8"/>
        <v>132436.23094227808</v>
      </c>
      <c r="F50" s="11"/>
      <c r="G50" s="11"/>
      <c r="H50" s="4"/>
      <c r="I50" s="11">
        <f t="shared" si="9"/>
        <v>14582.196600390849</v>
      </c>
      <c r="J50" s="11"/>
      <c r="K50" s="11"/>
    </row>
    <row r="51" spans="2:11" x14ac:dyDescent="0.3">
      <c r="B51" s="10">
        <v>43925</v>
      </c>
      <c r="C51" s="4">
        <v>45</v>
      </c>
      <c r="E51" s="11">
        <f t="shared" si="8"/>
        <v>139274.34782623113</v>
      </c>
      <c r="F51" s="11"/>
      <c r="G51" s="11"/>
      <c r="H51" s="4"/>
      <c r="I51" s="11">
        <f t="shared" si="9"/>
        <v>15409.769359237383</v>
      </c>
      <c r="J51" s="11"/>
      <c r="K51" s="11"/>
    </row>
    <row r="52" spans="2:11" x14ac:dyDescent="0.3">
      <c r="B52" s="10">
        <v>43926</v>
      </c>
      <c r="C52" s="4">
        <v>46</v>
      </c>
      <c r="E52" s="11">
        <f t="shared" si="8"/>
        <v>146094.7827873546</v>
      </c>
      <c r="F52" s="11"/>
      <c r="G52" s="11"/>
      <c r="H52" s="4"/>
      <c r="I52" s="11">
        <f t="shared" si="9"/>
        <v>16231.683598683261</v>
      </c>
      <c r="J52" s="11"/>
      <c r="K52" s="11"/>
    </row>
    <row r="53" spans="2:11" x14ac:dyDescent="0.3">
      <c r="B53" s="10">
        <v>43927</v>
      </c>
      <c r="C53" s="4">
        <v>47</v>
      </c>
      <c r="E53" s="11">
        <f t="shared" si="8"/>
        <v>152880.80108851404</v>
      </c>
      <c r="F53" s="11"/>
      <c r="G53" s="11"/>
      <c r="H53" s="4"/>
      <c r="I53" s="11">
        <f t="shared" si="9"/>
        <v>17045.41859388489</v>
      </c>
      <c r="J53" s="11"/>
      <c r="K53" s="11"/>
    </row>
    <row r="54" spans="2:11" x14ac:dyDescent="0.3">
      <c r="B54" s="10">
        <v>43928</v>
      </c>
      <c r="C54" s="4">
        <v>48</v>
      </c>
      <c r="E54" s="11">
        <f t="shared" si="8"/>
        <v>159616.75895689736</v>
      </c>
      <c r="F54" s="11"/>
      <c r="G54" s="11"/>
      <c r="H54" s="4"/>
      <c r="I54" s="11">
        <f t="shared" si="9"/>
        <v>17848.677570078587</v>
      </c>
      <c r="J54" s="11"/>
      <c r="K54" s="11"/>
    </row>
    <row r="55" spans="2:11" x14ac:dyDescent="0.3">
      <c r="B55" s="10">
        <v>43929</v>
      </c>
      <c r="C55" s="4">
        <v>49</v>
      </c>
      <c r="E55" s="11">
        <f t="shared" si="8"/>
        <v>166288.14913645413</v>
      </c>
      <c r="F55" s="11"/>
      <c r="G55" s="11"/>
      <c r="H55" s="4"/>
      <c r="I55" s="11">
        <f t="shared" si="9"/>
        <v>18639.391768519643</v>
      </c>
      <c r="J55" s="11"/>
      <c r="K55" s="11"/>
    </row>
    <row r="56" spans="2:11" x14ac:dyDescent="0.3">
      <c r="B56" s="10">
        <v>43930</v>
      </c>
      <c r="C56" s="4">
        <v>50</v>
      </c>
      <c r="E56" s="11">
        <f t="shared" si="8"/>
        <v>172881.62845151001</v>
      </c>
      <c r="F56" s="11"/>
      <c r="G56" s="11"/>
      <c r="H56" s="4"/>
      <c r="I56" s="11">
        <f t="shared" si="9"/>
        <v>19415.720546905381</v>
      </c>
      <c r="J56" s="11"/>
      <c r="K56" s="11"/>
    </row>
    <row r="57" spans="2:11" x14ac:dyDescent="0.3">
      <c r="B57" s="10">
        <v>43931</v>
      </c>
      <c r="C57" s="4">
        <v>51</v>
      </c>
      <c r="E57" s="11">
        <f t="shared" si="8"/>
        <v>179385.02920377691</v>
      </c>
      <c r="F57" s="11"/>
      <c r="G57" s="11"/>
      <c r="H57" s="4"/>
      <c r="I57" s="11">
        <f t="shared" si="9"/>
        <v>20176.048092297595</v>
      </c>
      <c r="J57" s="11"/>
      <c r="K57" s="11"/>
    </row>
    <row r="58" spans="2:11" x14ac:dyDescent="0.3">
      <c r="B58" s="10">
        <v>43932</v>
      </c>
      <c r="C58" s="4">
        <v>52</v>
      </c>
      <c r="E58" s="11">
        <f t="shared" si="8"/>
        <v>185787.35626639638</v>
      </c>
      <c r="F58" s="11"/>
      <c r="G58" s="11"/>
      <c r="H58" s="4"/>
      <c r="I58" s="11">
        <f t="shared" si="9"/>
        <v>20918.977309291065</v>
      </c>
      <c r="J58" s="11"/>
      <c r="K58" s="11"/>
    </row>
    <row r="59" spans="2:11" x14ac:dyDescent="0.3">
      <c r="B59" s="10">
        <v>43933</v>
      </c>
      <c r="C59" s="4">
        <v>53</v>
      </c>
      <c r="E59" s="11">
        <f t="shared" si="8"/>
        <v>192078.77173036375</v>
      </c>
      <c r="F59" s="11"/>
      <c r="G59" s="11"/>
      <c r="H59" s="4"/>
      <c r="I59" s="11">
        <f t="shared" si="9"/>
        <v>21643.321417234194</v>
      </c>
      <c r="J59" s="11"/>
      <c r="K59" s="11"/>
    </row>
    <row r="60" spans="2:11" x14ac:dyDescent="0.3">
      <c r="B60" s="10">
        <v>43934</v>
      </c>
      <c r="C60" s="4">
        <v>54</v>
      </c>
      <c r="E60" s="11">
        <f t="shared" si="8"/>
        <v>198250.56891017364</v>
      </c>
      <c r="F60" s="11"/>
      <c r="G60" s="11"/>
      <c r="H60" s="4"/>
      <c r="I60" s="11">
        <f t="shared" si="9"/>
        <v>22348.093751640339</v>
      </c>
      <c r="J60" s="11"/>
      <c r="K60" s="11"/>
    </row>
    <row r="61" spans="2:11" x14ac:dyDescent="0.3">
      <c r="B61" s="10">
        <v>43935</v>
      </c>
      <c r="C61" s="4">
        <v>55</v>
      </c>
      <c r="E61" s="11">
        <f t="shared" si="8"/>
        <v>204295.13743560101</v>
      </c>
      <c r="F61" s="11"/>
      <c r="G61" s="11"/>
      <c r="H61" s="4"/>
      <c r="I61" s="11">
        <f t="shared" si="9"/>
        <v>23032.496219938021</v>
      </c>
      <c r="J61" s="11"/>
      <c r="K61" s="11"/>
    </row>
    <row r="62" spans="2:11" x14ac:dyDescent="0.3">
      <c r="B62" s="10">
        <v>43936</v>
      </c>
      <c r="C62" s="4">
        <v>56</v>
      </c>
      <c r="E62" s="11">
        <f t="shared" si="8"/>
        <v>210205.92105312934</v>
      </c>
      <c r="F62" s="11"/>
      <c r="G62" s="11"/>
      <c r="H62" s="4"/>
      <c r="I62" s="11">
        <f t="shared" si="9"/>
        <v>23695.906813238504</v>
      </c>
      <c r="J62" s="11"/>
      <c r="K62" s="11"/>
    </row>
    <row r="63" spans="2:11" x14ac:dyDescent="0.3">
      <c r="B63" s="10">
        <v>43937</v>
      </c>
      <c r="C63" s="4">
        <v>57</v>
      </c>
      <c r="E63" s="11">
        <f t="shared" si="8"/>
        <v>215977.36964067875</v>
      </c>
      <c r="F63" s="11"/>
      <c r="G63" s="11"/>
      <c r="H63" s="4"/>
      <c r="I63" s="11">
        <f t="shared" si="9"/>
        <v>24337.86652615502</v>
      </c>
      <c r="J63" s="11"/>
      <c r="K63" s="11"/>
    </row>
    <row r="64" spans="2:11" x14ac:dyDescent="0.3">
      <c r="B64" s="10">
        <v>43938</v>
      </c>
      <c r="C64" s="4">
        <v>58</v>
      </c>
      <c r="E64" s="11">
        <f t="shared" si="8"/>
        <v>221604.88680901076</v>
      </c>
      <c r="F64" s="11"/>
      <c r="G64" s="11"/>
      <c r="H64" s="4"/>
      <c r="I64" s="11">
        <f t="shared" si="9"/>
        <v>24958.065987691149</v>
      </c>
      <c r="J64" s="11"/>
      <c r="K64" s="11"/>
    </row>
    <row r="65" spans="2:11" x14ac:dyDescent="0.3">
      <c r="B65" s="10">
        <v>43939</v>
      </c>
      <c r="C65" s="4">
        <v>59</v>
      </c>
      <c r="E65" s="11">
        <f t="shared" si="8"/>
        <v>227084.77432759979</v>
      </c>
      <c r="F65" s="11"/>
      <c r="G65" s="11"/>
      <c r="H65" s="4"/>
      <c r="I65" s="11">
        <f t="shared" si="9"/>
        <v>25556.332059179927</v>
      </c>
      <c r="J65" s="11"/>
      <c r="K65" s="11"/>
    </row>
    <row r="66" spans="2:11" x14ac:dyDescent="0.3">
      <c r="B66" s="10">
        <v>43940</v>
      </c>
      <c r="C66" s="4">
        <v>60</v>
      </c>
      <c r="E66" s="11">
        <f t="shared" si="8"/>
        <v>232414.17447605243</v>
      </c>
      <c r="F66" s="11"/>
      <c r="G66" s="11"/>
      <c r="H66" s="4"/>
      <c r="I66" s="11">
        <f t="shared" si="9"/>
        <v>26132.614611164638</v>
      </c>
      <c r="J66" s="11"/>
      <c r="K66" s="11"/>
    </row>
    <row r="67" spans="2:11" x14ac:dyDescent="0.3">
      <c r="B67" s="10">
        <v>43941</v>
      </c>
      <c r="C67" s="4">
        <v>61</v>
      </c>
      <c r="E67" s="11">
        <f t="shared" si="8"/>
        <v>237591.01128768886</v>
      </c>
      <c r="F67" s="11"/>
      <c r="G67" s="11"/>
      <c r="H67" s="4"/>
      <c r="I67" s="11">
        <f t="shared" si="9"/>
        <v>26686.973650602384</v>
      </c>
      <c r="J67" s="11"/>
      <c r="K67" s="11"/>
    </row>
    <row r="68" spans="2:11" x14ac:dyDescent="0.3">
      <c r="B68" s="10">
        <v>43942</v>
      </c>
      <c r="C68" s="4">
        <v>62</v>
      </c>
      <c r="E68" s="11">
        <f t="shared" si="8"/>
        <v>242613.93152228557</v>
      </c>
      <c r="F68" s="11"/>
      <c r="G68" s="11"/>
      <c r="H68" s="4"/>
      <c r="I68" s="11">
        <f t="shared" si="9"/>
        <v>27219.566933208538</v>
      </c>
      <c r="J68" s="11"/>
      <c r="K68" s="11"/>
    </row>
    <row r="69" spans="2:11" x14ac:dyDescent="0.3">
      <c r="B69" s="10">
        <v>43943</v>
      </c>
      <c r="C69" s="4">
        <v>63</v>
      </c>
      <c r="E69" s="11">
        <f t="shared" si="8"/>
        <v>247482.24608215175</v>
      </c>
      <c r="F69" s="11"/>
      <c r="G69" s="11"/>
      <c r="H69" s="4"/>
      <c r="I69" s="11">
        <f t="shared" si="9"/>
        <v>27730.638163295644</v>
      </c>
      <c r="J69" s="11"/>
      <c r="K69" s="11"/>
    </row>
    <row r="70" spans="2:11" x14ac:dyDescent="0.3">
      <c r="B70" s="10">
        <v>43944</v>
      </c>
      <c r="C70" s="4">
        <v>64</v>
      </c>
      <c r="E70" s="11">
        <f t="shared" si="8"/>
        <v>252195.8724710556</v>
      </c>
      <c r="F70" s="11"/>
      <c r="G70" s="11"/>
      <c r="H70" s="4"/>
      <c r="I70" s="11">
        <f t="shared" si="9"/>
        <v>28220.505855079897</v>
      </c>
      <c r="J70" s="11"/>
      <c r="K70" s="11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632-B437-4470-A0F8-C1DBA4CDFA9C}">
  <dimension ref="B2:V130"/>
  <sheetViews>
    <sheetView tabSelected="1" zoomScale="70" zoomScaleNormal="70" workbookViewId="0"/>
  </sheetViews>
  <sheetFormatPr defaultRowHeight="14.4" x14ac:dyDescent="0.3"/>
  <cols>
    <col min="1" max="1" width="2.77734375" style="2" customWidth="1"/>
    <col min="2" max="2" width="8.88671875" style="2"/>
    <col min="3" max="3" width="4.109375" style="2" bestFit="1" customWidth="1"/>
    <col min="4" max="4" width="14.109375" style="2" bestFit="1" customWidth="1"/>
    <col min="5" max="5" width="9.6640625" style="2" bestFit="1" customWidth="1"/>
    <col min="6" max="6" width="7.44140625" style="2" bestFit="1" customWidth="1"/>
    <col min="7" max="7" width="7.5546875" style="2" bestFit="1" customWidth="1"/>
    <col min="8" max="8" width="8.109375" style="2" bestFit="1" customWidth="1"/>
    <col min="9" max="9" width="8.21875" style="2" bestFit="1" customWidth="1"/>
    <col min="10" max="10" width="11.109375" style="2" bestFit="1" customWidth="1"/>
    <col min="11" max="12" width="9.6640625" style="2" bestFit="1" customWidth="1"/>
    <col min="13" max="13" width="9.77734375" style="2" bestFit="1" customWidth="1"/>
    <col min="14" max="14" width="11.6640625" style="2" bestFit="1" customWidth="1"/>
    <col min="15" max="15" width="11.7773437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22" ht="31.2" x14ac:dyDescent="0.6">
      <c r="B2" s="12" t="s">
        <v>13</v>
      </c>
    </row>
    <row r="3" spans="2:22" ht="17.399999999999999" customHeight="1" x14ac:dyDescent="0.6">
      <c r="B3" s="12"/>
      <c r="S3" s="18" t="s">
        <v>0</v>
      </c>
      <c r="T3" s="17" t="s">
        <v>54</v>
      </c>
      <c r="U3" s="17"/>
      <c r="V3" s="17"/>
    </row>
    <row r="4" spans="2:22" ht="20.399999999999999" x14ac:dyDescent="0.35">
      <c r="B4" s="13" t="s">
        <v>14</v>
      </c>
      <c r="C4" s="14"/>
      <c r="S4" s="18" t="s">
        <v>26</v>
      </c>
      <c r="T4" s="17" t="s">
        <v>55</v>
      </c>
      <c r="U4" s="17"/>
      <c r="V4" s="17"/>
    </row>
    <row r="5" spans="2:22" ht="18" x14ac:dyDescent="0.35">
      <c r="B5" s="13" t="s">
        <v>53</v>
      </c>
      <c r="S5" s="18" t="s">
        <v>1</v>
      </c>
      <c r="T5" s="17" t="s">
        <v>56</v>
      </c>
      <c r="U5" s="17"/>
      <c r="V5" s="17"/>
    </row>
    <row r="6" spans="2:22" x14ac:dyDescent="0.3">
      <c r="B6" s="4" t="s">
        <v>10</v>
      </c>
      <c r="C6" s="4" t="s">
        <v>11</v>
      </c>
      <c r="D6" s="4" t="s">
        <v>29</v>
      </c>
      <c r="E6" s="4" t="s">
        <v>28</v>
      </c>
      <c r="F6" s="9" t="s">
        <v>61</v>
      </c>
      <c r="G6" s="9" t="s">
        <v>62</v>
      </c>
      <c r="H6" s="9" t="s">
        <v>8</v>
      </c>
      <c r="I6" s="9" t="s">
        <v>9</v>
      </c>
      <c r="J6" s="4" t="s">
        <v>63</v>
      </c>
      <c r="K6" s="4" t="s">
        <v>64</v>
      </c>
      <c r="L6" s="9" t="s">
        <v>65</v>
      </c>
      <c r="M6" s="9" t="s">
        <v>66</v>
      </c>
      <c r="N6" s="9" t="s">
        <v>67</v>
      </c>
      <c r="O6" s="9" t="s">
        <v>68</v>
      </c>
      <c r="P6" s="9"/>
      <c r="Q6" s="29" t="s">
        <v>50</v>
      </c>
      <c r="R6" s="3"/>
      <c r="S6" s="3"/>
    </row>
    <row r="7" spans="2:22" x14ac:dyDescent="0.3">
      <c r="B7" s="24">
        <v>43881</v>
      </c>
      <c r="C7" s="25">
        <v>1</v>
      </c>
      <c r="D7" s="26">
        <v>3</v>
      </c>
      <c r="E7" s="11">
        <f>D7-D7</f>
        <v>0</v>
      </c>
      <c r="F7" s="11">
        <f t="shared" ref="F7:F38" si="0">Kn*EXP(-EXP(-($C7-t0n)/wn))</f>
        <v>188.29719483267527</v>
      </c>
      <c r="G7" s="11">
        <f>F7-F7</f>
        <v>0</v>
      </c>
      <c r="H7" s="11">
        <f>G7+CIn</f>
        <v>1479.3163193947489</v>
      </c>
      <c r="I7" s="11">
        <f>MAX(G7-CIn,0)</f>
        <v>0</v>
      </c>
      <c r="J7" s="25">
        <v>0</v>
      </c>
      <c r="K7" s="11">
        <f>J7-J7</f>
        <v>0</v>
      </c>
      <c r="L7" s="11">
        <f t="shared" ref="L7:L38" si="1">Kd*EXP(-EXP(-($C7-t0d)/wd))</f>
        <v>0.28092627227282702</v>
      </c>
      <c r="M7" s="11">
        <f>L7-L7</f>
        <v>0</v>
      </c>
      <c r="N7" s="11">
        <f t="shared" ref="N7:N46" si="2">M7+CId</f>
        <v>135.13857770600103</v>
      </c>
      <c r="O7" s="11">
        <f t="shared" ref="O7:O46" si="3">MAX(M7-CId,0)</f>
        <v>0</v>
      </c>
      <c r="P7" s="9"/>
      <c r="Q7" s="19" t="s">
        <v>0</v>
      </c>
      <c r="R7" s="5">
        <v>356882</v>
      </c>
      <c r="S7" s="3"/>
    </row>
    <row r="8" spans="2:22" ht="15.6" x14ac:dyDescent="0.35">
      <c r="B8" s="24">
        <v>43882</v>
      </c>
      <c r="C8" s="25">
        <v>2</v>
      </c>
      <c r="D8" s="26">
        <v>20</v>
      </c>
      <c r="E8" s="4">
        <f>D8-D7</f>
        <v>17</v>
      </c>
      <c r="F8" s="11">
        <f t="shared" si="0"/>
        <v>264.24118017248765</v>
      </c>
      <c r="G8" s="11">
        <f>F8-F7</f>
        <v>75.943985339812372</v>
      </c>
      <c r="H8" s="11">
        <f>G8+CIn</f>
        <v>1555.2603047345613</v>
      </c>
      <c r="I8" s="11">
        <f>MAX(G8-CIn,0)</f>
        <v>0</v>
      </c>
      <c r="J8" s="25">
        <v>1</v>
      </c>
      <c r="K8" s="11">
        <f t="shared" ref="K8:K48" si="4">J8-J7</f>
        <v>1</v>
      </c>
      <c r="L8" s="11">
        <f t="shared" si="1"/>
        <v>0.54744884686617268</v>
      </c>
      <c r="M8" s="11">
        <f>L8-L7</f>
        <v>0.26652257459334566</v>
      </c>
      <c r="N8" s="11">
        <f t="shared" si="2"/>
        <v>135.40510028059438</v>
      </c>
      <c r="O8" s="11">
        <f t="shared" si="3"/>
        <v>0</v>
      </c>
      <c r="P8" s="9"/>
      <c r="Q8" s="19" t="s">
        <v>27</v>
      </c>
      <c r="R8" s="5">
        <v>45</v>
      </c>
      <c r="S8" s="3"/>
    </row>
    <row r="9" spans="2:22" x14ac:dyDescent="0.3">
      <c r="B9" s="24">
        <v>43883</v>
      </c>
      <c r="C9" s="25">
        <v>3</v>
      </c>
      <c r="D9" s="26">
        <v>62</v>
      </c>
      <c r="E9" s="4">
        <f>D9-D8</f>
        <v>42</v>
      </c>
      <c r="F9" s="11">
        <f t="shared" si="0"/>
        <v>365.21644152043194</v>
      </c>
      <c r="G9" s="11">
        <f>F9-F8</f>
        <v>100.9752613479443</v>
      </c>
      <c r="H9" s="11">
        <f>G9+CIn</f>
        <v>1580.2915807426932</v>
      </c>
      <c r="I9" s="11">
        <f>MAX(G9-CIn,0)</f>
        <v>0</v>
      </c>
      <c r="J9" s="25">
        <v>2</v>
      </c>
      <c r="K9" s="11">
        <f t="shared" si="4"/>
        <v>1</v>
      </c>
      <c r="L9" s="11">
        <f t="shared" si="1"/>
        <v>1.0277092375929233</v>
      </c>
      <c r="M9" s="11">
        <f>L9-L8</f>
        <v>0.48026039072675064</v>
      </c>
      <c r="N9" s="11">
        <f t="shared" si="2"/>
        <v>135.61883809672779</v>
      </c>
      <c r="O9" s="11">
        <f t="shared" si="3"/>
        <v>0</v>
      </c>
      <c r="P9" s="9"/>
      <c r="Q9" s="19" t="s">
        <v>1</v>
      </c>
      <c r="R9" s="22">
        <v>21.769584809094003</v>
      </c>
      <c r="S9" s="3"/>
    </row>
    <row r="10" spans="2:22" x14ac:dyDescent="0.3">
      <c r="B10" s="24">
        <v>43884</v>
      </c>
      <c r="C10" s="25">
        <v>4</v>
      </c>
      <c r="D10" s="26">
        <v>155</v>
      </c>
      <c r="E10" s="4">
        <f>D10-D9</f>
        <v>93</v>
      </c>
      <c r="F10" s="11">
        <f t="shared" si="0"/>
        <v>497.49639142764858</v>
      </c>
      <c r="G10" s="11">
        <f>F10-F9</f>
        <v>132.27994990721663</v>
      </c>
      <c r="H10" s="11">
        <f>G10+CIn</f>
        <v>1611.5962693019655</v>
      </c>
      <c r="I10" s="11">
        <f>MAX(G10-CIn,0)</f>
        <v>0</v>
      </c>
      <c r="J10" s="25">
        <v>3</v>
      </c>
      <c r="K10" s="11">
        <f t="shared" si="4"/>
        <v>1</v>
      </c>
      <c r="L10" s="11">
        <f t="shared" si="1"/>
        <v>1.8624343905461864</v>
      </c>
      <c r="M10" s="11">
        <f>L10-L9</f>
        <v>0.83472515295326311</v>
      </c>
      <c r="N10" s="11">
        <f t="shared" si="2"/>
        <v>135.9733028589543</v>
      </c>
      <c r="O10" s="11">
        <f t="shared" si="3"/>
        <v>0</v>
      </c>
      <c r="P10" s="9"/>
      <c r="Q10" s="6" t="s">
        <v>2</v>
      </c>
      <c r="R10" s="1">
        <f>AVERAGE(E7:E48)</f>
        <v>2632.6428571428573</v>
      </c>
      <c r="S10" s="3"/>
    </row>
    <row r="11" spans="2:22" x14ac:dyDescent="0.3">
      <c r="B11" s="20">
        <v>43885</v>
      </c>
      <c r="C11" s="4">
        <v>5</v>
      </c>
      <c r="D11" s="4">
        <f>'dpc-covid-19-ita-andamento-naz'!L2</f>
        <v>229</v>
      </c>
      <c r="E11" s="4">
        <f>D11-D10</f>
        <v>74</v>
      </c>
      <c r="F11" s="11">
        <f t="shared" si="0"/>
        <v>668.34799575190061</v>
      </c>
      <c r="G11" s="11">
        <f>F11-F10</f>
        <v>170.85160432425204</v>
      </c>
      <c r="H11" s="11">
        <f t="shared" ref="H11:H44" si="5">G11+CIn</f>
        <v>1650.167923719001</v>
      </c>
      <c r="I11" s="11">
        <f t="shared" ref="I11:I44" si="6">MAX(G11-CIn,0)</f>
        <v>0</v>
      </c>
      <c r="J11" s="11">
        <f>'dpc-covid-19-ita-andamento-naz'!K2</f>
        <v>7</v>
      </c>
      <c r="K11" s="11">
        <f t="shared" si="4"/>
        <v>4</v>
      </c>
      <c r="L11" s="11">
        <f t="shared" si="1"/>
        <v>3.2646251607374013</v>
      </c>
      <c r="M11" s="11">
        <f>L11-L10</f>
        <v>1.4021907701912149</v>
      </c>
      <c r="N11" s="11">
        <f t="shared" si="2"/>
        <v>136.54076847619226</v>
      </c>
      <c r="O11" s="11">
        <f t="shared" si="3"/>
        <v>0</v>
      </c>
      <c r="P11" s="1"/>
      <c r="Q11" s="6" t="s">
        <v>3</v>
      </c>
      <c r="R11" s="1">
        <f>COUNT(E7:E48)-COUNT(R7:R9)</f>
        <v>39</v>
      </c>
    </row>
    <row r="12" spans="2:22" x14ac:dyDescent="0.3">
      <c r="B12" s="10">
        <v>43886</v>
      </c>
      <c r="C12" s="4">
        <v>6</v>
      </c>
      <c r="D12" s="4">
        <f>'dpc-covid-19-ita-andamento-naz'!L3</f>
        <v>322</v>
      </c>
      <c r="E12" s="4">
        <f>D12-D11</f>
        <v>93</v>
      </c>
      <c r="F12" s="11">
        <f t="shared" si="0"/>
        <v>886.05167922158239</v>
      </c>
      <c r="G12" s="11">
        <f>F12-F11</f>
        <v>217.70368346968178</v>
      </c>
      <c r="H12" s="11">
        <f t="shared" si="5"/>
        <v>1697.0200028644308</v>
      </c>
      <c r="I12" s="11">
        <f t="shared" si="6"/>
        <v>0</v>
      </c>
      <c r="J12" s="11">
        <f>'dpc-covid-19-ita-andamento-naz'!K3</f>
        <v>10</v>
      </c>
      <c r="K12" s="11">
        <f t="shared" si="4"/>
        <v>3</v>
      </c>
      <c r="L12" s="11">
        <f t="shared" si="1"/>
        <v>5.5454510112973541</v>
      </c>
      <c r="M12" s="11">
        <f>L12-L11</f>
        <v>2.2808258505599528</v>
      </c>
      <c r="N12" s="11">
        <f t="shared" si="2"/>
        <v>137.41940355656098</v>
      </c>
      <c r="O12" s="11">
        <f t="shared" si="3"/>
        <v>0</v>
      </c>
      <c r="P12" s="1"/>
      <c r="Q12" s="6" t="s">
        <v>4</v>
      </c>
      <c r="R12" s="7" cm="1">
        <f t="array" ref="R12">SQRT(SUM((E7:E48-G7:G48)^2)/dfn)</f>
        <v>731.36053795498549</v>
      </c>
    </row>
    <row r="13" spans="2:22" ht="16.2" x14ac:dyDescent="0.3">
      <c r="B13" s="10">
        <v>43887</v>
      </c>
      <c r="C13" s="4">
        <v>7</v>
      </c>
      <c r="D13" s="4">
        <f>'dpc-covid-19-ita-andamento-naz'!L4</f>
        <v>400</v>
      </c>
      <c r="E13" s="4">
        <f t="shared" ref="E13:E48" si="7">D13-D12</f>
        <v>78</v>
      </c>
      <c r="F13" s="11">
        <f t="shared" si="0"/>
        <v>1159.8920787844304</v>
      </c>
      <c r="G13" s="11">
        <f t="shared" ref="G13:G76" si="8">F13-F12</f>
        <v>273.84039956284801</v>
      </c>
      <c r="H13" s="11">
        <f t="shared" si="5"/>
        <v>1753.1567189575969</v>
      </c>
      <c r="I13" s="11">
        <f t="shared" si="6"/>
        <v>0</v>
      </c>
      <c r="J13" s="11">
        <f>'dpc-covid-19-ita-andamento-naz'!K4</f>
        <v>12</v>
      </c>
      <c r="K13" s="11">
        <f t="shared" si="4"/>
        <v>2</v>
      </c>
      <c r="L13" s="11">
        <f t="shared" si="1"/>
        <v>9.1444141843108042</v>
      </c>
      <c r="M13" s="11">
        <f t="shared" ref="M13:M70" si="9">L13-L12</f>
        <v>3.5989631730134501</v>
      </c>
      <c r="N13" s="11">
        <f t="shared" si="2"/>
        <v>138.73754087901449</v>
      </c>
      <c r="O13" s="11">
        <f t="shared" si="3"/>
        <v>0</v>
      </c>
      <c r="P13" s="1"/>
      <c r="Q13" s="6" t="s">
        <v>5</v>
      </c>
      <c r="R13" s="8" cm="1">
        <f t="array" ref="R13">1-SUM((E7:E48-G7:G48)^2)/SUM((E7:E48-Mean_of_yn)^2)</f>
        <v>0.90137099157810241</v>
      </c>
    </row>
    <row r="14" spans="2:22" x14ac:dyDescent="0.3">
      <c r="B14" s="10">
        <v>43888</v>
      </c>
      <c r="C14" s="4">
        <v>8</v>
      </c>
      <c r="D14" s="4">
        <f>'dpc-covid-19-ita-andamento-naz'!L5</f>
        <v>650</v>
      </c>
      <c r="E14" s="4">
        <f t="shared" si="7"/>
        <v>250</v>
      </c>
      <c r="F14" s="11">
        <f t="shared" si="0"/>
        <v>1500.1167985387447</v>
      </c>
      <c r="G14" s="11">
        <f t="shared" si="8"/>
        <v>340.22471975431426</v>
      </c>
      <c r="H14" s="11">
        <f t="shared" si="5"/>
        <v>1819.5410391490632</v>
      </c>
      <c r="I14" s="11">
        <f t="shared" si="6"/>
        <v>0</v>
      </c>
      <c r="J14" s="11">
        <f>'dpc-covid-19-ita-andamento-naz'!K5</f>
        <v>17</v>
      </c>
      <c r="K14" s="11">
        <f t="shared" si="4"/>
        <v>5</v>
      </c>
      <c r="L14" s="11">
        <f t="shared" si="1"/>
        <v>14.662628568209858</v>
      </c>
      <c r="M14" s="11">
        <f t="shared" si="9"/>
        <v>5.5182143838990534</v>
      </c>
      <c r="N14" s="11">
        <f t="shared" si="2"/>
        <v>140.65679208990008</v>
      </c>
      <c r="O14" s="11">
        <f t="shared" si="3"/>
        <v>0</v>
      </c>
      <c r="P14" s="1"/>
      <c r="Q14" s="6" t="s">
        <v>6</v>
      </c>
      <c r="R14" s="8">
        <f>TINV(0.05,dfn)</f>
        <v>2.0226909200367595</v>
      </c>
    </row>
    <row r="15" spans="2:22" x14ac:dyDescent="0.3">
      <c r="B15" s="10">
        <v>43889</v>
      </c>
      <c r="C15" s="4">
        <v>9</v>
      </c>
      <c r="D15" s="4">
        <f>'dpc-covid-19-ita-andamento-naz'!L6</f>
        <v>888</v>
      </c>
      <c r="E15" s="4">
        <f t="shared" si="7"/>
        <v>238</v>
      </c>
      <c r="F15" s="11">
        <f t="shared" si="0"/>
        <v>1917.861681623597</v>
      </c>
      <c r="G15" s="11">
        <f t="shared" si="8"/>
        <v>417.74488308485229</v>
      </c>
      <c r="H15" s="11">
        <f t="shared" si="5"/>
        <v>1897.0612024796012</v>
      </c>
      <c r="I15" s="11">
        <f t="shared" si="6"/>
        <v>0</v>
      </c>
      <c r="J15" s="11">
        <f>'dpc-covid-19-ita-andamento-naz'!K6</f>
        <v>21</v>
      </c>
      <c r="K15" s="11">
        <f t="shared" si="4"/>
        <v>4</v>
      </c>
      <c r="L15" s="11">
        <f t="shared" si="1"/>
        <v>22.897378961174571</v>
      </c>
      <c r="M15" s="11">
        <f t="shared" si="9"/>
        <v>8.2347503929647132</v>
      </c>
      <c r="N15" s="11">
        <f t="shared" si="2"/>
        <v>143.37332809896574</v>
      </c>
      <c r="O15" s="11">
        <f t="shared" si="3"/>
        <v>0</v>
      </c>
      <c r="P15" s="1"/>
      <c r="Q15" s="6" t="s">
        <v>7</v>
      </c>
      <c r="R15" s="1">
        <f>Critical_tn*SE_of_yn</f>
        <v>1479.3163193947489</v>
      </c>
    </row>
    <row r="16" spans="2:22" x14ac:dyDescent="0.3">
      <c r="B16" s="10">
        <v>43890</v>
      </c>
      <c r="C16" s="4">
        <v>10</v>
      </c>
      <c r="D16" s="4">
        <f>'dpc-covid-19-ita-andamento-naz'!L7</f>
        <v>1128</v>
      </c>
      <c r="E16" s="4">
        <f t="shared" si="7"/>
        <v>240</v>
      </c>
      <c r="F16" s="11">
        <f t="shared" si="0"/>
        <v>2425.0426156550011</v>
      </c>
      <c r="G16" s="11">
        <f t="shared" si="8"/>
        <v>507.18093403140415</v>
      </c>
      <c r="H16" s="11">
        <f t="shared" si="5"/>
        <v>1986.4972534261531</v>
      </c>
      <c r="I16" s="11">
        <f t="shared" si="6"/>
        <v>0</v>
      </c>
      <c r="J16" s="11">
        <f>'dpc-covid-19-ita-andamento-naz'!K7</f>
        <v>29</v>
      </c>
      <c r="K16" s="11">
        <f t="shared" si="4"/>
        <v>8</v>
      </c>
      <c r="L16" s="11">
        <f t="shared" si="1"/>
        <v>34.875515367947237</v>
      </c>
      <c r="M16" s="11">
        <f t="shared" si="9"/>
        <v>11.978136406772666</v>
      </c>
      <c r="N16" s="11">
        <f t="shared" si="2"/>
        <v>147.11671411277371</v>
      </c>
      <c r="O16" s="11">
        <f t="shared" si="3"/>
        <v>0</v>
      </c>
      <c r="P16" s="1"/>
      <c r="Q16" s="29" t="s">
        <v>69</v>
      </c>
      <c r="R16" s="30">
        <f>Kn/(EXP(1)*wn)</f>
        <v>6030.8706792286612</v>
      </c>
    </row>
    <row r="17" spans="2:18" x14ac:dyDescent="0.3">
      <c r="B17" s="20">
        <v>43891</v>
      </c>
      <c r="C17" s="4">
        <v>11</v>
      </c>
      <c r="D17" s="4">
        <f>'dpc-covid-19-ita-andamento-naz'!L8</f>
        <v>1694</v>
      </c>
      <c r="E17" s="4">
        <f t="shared" si="7"/>
        <v>566</v>
      </c>
      <c r="F17" s="11">
        <f t="shared" si="0"/>
        <v>3034.2154295619871</v>
      </c>
      <c r="G17" s="11">
        <f t="shared" si="8"/>
        <v>609.17281390698599</v>
      </c>
      <c r="H17" s="11">
        <f t="shared" si="5"/>
        <v>2088.4891333017349</v>
      </c>
      <c r="I17" s="11">
        <f t="shared" si="6"/>
        <v>0</v>
      </c>
      <c r="J17" s="11">
        <f>'dpc-covid-19-ita-andamento-naz'!K8</f>
        <v>34</v>
      </c>
      <c r="K17" s="11">
        <f t="shared" si="4"/>
        <v>5</v>
      </c>
      <c r="L17" s="11">
        <f t="shared" si="1"/>
        <v>51.882793104544312</v>
      </c>
      <c r="M17" s="11">
        <f t="shared" si="9"/>
        <v>17.007277736597075</v>
      </c>
      <c r="N17" s="11">
        <f t="shared" si="2"/>
        <v>152.1458554425981</v>
      </c>
      <c r="O17" s="11">
        <f t="shared" si="3"/>
        <v>0</v>
      </c>
      <c r="P17" s="1"/>
      <c r="Q17" s="21" t="s">
        <v>57</v>
      </c>
      <c r="R17" s="3"/>
    </row>
    <row r="18" spans="2:18" x14ac:dyDescent="0.3">
      <c r="B18" s="10">
        <v>43892</v>
      </c>
      <c r="C18" s="4">
        <v>12</v>
      </c>
      <c r="D18" s="4">
        <f>'dpc-covid-19-ita-andamento-naz'!L9</f>
        <v>2036</v>
      </c>
      <c r="E18" s="4">
        <f t="shared" si="7"/>
        <v>342</v>
      </c>
      <c r="F18" s="11">
        <f t="shared" si="0"/>
        <v>3758.4069208267201</v>
      </c>
      <c r="G18" s="11">
        <f t="shared" si="8"/>
        <v>724.19149126473303</v>
      </c>
      <c r="H18" s="11">
        <f t="shared" si="5"/>
        <v>2203.5078106594819</v>
      </c>
      <c r="I18" s="11">
        <f t="shared" si="6"/>
        <v>0</v>
      </c>
      <c r="J18" s="11">
        <f>'dpc-covid-19-ita-andamento-naz'!K9</f>
        <v>52</v>
      </c>
      <c r="K18" s="11">
        <f t="shared" si="4"/>
        <v>18</v>
      </c>
      <c r="L18" s="11">
        <f t="shared" si="1"/>
        <v>75.486077488551118</v>
      </c>
      <c r="M18" s="11">
        <f t="shared" si="9"/>
        <v>23.603284384006805</v>
      </c>
      <c r="N18" s="11">
        <f t="shared" si="2"/>
        <v>158.74186209000783</v>
      </c>
      <c r="O18" s="11">
        <f t="shared" si="3"/>
        <v>0</v>
      </c>
      <c r="P18" s="1"/>
      <c r="Q18" s="19" t="s">
        <v>0</v>
      </c>
      <c r="R18" s="5">
        <v>41998</v>
      </c>
    </row>
    <row r="19" spans="2:18" ht="15.6" x14ac:dyDescent="0.35">
      <c r="B19" s="10">
        <v>43893</v>
      </c>
      <c r="C19" s="4">
        <v>13</v>
      </c>
      <c r="D19" s="4">
        <f>'dpc-covid-19-ita-andamento-naz'!L10</f>
        <v>2502</v>
      </c>
      <c r="E19" s="4">
        <f t="shared" si="7"/>
        <v>466</v>
      </c>
      <c r="F19" s="11">
        <f t="shared" si="0"/>
        <v>4610.9213809250314</v>
      </c>
      <c r="G19" s="11">
        <f t="shared" si="8"/>
        <v>852.51446009831125</v>
      </c>
      <c r="H19" s="11">
        <f t="shared" si="5"/>
        <v>2331.8307794930602</v>
      </c>
      <c r="I19" s="11">
        <f t="shared" si="6"/>
        <v>0</v>
      </c>
      <c r="J19" s="11">
        <f>'dpc-covid-19-ita-andamento-naz'!K10</f>
        <v>79</v>
      </c>
      <c r="K19" s="11">
        <f t="shared" si="4"/>
        <v>27</v>
      </c>
      <c r="L19" s="11">
        <f t="shared" si="1"/>
        <v>107.54544658370794</v>
      </c>
      <c r="M19" s="11">
        <f t="shared" si="9"/>
        <v>32.059369095156825</v>
      </c>
      <c r="N19" s="11">
        <f t="shared" si="2"/>
        <v>167.19794680115785</v>
      </c>
      <c r="O19" s="11">
        <f t="shared" si="3"/>
        <v>0</v>
      </c>
      <c r="P19" s="1"/>
      <c r="Q19" s="19" t="s">
        <v>27</v>
      </c>
      <c r="R19" s="5">
        <v>44</v>
      </c>
    </row>
    <row r="20" spans="2:18" x14ac:dyDescent="0.3">
      <c r="B20" s="10">
        <v>43894</v>
      </c>
      <c r="C20" s="4">
        <v>14</v>
      </c>
      <c r="D20" s="4">
        <f>'dpc-covid-19-ita-andamento-naz'!L11</f>
        <v>3089</v>
      </c>
      <c r="E20" s="4">
        <f t="shared" si="7"/>
        <v>587</v>
      </c>
      <c r="F20" s="11">
        <f t="shared" si="0"/>
        <v>5605.1280859743747</v>
      </c>
      <c r="G20" s="11">
        <f t="shared" si="8"/>
        <v>994.20670504934333</v>
      </c>
      <c r="H20" s="11">
        <f t="shared" si="5"/>
        <v>2473.5230244440922</v>
      </c>
      <c r="I20" s="11">
        <f t="shared" si="6"/>
        <v>0</v>
      </c>
      <c r="J20" s="11">
        <f>'dpc-covid-19-ita-andamento-naz'!K11</f>
        <v>107</v>
      </c>
      <c r="K20" s="11">
        <f t="shared" si="4"/>
        <v>28</v>
      </c>
      <c r="L20" s="11">
        <f t="shared" si="1"/>
        <v>150.21366124210994</v>
      </c>
      <c r="M20" s="11">
        <f t="shared" si="9"/>
        <v>42.668214658401993</v>
      </c>
      <c r="N20" s="11">
        <f t="shared" si="2"/>
        <v>177.80679236440301</v>
      </c>
      <c r="O20" s="11">
        <f t="shared" si="3"/>
        <v>0</v>
      </c>
      <c r="P20" s="1"/>
      <c r="Q20" s="19" t="s">
        <v>1</v>
      </c>
      <c r="R20" s="22">
        <v>17.354093993441278</v>
      </c>
    </row>
    <row r="21" spans="2:18" x14ac:dyDescent="0.3">
      <c r="B21" s="20">
        <v>43895</v>
      </c>
      <c r="C21" s="4">
        <v>15</v>
      </c>
      <c r="D21" s="4">
        <f>'dpc-covid-19-ita-andamento-naz'!L12</f>
        <v>3858</v>
      </c>
      <c r="E21" s="4">
        <f t="shared" si="7"/>
        <v>769</v>
      </c>
      <c r="F21" s="11">
        <f t="shared" si="0"/>
        <v>6754.236032091856</v>
      </c>
      <c r="G21" s="11">
        <f t="shared" si="8"/>
        <v>1149.1079461174813</v>
      </c>
      <c r="H21" s="11">
        <f t="shared" si="5"/>
        <v>2628.4242655122302</v>
      </c>
      <c r="I21" s="11">
        <f t="shared" si="6"/>
        <v>0</v>
      </c>
      <c r="J21" s="11">
        <f>'dpc-covid-19-ita-andamento-naz'!K12</f>
        <v>148</v>
      </c>
      <c r="K21" s="11">
        <f t="shared" si="4"/>
        <v>41</v>
      </c>
      <c r="L21" s="11">
        <f t="shared" si="1"/>
        <v>205.92119921596412</v>
      </c>
      <c r="M21" s="11">
        <f t="shared" si="9"/>
        <v>55.707537973854187</v>
      </c>
      <c r="N21" s="11">
        <f t="shared" si="2"/>
        <v>190.84611567985522</v>
      </c>
      <c r="O21" s="11">
        <f t="shared" si="3"/>
        <v>0</v>
      </c>
      <c r="P21" s="1"/>
      <c r="Q21" s="2" t="s">
        <v>2</v>
      </c>
      <c r="R21" s="1">
        <f>AVERAGE(K7:K48)</f>
        <v>313.21428571428572</v>
      </c>
    </row>
    <row r="22" spans="2:18" x14ac:dyDescent="0.3">
      <c r="B22" s="10">
        <v>43896</v>
      </c>
      <c r="C22" s="4">
        <v>16</v>
      </c>
      <c r="D22" s="4">
        <f>'dpc-covid-19-ita-andamento-naz'!L13</f>
        <v>4636</v>
      </c>
      <c r="E22" s="4">
        <f t="shared" si="7"/>
        <v>778</v>
      </c>
      <c r="F22" s="11">
        <f t="shared" si="0"/>
        <v>8071.0626864913511</v>
      </c>
      <c r="G22" s="11">
        <f t="shared" si="8"/>
        <v>1316.8266543994951</v>
      </c>
      <c r="H22" s="11">
        <f t="shared" si="5"/>
        <v>2796.142973794244</v>
      </c>
      <c r="I22" s="11">
        <f t="shared" si="6"/>
        <v>0</v>
      </c>
      <c r="J22" s="11">
        <f>'dpc-covid-19-ita-andamento-naz'!K13</f>
        <v>197</v>
      </c>
      <c r="K22" s="11">
        <f t="shared" si="4"/>
        <v>49</v>
      </c>
      <c r="L22" s="11">
        <f t="shared" si="1"/>
        <v>277.34600069729208</v>
      </c>
      <c r="M22" s="11">
        <f t="shared" si="9"/>
        <v>71.424801481327961</v>
      </c>
      <c r="N22" s="11">
        <f t="shared" si="2"/>
        <v>206.56337918732899</v>
      </c>
      <c r="O22" s="11">
        <f t="shared" si="3"/>
        <v>0</v>
      </c>
      <c r="P22" s="1"/>
      <c r="Q22" s="2" t="s">
        <v>3</v>
      </c>
      <c r="R22" s="1">
        <f>COUNT(K7:K48)-COUNT(R18:R20)</f>
        <v>39</v>
      </c>
    </row>
    <row r="23" spans="2:18" x14ac:dyDescent="0.3">
      <c r="B23" s="10">
        <v>43897</v>
      </c>
      <c r="C23" s="4">
        <v>17</v>
      </c>
      <c r="D23" s="4">
        <f>'dpc-covid-19-ita-andamento-naz'!L14</f>
        <v>5883</v>
      </c>
      <c r="E23" s="4">
        <f t="shared" si="7"/>
        <v>1247</v>
      </c>
      <c r="F23" s="11">
        <f t="shared" si="0"/>
        <v>9567.8036850535136</v>
      </c>
      <c r="G23" s="11">
        <f t="shared" si="8"/>
        <v>1496.7409985621625</v>
      </c>
      <c r="H23" s="11">
        <f t="shared" si="5"/>
        <v>2976.0573179569114</v>
      </c>
      <c r="I23" s="11">
        <f t="shared" si="6"/>
        <v>17.424679167413615</v>
      </c>
      <c r="J23" s="11">
        <f>'dpc-covid-19-ita-andamento-naz'!K14</f>
        <v>233</v>
      </c>
      <c r="K23" s="11">
        <f t="shared" si="4"/>
        <v>36</v>
      </c>
      <c r="L23" s="11">
        <f t="shared" si="1"/>
        <v>367.36814898278885</v>
      </c>
      <c r="M23" s="11">
        <f t="shared" si="9"/>
        <v>90.022148285496769</v>
      </c>
      <c r="N23" s="11">
        <f t="shared" si="2"/>
        <v>225.1607259914978</v>
      </c>
      <c r="O23" s="11">
        <f t="shared" si="3"/>
        <v>0</v>
      </c>
      <c r="P23" s="1"/>
      <c r="Q23" s="2" t="s">
        <v>4</v>
      </c>
      <c r="R23" s="7" cm="1">
        <f t="array" ref="R23">SQRT(SUM((K7:K48-M7:M48)^2)/dfd)</f>
        <v>66.811284100462103</v>
      </c>
    </row>
    <row r="24" spans="2:18" ht="16.2" x14ac:dyDescent="0.3">
      <c r="B24" s="20">
        <v>43898</v>
      </c>
      <c r="C24" s="4">
        <v>18</v>
      </c>
      <c r="D24" s="4">
        <f>'dpc-covid-19-ita-andamento-naz'!L15</f>
        <v>7375</v>
      </c>
      <c r="E24" s="4">
        <f t="shared" si="7"/>
        <v>1492</v>
      </c>
      <c r="F24" s="11">
        <f t="shared" si="0"/>
        <v>11255.810246047753</v>
      </c>
      <c r="G24" s="11">
        <f t="shared" si="8"/>
        <v>1688.0065609942394</v>
      </c>
      <c r="H24" s="11">
        <f t="shared" si="5"/>
        <v>3167.3228803889883</v>
      </c>
      <c r="I24" s="11">
        <f t="shared" si="6"/>
        <v>208.69024159949049</v>
      </c>
      <c r="J24" s="11">
        <f>'dpc-covid-19-ita-andamento-naz'!K15</f>
        <v>366</v>
      </c>
      <c r="K24" s="11">
        <f t="shared" si="4"/>
        <v>133</v>
      </c>
      <c r="L24" s="11">
        <f t="shared" si="1"/>
        <v>479.01080086295917</v>
      </c>
      <c r="M24" s="11">
        <f t="shared" si="9"/>
        <v>111.64265188017032</v>
      </c>
      <c r="N24" s="11">
        <f t="shared" si="2"/>
        <v>246.78122958617135</v>
      </c>
      <c r="O24" s="11">
        <f t="shared" si="3"/>
        <v>0</v>
      </c>
      <c r="P24" s="1"/>
      <c r="Q24" s="2" t="s">
        <v>5</v>
      </c>
      <c r="R24" s="8" cm="1">
        <f t="array" ref="R24">1-SUM((K7:K48-M7:M48)^2)/SUM((K7:K48-Mean_of_yd)^2)</f>
        <v>0.95995122062275251</v>
      </c>
    </row>
    <row r="25" spans="2:18" x14ac:dyDescent="0.3">
      <c r="B25" s="10">
        <v>43899</v>
      </c>
      <c r="C25" s="4">
        <v>19</v>
      </c>
      <c r="D25" s="4">
        <f>'dpc-covid-19-ita-andamento-naz'!L16</f>
        <v>9172</v>
      </c>
      <c r="E25" s="4">
        <f t="shared" si="7"/>
        <v>1797</v>
      </c>
      <c r="F25" s="11">
        <f t="shared" si="0"/>
        <v>13145.380617758949</v>
      </c>
      <c r="G25" s="11">
        <f t="shared" si="8"/>
        <v>1889.5703717111955</v>
      </c>
      <c r="H25" s="11">
        <f t="shared" si="5"/>
        <v>3368.8866911059445</v>
      </c>
      <c r="I25" s="11">
        <f t="shared" si="6"/>
        <v>410.25405231644663</v>
      </c>
      <c r="J25" s="11">
        <f>'dpc-covid-19-ita-andamento-naz'!K16</f>
        <v>463</v>
      </c>
      <c r="K25" s="11">
        <f t="shared" si="4"/>
        <v>97</v>
      </c>
      <c r="L25" s="11">
        <f t="shared" si="1"/>
        <v>615.36967749329415</v>
      </c>
      <c r="M25" s="11">
        <f t="shared" si="9"/>
        <v>136.35887663033498</v>
      </c>
      <c r="N25" s="11">
        <f t="shared" si="2"/>
        <v>271.49745433633598</v>
      </c>
      <c r="O25" s="11">
        <f t="shared" si="3"/>
        <v>1.2202989243339459</v>
      </c>
      <c r="P25" s="1"/>
      <c r="Q25" s="2" t="s">
        <v>6</v>
      </c>
      <c r="R25" s="8">
        <f>TINV(0.05,dfd)</f>
        <v>2.0226909200367595</v>
      </c>
    </row>
    <row r="26" spans="2:18" x14ac:dyDescent="0.3">
      <c r="B26" s="20">
        <v>43900</v>
      </c>
      <c r="C26" s="4">
        <v>20</v>
      </c>
      <c r="D26" s="4">
        <f>'dpc-covid-19-ita-andamento-naz'!L17</f>
        <v>10149</v>
      </c>
      <c r="E26" s="4">
        <f t="shared" si="7"/>
        <v>977</v>
      </c>
      <c r="F26" s="11">
        <f t="shared" si="0"/>
        <v>15245.571179521157</v>
      </c>
      <c r="G26" s="11">
        <f t="shared" si="8"/>
        <v>2100.1905617622087</v>
      </c>
      <c r="H26" s="11">
        <f t="shared" si="5"/>
        <v>3579.5068811569577</v>
      </c>
      <c r="I26" s="11">
        <f t="shared" si="6"/>
        <v>620.87424236745983</v>
      </c>
      <c r="J26" s="11">
        <f>'dpc-covid-19-ita-andamento-naz'!K17</f>
        <v>631</v>
      </c>
      <c r="K26" s="11">
        <f t="shared" si="4"/>
        <v>168</v>
      </c>
      <c r="L26" s="11">
        <f t="shared" si="1"/>
        <v>779.5342345607587</v>
      </c>
      <c r="M26" s="11">
        <f t="shared" si="9"/>
        <v>164.16455706746456</v>
      </c>
      <c r="N26" s="11">
        <f t="shared" si="2"/>
        <v>299.30313477346556</v>
      </c>
      <c r="O26" s="11">
        <f t="shared" si="3"/>
        <v>29.025979361463527</v>
      </c>
      <c r="P26" s="1"/>
      <c r="Q26" s="2" t="s">
        <v>7</v>
      </c>
      <c r="R26" s="1">
        <f>Critical_td*SE_of_yd</f>
        <v>135.13857770600103</v>
      </c>
    </row>
    <row r="27" spans="2:18" x14ac:dyDescent="0.3">
      <c r="B27" s="10">
        <v>43901</v>
      </c>
      <c r="C27" s="4">
        <v>21</v>
      </c>
      <c r="D27" s="4">
        <f>'dpc-covid-19-ita-andamento-naz'!L18</f>
        <v>12462</v>
      </c>
      <c r="E27" s="4">
        <f t="shared" si="7"/>
        <v>2313</v>
      </c>
      <c r="F27" s="11">
        <f t="shared" si="0"/>
        <v>17564.031925560677</v>
      </c>
      <c r="G27" s="11">
        <f t="shared" si="8"/>
        <v>2318.46074603952</v>
      </c>
      <c r="H27" s="11">
        <f t="shared" si="5"/>
        <v>3797.7770654342689</v>
      </c>
      <c r="I27" s="11">
        <f t="shared" si="6"/>
        <v>839.1444266447711</v>
      </c>
      <c r="J27" s="11">
        <f>'dpc-covid-19-ita-andamento-naz'!K18</f>
        <v>827</v>
      </c>
      <c r="K27" s="11">
        <f t="shared" si="4"/>
        <v>196</v>
      </c>
      <c r="L27" s="11">
        <f t="shared" si="1"/>
        <v>974.50418341226805</v>
      </c>
      <c r="M27" s="11">
        <f t="shared" si="9"/>
        <v>194.96994885150934</v>
      </c>
      <c r="N27" s="11">
        <f t="shared" si="2"/>
        <v>330.10852655751034</v>
      </c>
      <c r="O27" s="11">
        <f t="shared" si="3"/>
        <v>59.831371145508314</v>
      </c>
      <c r="P27" s="1"/>
      <c r="Q27" s="27" t="s">
        <v>69</v>
      </c>
      <c r="R27" s="28">
        <f>Kd/(EXP(1)*wd)</f>
        <v>890.29140767345211</v>
      </c>
    </row>
    <row r="28" spans="2:18" x14ac:dyDescent="0.3">
      <c r="B28" s="20">
        <v>43902</v>
      </c>
      <c r="C28" s="4">
        <v>22</v>
      </c>
      <c r="D28" s="4">
        <f>'dpc-covid-19-ita-andamento-naz'!L19</f>
        <v>15113</v>
      </c>
      <c r="E28" s="4">
        <f t="shared" si="7"/>
        <v>2651</v>
      </c>
      <c r="F28" s="11">
        <f t="shared" si="0"/>
        <v>20106.870038708472</v>
      </c>
      <c r="G28" s="11">
        <f t="shared" si="8"/>
        <v>2542.8381131477945</v>
      </c>
      <c r="H28" s="11">
        <f t="shared" si="5"/>
        <v>4022.1544325425434</v>
      </c>
      <c r="I28" s="11">
        <f t="shared" si="6"/>
        <v>1063.5217937530456</v>
      </c>
      <c r="J28" s="11">
        <f>'dpc-covid-19-ita-andamento-naz'!K19</f>
        <v>1016</v>
      </c>
      <c r="K28" s="11">
        <f t="shared" si="4"/>
        <v>189</v>
      </c>
      <c r="L28" s="11">
        <f t="shared" si="1"/>
        <v>1203.1052971146928</v>
      </c>
      <c r="M28" s="11">
        <f t="shared" si="9"/>
        <v>228.60111370242475</v>
      </c>
      <c r="N28" s="11">
        <f t="shared" si="2"/>
        <v>363.73969140842576</v>
      </c>
      <c r="O28" s="11">
        <f t="shared" si="3"/>
        <v>93.462535996423725</v>
      </c>
      <c r="P28" s="1"/>
      <c r="Q28" s="6"/>
    </row>
    <row r="29" spans="2:18" x14ac:dyDescent="0.3">
      <c r="B29" s="10">
        <v>43903</v>
      </c>
      <c r="C29" s="4">
        <v>23</v>
      </c>
      <c r="D29" s="4">
        <f>'dpc-covid-19-ita-andamento-naz'!L20</f>
        <v>17660</v>
      </c>
      <c r="E29" s="4">
        <f t="shared" si="7"/>
        <v>2547</v>
      </c>
      <c r="F29" s="11">
        <f t="shared" si="0"/>
        <v>22878.544166728712</v>
      </c>
      <c r="G29" s="11">
        <f t="shared" si="8"/>
        <v>2771.6741280202405</v>
      </c>
      <c r="H29" s="11">
        <f t="shared" si="5"/>
        <v>4250.9904474149898</v>
      </c>
      <c r="I29" s="11">
        <f t="shared" si="6"/>
        <v>1292.3578086254915</v>
      </c>
      <c r="J29" s="11">
        <f>'dpc-covid-19-ita-andamento-naz'!K20</f>
        <v>1266</v>
      </c>
      <c r="K29" s="11">
        <f t="shared" si="4"/>
        <v>250</v>
      </c>
      <c r="L29" s="11">
        <f t="shared" si="1"/>
        <v>1467.9084041446727</v>
      </c>
      <c r="M29" s="11">
        <f t="shared" si="9"/>
        <v>264.80310702997986</v>
      </c>
      <c r="N29" s="11">
        <f t="shared" si="2"/>
        <v>399.94168473598086</v>
      </c>
      <c r="O29" s="11">
        <f t="shared" si="3"/>
        <v>129.66452932397883</v>
      </c>
      <c r="P29" s="1"/>
    </row>
    <row r="30" spans="2:18" x14ac:dyDescent="0.3">
      <c r="B30" s="10">
        <v>43904</v>
      </c>
      <c r="C30" s="4">
        <v>24</v>
      </c>
      <c r="D30" s="4">
        <f>'dpc-covid-19-ita-andamento-naz'!L21</f>
        <v>21157</v>
      </c>
      <c r="E30" s="4">
        <f t="shared" si="7"/>
        <v>3497</v>
      </c>
      <c r="F30" s="11">
        <f t="shared" si="0"/>
        <v>25881.790904834535</v>
      </c>
      <c r="G30" s="11">
        <f t="shared" si="8"/>
        <v>3003.2467381058232</v>
      </c>
      <c r="H30" s="11">
        <f t="shared" si="5"/>
        <v>4482.5630575005725</v>
      </c>
      <c r="I30" s="11">
        <f t="shared" si="6"/>
        <v>1523.9304187110743</v>
      </c>
      <c r="J30" s="11">
        <f>'dpc-covid-19-ita-andamento-naz'!K21</f>
        <v>1441</v>
      </c>
      <c r="K30" s="11">
        <f t="shared" si="4"/>
        <v>175</v>
      </c>
      <c r="L30" s="11">
        <f t="shared" si="1"/>
        <v>1771.1551732394371</v>
      </c>
      <c r="M30" s="11">
        <f t="shared" si="9"/>
        <v>303.24676909476443</v>
      </c>
      <c r="N30" s="11">
        <f t="shared" si="2"/>
        <v>438.38534680076543</v>
      </c>
      <c r="O30" s="11">
        <f t="shared" si="3"/>
        <v>168.1081913887634</v>
      </c>
      <c r="P30" s="1"/>
    </row>
    <row r="31" spans="2:18" x14ac:dyDescent="0.3">
      <c r="B31" s="10">
        <v>43905</v>
      </c>
      <c r="C31" s="4">
        <v>25</v>
      </c>
      <c r="D31" s="4">
        <f>'dpc-covid-19-ita-andamento-naz'!L22</f>
        <v>24747</v>
      </c>
      <c r="E31" s="4">
        <f t="shared" si="7"/>
        <v>3590</v>
      </c>
      <c r="F31" s="11">
        <f t="shared" si="0"/>
        <v>29117.583914864172</v>
      </c>
      <c r="G31" s="11">
        <f t="shared" si="8"/>
        <v>3235.7930100296362</v>
      </c>
      <c r="H31" s="11">
        <f t="shared" si="5"/>
        <v>4715.1093294243856</v>
      </c>
      <c r="I31" s="11">
        <f t="shared" si="6"/>
        <v>1756.4766906348873</v>
      </c>
      <c r="J31" s="11">
        <f>'dpc-covid-19-ita-andamento-naz'!K22</f>
        <v>1809</v>
      </c>
      <c r="K31" s="11">
        <f t="shared" si="4"/>
        <v>368</v>
      </c>
      <c r="L31" s="11">
        <f t="shared" si="1"/>
        <v>2114.6937736650689</v>
      </c>
      <c r="M31" s="11">
        <f t="shared" si="9"/>
        <v>343.53860042563178</v>
      </c>
      <c r="N31" s="11">
        <f t="shared" si="2"/>
        <v>478.67717813163279</v>
      </c>
      <c r="O31" s="11">
        <f t="shared" si="3"/>
        <v>208.40002271963075</v>
      </c>
      <c r="P31" s="1"/>
    </row>
    <row r="32" spans="2:18" x14ac:dyDescent="0.3">
      <c r="B32" s="10">
        <v>43906</v>
      </c>
      <c r="C32" s="4">
        <v>26</v>
      </c>
      <c r="D32" s="4">
        <f>'dpc-covid-19-ita-andamento-naz'!L23</f>
        <v>27980</v>
      </c>
      <c r="E32" s="4">
        <f t="shared" si="7"/>
        <v>3233</v>
      </c>
      <c r="F32" s="11">
        <f t="shared" si="0"/>
        <v>32585.125117231786</v>
      </c>
      <c r="G32" s="11">
        <f t="shared" si="8"/>
        <v>3467.5412023676145</v>
      </c>
      <c r="H32" s="11">
        <f t="shared" si="5"/>
        <v>4946.8575217623638</v>
      </c>
      <c r="I32" s="11">
        <f t="shared" si="6"/>
        <v>1988.2248829728655</v>
      </c>
      <c r="J32" s="11">
        <f>'dpc-covid-19-ita-andamento-naz'!K23</f>
        <v>2158</v>
      </c>
      <c r="K32" s="11">
        <f t="shared" si="4"/>
        <v>349</v>
      </c>
      <c r="L32" s="11">
        <f t="shared" si="1"/>
        <v>2499.9268175406546</v>
      </c>
      <c r="M32" s="11">
        <f t="shared" si="9"/>
        <v>385.23304387558574</v>
      </c>
      <c r="N32" s="11">
        <f t="shared" si="2"/>
        <v>520.37162158158674</v>
      </c>
      <c r="O32" s="11">
        <f t="shared" si="3"/>
        <v>250.09446616958471</v>
      </c>
      <c r="P32" s="1"/>
    </row>
    <row r="33" spans="2:21" x14ac:dyDescent="0.3">
      <c r="B33" s="10">
        <v>43907</v>
      </c>
      <c r="C33" s="4">
        <v>27</v>
      </c>
      <c r="D33" s="4">
        <f>'dpc-covid-19-ita-andamento-naz'!L24</f>
        <v>31506</v>
      </c>
      <c r="E33" s="4">
        <f t="shared" si="7"/>
        <v>3526</v>
      </c>
      <c r="F33" s="11">
        <f t="shared" si="0"/>
        <v>36281.866509325671</v>
      </c>
      <c r="G33" s="11">
        <f t="shared" si="8"/>
        <v>3696.7413920938852</v>
      </c>
      <c r="H33" s="11">
        <f t="shared" si="5"/>
        <v>5176.0577114886346</v>
      </c>
      <c r="I33" s="11">
        <f t="shared" si="6"/>
        <v>2217.4250726991363</v>
      </c>
      <c r="J33" s="11">
        <f>'dpc-covid-19-ita-andamento-naz'!K24</f>
        <v>2503</v>
      </c>
      <c r="K33" s="11">
        <f t="shared" si="4"/>
        <v>345</v>
      </c>
      <c r="L33" s="11">
        <f t="shared" si="1"/>
        <v>2927.7732223083667</v>
      </c>
      <c r="M33" s="11">
        <f t="shared" si="9"/>
        <v>427.8464047677121</v>
      </c>
      <c r="N33" s="11">
        <f t="shared" si="2"/>
        <v>562.9849824737131</v>
      </c>
      <c r="O33" s="11">
        <f t="shared" si="3"/>
        <v>292.7078270617111</v>
      </c>
      <c r="P33" s="1"/>
    </row>
    <row r="34" spans="2:21" x14ac:dyDescent="0.3">
      <c r="B34" s="10">
        <v>43908</v>
      </c>
      <c r="C34" s="4">
        <v>28</v>
      </c>
      <c r="D34" s="4">
        <f>'dpc-covid-19-ita-andamento-naz'!L25</f>
        <v>35713</v>
      </c>
      <c r="E34" s="4">
        <f t="shared" si="7"/>
        <v>4207</v>
      </c>
      <c r="F34" s="11">
        <f t="shared" si="0"/>
        <v>40203.560416787972</v>
      </c>
      <c r="G34" s="11">
        <f t="shared" si="8"/>
        <v>3921.6939074623006</v>
      </c>
      <c r="H34" s="11">
        <f t="shared" si="5"/>
        <v>5401.0102268570499</v>
      </c>
      <c r="I34" s="11">
        <f t="shared" si="6"/>
        <v>2442.3775880675516</v>
      </c>
      <c r="J34" s="11">
        <f>'dpc-covid-19-ita-andamento-naz'!K25</f>
        <v>2978</v>
      </c>
      <c r="K34" s="11">
        <f t="shared" si="4"/>
        <v>475</v>
      </c>
      <c r="L34" s="11">
        <f t="shared" si="1"/>
        <v>3398.6448375790815</v>
      </c>
      <c r="M34" s="11">
        <f t="shared" si="9"/>
        <v>470.87161527071476</v>
      </c>
      <c r="N34" s="11">
        <f t="shared" si="2"/>
        <v>606.01019297671576</v>
      </c>
      <c r="O34" s="11">
        <f t="shared" si="3"/>
        <v>335.73303756471375</v>
      </c>
      <c r="U34" s="1"/>
    </row>
    <row r="35" spans="2:21" x14ac:dyDescent="0.3">
      <c r="B35" s="10">
        <v>43909</v>
      </c>
      <c r="C35" s="4">
        <v>29</v>
      </c>
      <c r="D35" s="4">
        <f>'dpc-covid-19-ita-andamento-naz'!L26</f>
        <v>41035</v>
      </c>
      <c r="E35" s="4">
        <f t="shared" si="7"/>
        <v>5322</v>
      </c>
      <c r="F35" s="11">
        <f t="shared" si="0"/>
        <v>44344.335385762875</v>
      </c>
      <c r="G35" s="11">
        <f t="shared" si="8"/>
        <v>4140.7749689749035</v>
      </c>
      <c r="H35" s="11">
        <f t="shared" si="5"/>
        <v>5620.0912883696528</v>
      </c>
      <c r="I35" s="11">
        <f t="shared" si="6"/>
        <v>2661.4586495801545</v>
      </c>
      <c r="J35" s="11">
        <f>'dpc-covid-19-ita-andamento-naz'!K26</f>
        <v>3405</v>
      </c>
      <c r="K35" s="11">
        <f t="shared" si="4"/>
        <v>427</v>
      </c>
      <c r="L35" s="11">
        <f t="shared" si="1"/>
        <v>3912.4379193915452</v>
      </c>
      <c r="M35" s="11">
        <f t="shared" si="9"/>
        <v>513.7930818124637</v>
      </c>
      <c r="N35" s="11">
        <f t="shared" si="2"/>
        <v>648.9316595184647</v>
      </c>
      <c r="O35" s="11">
        <f t="shared" si="3"/>
        <v>378.6545041064627</v>
      </c>
    </row>
    <row r="36" spans="2:21" x14ac:dyDescent="0.3">
      <c r="B36" s="10">
        <v>43910</v>
      </c>
      <c r="C36" s="4">
        <v>30</v>
      </c>
      <c r="D36" s="4">
        <f>'dpc-covid-19-ita-andamento-naz'!L27</f>
        <v>47021</v>
      </c>
      <c r="E36" s="4">
        <f t="shared" si="7"/>
        <v>5986</v>
      </c>
      <c r="F36" s="11">
        <f t="shared" si="0"/>
        <v>48696.794479642071</v>
      </c>
      <c r="G36" s="11">
        <f t="shared" si="8"/>
        <v>4352.4590938791953</v>
      </c>
      <c r="H36" s="11">
        <f t="shared" si="5"/>
        <v>5831.7754132739447</v>
      </c>
      <c r="I36" s="11">
        <f t="shared" si="6"/>
        <v>2873.1427744844464</v>
      </c>
      <c r="J36" s="11">
        <f>'dpc-covid-19-ita-andamento-naz'!K27</f>
        <v>4032</v>
      </c>
      <c r="K36" s="11">
        <f t="shared" si="4"/>
        <v>627</v>
      </c>
      <c r="L36" s="11">
        <f t="shared" si="1"/>
        <v>4468.5388528368067</v>
      </c>
      <c r="M36" s="11">
        <f t="shared" si="9"/>
        <v>556.10093344526149</v>
      </c>
      <c r="N36" s="11">
        <f t="shared" si="2"/>
        <v>691.23951115126249</v>
      </c>
      <c r="O36" s="11">
        <f t="shared" si="3"/>
        <v>420.96235573926049</v>
      </c>
    </row>
    <row r="37" spans="2:21" x14ac:dyDescent="0.3">
      <c r="B37" s="10">
        <v>43911</v>
      </c>
      <c r="C37" s="4">
        <v>31</v>
      </c>
      <c r="D37" s="4">
        <f>'dpc-covid-19-ita-andamento-naz'!L28</f>
        <v>53578</v>
      </c>
      <c r="E37" s="4">
        <f t="shared" si="7"/>
        <v>6557</v>
      </c>
      <c r="F37" s="11">
        <f t="shared" si="0"/>
        <v>53252.132450368321</v>
      </c>
      <c r="G37" s="11">
        <f t="shared" si="8"/>
        <v>4555.3379707262502</v>
      </c>
      <c r="H37" s="11">
        <f t="shared" si="5"/>
        <v>6034.6542901209996</v>
      </c>
      <c r="I37" s="11">
        <f t="shared" si="6"/>
        <v>3076.0216513315013</v>
      </c>
      <c r="J37" s="11">
        <f>'dpc-covid-19-ita-andamento-naz'!K28</f>
        <v>4825</v>
      </c>
      <c r="K37" s="11">
        <f t="shared" si="4"/>
        <v>793</v>
      </c>
      <c r="L37" s="11">
        <f t="shared" si="1"/>
        <v>5065.8429539533699</v>
      </c>
      <c r="M37" s="11">
        <f t="shared" si="9"/>
        <v>597.30410111656329</v>
      </c>
      <c r="N37" s="11">
        <f t="shared" si="2"/>
        <v>732.44267882256429</v>
      </c>
      <c r="O37" s="11">
        <f t="shared" si="3"/>
        <v>462.16552341056229</v>
      </c>
    </row>
    <row r="38" spans="2:21" x14ac:dyDescent="0.3">
      <c r="B38" s="10">
        <v>43912</v>
      </c>
      <c r="C38" s="4">
        <v>32</v>
      </c>
      <c r="D38" s="4">
        <f>'dpc-covid-19-ita-andamento-naz'!L29</f>
        <v>59138</v>
      </c>
      <c r="E38" s="4">
        <f t="shared" si="7"/>
        <v>5560</v>
      </c>
      <c r="F38" s="11">
        <f t="shared" si="0"/>
        <v>58000.268103092851</v>
      </c>
      <c r="G38" s="11">
        <f t="shared" si="8"/>
        <v>4748.1356527245298</v>
      </c>
      <c r="H38" s="11">
        <f t="shared" si="5"/>
        <v>6227.4519721192792</v>
      </c>
      <c r="I38" s="11">
        <f t="shared" si="6"/>
        <v>3268.8193333297809</v>
      </c>
      <c r="J38" s="11">
        <f>'dpc-covid-19-ita-andamento-naz'!K29</f>
        <v>5476</v>
      </c>
      <c r="K38" s="11">
        <f t="shared" si="4"/>
        <v>651</v>
      </c>
      <c r="L38" s="11">
        <f t="shared" si="1"/>
        <v>5702.7847429824369</v>
      </c>
      <c r="M38" s="11">
        <f t="shared" si="9"/>
        <v>636.94178902906697</v>
      </c>
      <c r="N38" s="11">
        <f t="shared" si="2"/>
        <v>772.08036673506797</v>
      </c>
      <c r="O38" s="11">
        <f t="shared" si="3"/>
        <v>501.80321132306597</v>
      </c>
    </row>
    <row r="39" spans="2:21" x14ac:dyDescent="0.3">
      <c r="B39" s="20">
        <v>43913</v>
      </c>
      <c r="C39" s="4">
        <v>33</v>
      </c>
      <c r="D39" s="4">
        <f>'dpc-covid-19-ita-andamento-naz'!L30</f>
        <v>63927</v>
      </c>
      <c r="E39" s="4">
        <f t="shared" si="7"/>
        <v>4789</v>
      </c>
      <c r="F39" s="11">
        <f t="shared" ref="F39:F70" si="10">Kn*EXP(-EXP(-($C39-t0n)/wn))</f>
        <v>62929.988150329489</v>
      </c>
      <c r="G39" s="11">
        <f t="shared" si="8"/>
        <v>4929.7200472366385</v>
      </c>
      <c r="H39" s="11">
        <f t="shared" si="5"/>
        <v>6409.0363666313879</v>
      </c>
      <c r="I39" s="11">
        <f t="shared" si="6"/>
        <v>3450.4037278418896</v>
      </c>
      <c r="J39" s="11">
        <f>'dpc-covid-19-ita-andamento-naz'!K30</f>
        <v>6077</v>
      </c>
      <c r="K39" s="11">
        <f t="shared" si="4"/>
        <v>601</v>
      </c>
      <c r="L39" s="11">
        <f t="shared" ref="L39:L70" si="11">Kd*EXP(-EXP(-($C39-t0d)/wd))</f>
        <v>6377.3777800339758</v>
      </c>
      <c r="M39" s="11">
        <f t="shared" si="9"/>
        <v>674.59303705153889</v>
      </c>
      <c r="N39" s="11">
        <f t="shared" si="2"/>
        <v>809.73161475753989</v>
      </c>
      <c r="O39" s="11">
        <f t="shared" si="3"/>
        <v>539.45445934553788</v>
      </c>
    </row>
    <row r="40" spans="2:21" x14ac:dyDescent="0.3">
      <c r="B40" s="10">
        <v>43914</v>
      </c>
      <c r="C40" s="4">
        <v>34</v>
      </c>
      <c r="D40" s="4">
        <f>'dpc-covid-19-ita-andamento-naz'!L31</f>
        <v>69176</v>
      </c>
      <c r="E40" s="4">
        <f t="shared" si="7"/>
        <v>5249</v>
      </c>
      <c r="F40" s="11">
        <f t="shared" si="10"/>
        <v>68029.098940892145</v>
      </c>
      <c r="G40" s="11">
        <f t="shared" si="8"/>
        <v>5099.1107905626559</v>
      </c>
      <c r="H40" s="11">
        <f t="shared" si="5"/>
        <v>6578.4271099574053</v>
      </c>
      <c r="I40" s="11">
        <f t="shared" si="6"/>
        <v>3619.794471167907</v>
      </c>
      <c r="J40" s="11">
        <f>'dpc-covid-19-ita-andamento-naz'!K31</f>
        <v>6820</v>
      </c>
      <c r="K40" s="11">
        <f t="shared" si="4"/>
        <v>743</v>
      </c>
      <c r="L40" s="11">
        <f t="shared" si="11"/>
        <v>7087.2619868625306</v>
      </c>
      <c r="M40" s="11">
        <f t="shared" si="9"/>
        <v>709.88420682855485</v>
      </c>
      <c r="N40" s="11">
        <f t="shared" si="2"/>
        <v>845.02278453455585</v>
      </c>
      <c r="O40" s="11">
        <f t="shared" si="3"/>
        <v>574.74562912255385</v>
      </c>
    </row>
    <row r="41" spans="2:21" x14ac:dyDescent="0.3">
      <c r="B41" s="10">
        <v>43915</v>
      </c>
      <c r="C41" s="4">
        <v>35</v>
      </c>
      <c r="D41" s="4">
        <f>'dpc-covid-19-ita-andamento-naz'!L32</f>
        <v>74386</v>
      </c>
      <c r="E41" s="4">
        <f t="shared" si="7"/>
        <v>5210</v>
      </c>
      <c r="F41" s="11">
        <f t="shared" si="10"/>
        <v>73284.582631144149</v>
      </c>
      <c r="G41" s="11">
        <f t="shared" si="8"/>
        <v>5255.4836902520037</v>
      </c>
      <c r="H41" s="11">
        <f t="shared" si="5"/>
        <v>6734.8000096467531</v>
      </c>
      <c r="I41" s="11">
        <f t="shared" si="6"/>
        <v>3776.1673708572548</v>
      </c>
      <c r="J41" s="11">
        <f>'dpc-covid-19-ita-andamento-naz'!K32</f>
        <v>7503</v>
      </c>
      <c r="K41" s="11">
        <f t="shared" si="4"/>
        <v>683</v>
      </c>
      <c r="L41" s="11">
        <f t="shared" si="11"/>
        <v>7829.756332552357</v>
      </c>
      <c r="M41" s="11">
        <f t="shared" si="9"/>
        <v>742.49434568982633</v>
      </c>
      <c r="N41" s="11">
        <f t="shared" si="2"/>
        <v>877.63292339582733</v>
      </c>
      <c r="O41" s="11">
        <f t="shared" si="3"/>
        <v>607.35576798382533</v>
      </c>
    </row>
    <row r="42" spans="2:21" x14ac:dyDescent="0.3">
      <c r="B42" s="10">
        <v>43916</v>
      </c>
      <c r="C42" s="4">
        <v>36</v>
      </c>
      <c r="D42" s="4">
        <f>'dpc-covid-19-ita-andamento-naz'!L33</f>
        <v>80539</v>
      </c>
      <c r="E42" s="4">
        <f t="shared" si="7"/>
        <v>6153</v>
      </c>
      <c r="F42" s="11">
        <f t="shared" si="10"/>
        <v>78682.754622055538</v>
      </c>
      <c r="G42" s="11">
        <f t="shared" si="8"/>
        <v>5398.171990911389</v>
      </c>
      <c r="H42" s="11">
        <f t="shared" si="5"/>
        <v>6877.4883103061384</v>
      </c>
      <c r="I42" s="11">
        <f t="shared" si="6"/>
        <v>3918.8556715166401</v>
      </c>
      <c r="J42" s="11">
        <f>'dpc-covid-19-ita-andamento-naz'!K33</f>
        <v>8165</v>
      </c>
      <c r="K42" s="11">
        <f t="shared" si="4"/>
        <v>662</v>
      </c>
      <c r="L42" s="11">
        <f t="shared" si="11"/>
        <v>8601.914818702824</v>
      </c>
      <c r="M42" s="11">
        <f t="shared" si="9"/>
        <v>772.15848615046707</v>
      </c>
      <c r="N42" s="11">
        <f t="shared" si="2"/>
        <v>907.29706385646807</v>
      </c>
      <c r="O42" s="11">
        <f t="shared" si="3"/>
        <v>637.01990844446607</v>
      </c>
    </row>
    <row r="43" spans="2:21" x14ac:dyDescent="0.3">
      <c r="B43" s="10">
        <v>43917</v>
      </c>
      <c r="C43" s="4">
        <v>37</v>
      </c>
      <c r="D43" s="4">
        <f>'dpc-covid-19-ita-andamento-naz'!L34</f>
        <v>86498</v>
      </c>
      <c r="E43" s="4">
        <f t="shared" si="7"/>
        <v>5959</v>
      </c>
      <c r="F43" s="11">
        <f t="shared" si="10"/>
        <v>84209.419396184283</v>
      </c>
      <c r="G43" s="11">
        <f t="shared" si="8"/>
        <v>5526.6647741287452</v>
      </c>
      <c r="H43" s="11">
        <f t="shared" si="5"/>
        <v>7005.9810935234946</v>
      </c>
      <c r="I43" s="11">
        <f t="shared" si="6"/>
        <v>4047.3484547339963</v>
      </c>
      <c r="J43" s="11">
        <f>'dpc-covid-19-ita-andamento-naz'!K34</f>
        <v>9134</v>
      </c>
      <c r="K43" s="11">
        <f t="shared" si="4"/>
        <v>969</v>
      </c>
      <c r="L43" s="11">
        <f t="shared" si="11"/>
        <v>9400.5838403635826</v>
      </c>
      <c r="M43" s="11">
        <f t="shared" si="9"/>
        <v>798.66902166075852</v>
      </c>
      <c r="N43" s="11">
        <f t="shared" si="2"/>
        <v>933.80759936675952</v>
      </c>
      <c r="O43" s="11">
        <f t="shared" si="3"/>
        <v>663.53044395475752</v>
      </c>
    </row>
    <row r="44" spans="2:21" x14ac:dyDescent="0.3">
      <c r="B44" s="10">
        <v>43918</v>
      </c>
      <c r="C44" s="4">
        <v>38</v>
      </c>
      <c r="D44" s="4">
        <f>'dpc-covid-19-ita-andamento-naz'!L35</f>
        <v>92472</v>
      </c>
      <c r="E44" s="4">
        <f t="shared" si="7"/>
        <v>5974</v>
      </c>
      <c r="F44" s="11">
        <f t="shared" si="10"/>
        <v>89850.022235983808</v>
      </c>
      <c r="G44" s="11">
        <f t="shared" si="8"/>
        <v>5640.6028397995251</v>
      </c>
      <c r="H44" s="11">
        <f t="shared" si="5"/>
        <v>7119.9191591942745</v>
      </c>
      <c r="I44" s="11">
        <f t="shared" si="6"/>
        <v>4161.2865204047757</v>
      </c>
      <c r="J44" s="11">
        <f>'dpc-covid-19-ita-andamento-naz'!K35</f>
        <v>10023</v>
      </c>
      <c r="K44" s="11">
        <f t="shared" si="4"/>
        <v>889</v>
      </c>
      <c r="L44" s="11">
        <f t="shared" si="11"/>
        <v>10222.45920073647</v>
      </c>
      <c r="M44" s="11">
        <f t="shared" si="9"/>
        <v>821.87536037288737</v>
      </c>
      <c r="N44" s="11">
        <f t="shared" si="2"/>
        <v>957.01393807888837</v>
      </c>
      <c r="O44" s="11">
        <f t="shared" si="3"/>
        <v>686.73678266688637</v>
      </c>
    </row>
    <row r="45" spans="2:21" x14ac:dyDescent="0.3">
      <c r="B45" s="10">
        <v>43919</v>
      </c>
      <c r="C45" s="4">
        <v>39</v>
      </c>
      <c r="D45" s="4">
        <f>'dpc-covid-19-ita-andamento-naz'!L36</f>
        <v>97689</v>
      </c>
      <c r="E45" s="4">
        <f t="shared" si="7"/>
        <v>5217</v>
      </c>
      <c r="F45" s="11">
        <f t="shared" si="10"/>
        <v>95589.794672461663</v>
      </c>
      <c r="G45" s="11">
        <f t="shared" si="8"/>
        <v>5739.7724364778551</v>
      </c>
      <c r="H45" s="11">
        <f>G45+CIn</f>
        <v>7219.0887558726045</v>
      </c>
      <c r="I45" s="11">
        <f>MAX(G45-CIn,0)</f>
        <v>4260.4561170831057</v>
      </c>
      <c r="J45" s="11">
        <f>'dpc-covid-19-ita-andamento-naz'!K36</f>
        <v>10779</v>
      </c>
      <c r="K45" s="11">
        <f t="shared" si="4"/>
        <v>756</v>
      </c>
      <c r="L45" s="11">
        <f t="shared" si="11"/>
        <v>11064.141299534376</v>
      </c>
      <c r="M45" s="11">
        <f t="shared" si="9"/>
        <v>841.68209879790629</v>
      </c>
      <c r="N45" s="11">
        <f t="shared" si="2"/>
        <v>976.82067650390729</v>
      </c>
      <c r="O45" s="11">
        <f t="shared" si="3"/>
        <v>706.54352109190529</v>
      </c>
    </row>
    <row r="46" spans="2:21" x14ac:dyDescent="0.3">
      <c r="B46" s="10">
        <v>43920</v>
      </c>
      <c r="C46" s="4">
        <v>40</v>
      </c>
      <c r="D46" s="4">
        <f>'dpc-covid-19-ita-andamento-naz'!L37</f>
        <v>101739</v>
      </c>
      <c r="E46" s="4">
        <f t="shared" si="7"/>
        <v>4050</v>
      </c>
      <c r="F46" s="11">
        <f t="shared" si="10"/>
        <v>101413.89188686482</v>
      </c>
      <c r="G46" s="11">
        <f t="shared" si="8"/>
        <v>5824.0972144031548</v>
      </c>
      <c r="H46" s="11">
        <f>G46+CIn</f>
        <v>7303.4135337979042</v>
      </c>
      <c r="I46" s="11">
        <f>MAX(G46-CIn,0)</f>
        <v>4344.7808950084054</v>
      </c>
      <c r="J46" s="11">
        <f>'dpc-covid-19-ita-andamento-naz'!K37</f>
        <v>11591</v>
      </c>
      <c r="K46" s="11">
        <f t="shared" si="4"/>
        <v>812</v>
      </c>
      <c r="L46" s="11">
        <f t="shared" si="11"/>
        <v>11922.187277839532</v>
      </c>
      <c r="M46" s="11">
        <f t="shared" si="9"/>
        <v>858.04597830515559</v>
      </c>
      <c r="N46" s="11">
        <f t="shared" si="2"/>
        <v>993.18455601115659</v>
      </c>
      <c r="O46" s="11">
        <f t="shared" si="3"/>
        <v>722.90740059915458</v>
      </c>
    </row>
    <row r="47" spans="2:21" x14ac:dyDescent="0.3">
      <c r="B47" s="10">
        <v>43921</v>
      </c>
      <c r="C47" s="4">
        <v>41</v>
      </c>
      <c r="D47" s="4">
        <f>'dpc-covid-19-ita-andamento-naz'!L38</f>
        <v>105792</v>
      </c>
      <c r="E47" s="4">
        <f t="shared" si="7"/>
        <v>4053</v>
      </c>
      <c r="F47" s="11">
        <f t="shared" si="10"/>
        <v>107307.5206556687</v>
      </c>
      <c r="G47" s="11">
        <f t="shared" si="8"/>
        <v>5893.6287688038865</v>
      </c>
      <c r="H47" s="11">
        <f>G47+CIn</f>
        <v>7372.9450881986359</v>
      </c>
      <c r="I47" s="11">
        <f>MAX(G47-CIn,0)</f>
        <v>4414.3124494091371</v>
      </c>
      <c r="J47" s="11">
        <f>'dpc-covid-19-ita-andamento-naz'!K38</f>
        <v>12428</v>
      </c>
      <c r="K47" s="11">
        <f t="shared" si="4"/>
        <v>837</v>
      </c>
      <c r="L47" s="11">
        <f t="shared" si="11"/>
        <v>12793.159170060733</v>
      </c>
      <c r="M47" s="11">
        <f t="shared" si="9"/>
        <v>870.97189222120141</v>
      </c>
      <c r="N47" s="11">
        <f t="shared" ref="N47:N48" si="12">M47+CId</f>
        <v>1006.1104699272024</v>
      </c>
      <c r="O47" s="11">
        <f t="shared" ref="O47:O48" si="13">MAX(M47-CId,0)</f>
        <v>735.83331451520041</v>
      </c>
    </row>
    <row r="48" spans="2:21" x14ac:dyDescent="0.3">
      <c r="B48" s="10">
        <v>43922</v>
      </c>
      <c r="C48" s="4">
        <v>42</v>
      </c>
      <c r="D48" s="4">
        <f>'dpc-covid-19-ita-andamento-naz'!L39</f>
        <v>110574</v>
      </c>
      <c r="E48" s="4">
        <f t="shared" si="7"/>
        <v>4782</v>
      </c>
      <c r="F48" s="11">
        <f t="shared" si="10"/>
        <v>113256.05678091326</v>
      </c>
      <c r="G48" s="11">
        <f t="shared" si="8"/>
        <v>5948.5361252445582</v>
      </c>
      <c r="H48" s="11">
        <f>G48+CIn</f>
        <v>7427.8524446393076</v>
      </c>
      <c r="I48" s="11">
        <f>MAX(G48-CIn,0)</f>
        <v>4469.2198058498088</v>
      </c>
      <c r="J48" s="11">
        <f>'dpc-covid-19-ita-andamento-naz'!K39</f>
        <v>13155</v>
      </c>
      <c r="K48" s="11">
        <f t="shared" si="4"/>
        <v>727</v>
      </c>
      <c r="L48" s="11">
        <f t="shared" si="11"/>
        <v>13673.667373013937</v>
      </c>
      <c r="M48" s="11">
        <f t="shared" si="9"/>
        <v>880.50820295320409</v>
      </c>
      <c r="N48" s="11">
        <f t="shared" si="12"/>
        <v>1015.6467806592051</v>
      </c>
      <c r="O48" s="11">
        <f t="shared" si="13"/>
        <v>745.36962524720309</v>
      </c>
    </row>
    <row r="49" spans="2:13" x14ac:dyDescent="0.3">
      <c r="B49" s="10">
        <v>43923</v>
      </c>
      <c r="C49" s="4">
        <v>43</v>
      </c>
      <c r="E49" s="4"/>
      <c r="F49" s="11">
        <f t="shared" si="10"/>
        <v>119245.15127630238</v>
      </c>
      <c r="G49" s="11">
        <f t="shared" si="8"/>
        <v>5989.0944953891158</v>
      </c>
      <c r="K49" s="11"/>
      <c r="L49" s="11">
        <f t="shared" si="11"/>
        <v>14560.408983317269</v>
      </c>
      <c r="M49" s="11">
        <f t="shared" si="9"/>
        <v>886.74161030333198</v>
      </c>
    </row>
    <row r="50" spans="2:13" x14ac:dyDescent="0.3">
      <c r="B50" s="10">
        <v>43924</v>
      </c>
      <c r="C50" s="4">
        <v>44</v>
      </c>
      <c r="E50" s="4"/>
      <c r="F50" s="11">
        <f t="shared" si="10"/>
        <v>125260.82487900036</v>
      </c>
      <c r="G50" s="11">
        <f t="shared" si="8"/>
        <v>6015.6736026979779</v>
      </c>
      <c r="K50" s="11"/>
      <c r="L50" s="11">
        <f t="shared" si="11"/>
        <v>15450.200770318235</v>
      </c>
      <c r="M50" s="11">
        <f t="shared" si="9"/>
        <v>889.791787000966</v>
      </c>
    </row>
    <row r="51" spans="2:13" x14ac:dyDescent="0.3">
      <c r="B51" s="10">
        <v>43925</v>
      </c>
      <c r="C51" s="4">
        <v>45</v>
      </c>
      <c r="E51" s="4"/>
      <c r="F51" s="11">
        <f t="shared" si="10"/>
        <v>131289.55072414668</v>
      </c>
      <c r="G51" s="11">
        <f t="shared" si="8"/>
        <v>6028.7258451463276</v>
      </c>
      <c r="K51" s="11"/>
      <c r="L51" s="11">
        <f t="shared" si="11"/>
        <v>16340.00673850058</v>
      </c>
      <c r="M51" s="11">
        <f t="shared" si="9"/>
        <v>889.80596818234517</v>
      </c>
    </row>
    <row r="52" spans="2:13" x14ac:dyDescent="0.3">
      <c r="B52" s="10">
        <v>43926</v>
      </c>
      <c r="C52" s="4">
        <v>46</v>
      </c>
      <c r="E52" s="4"/>
      <c r="F52" s="11">
        <f t="shared" si="10"/>
        <v>137318.32525185018</v>
      </c>
      <c r="G52" s="11">
        <f t="shared" si="8"/>
        <v>6028.7745277034992</v>
      </c>
      <c r="K52" s="11"/>
      <c r="L52" s="11">
        <f t="shared" si="11"/>
        <v>17226.960388903586</v>
      </c>
      <c r="M52" s="11">
        <f t="shared" si="9"/>
        <v>886.95365040300567</v>
      </c>
    </row>
    <row r="53" spans="2:13" x14ac:dyDescent="0.3">
      <c r="B53" s="10">
        <v>43927</v>
      </c>
      <c r="C53" s="4">
        <v>47</v>
      </c>
      <c r="E53" s="4"/>
      <c r="F53" s="11">
        <f t="shared" si="10"/>
        <v>143334.72761428962</v>
      </c>
      <c r="G53" s="11">
        <f t="shared" si="8"/>
        <v>6016.4023624394322</v>
      </c>
      <c r="K53" s="11"/>
      <c r="L53" s="11">
        <f t="shared" si="11"/>
        <v>18108.381913538891</v>
      </c>
      <c r="M53" s="11">
        <f t="shared" si="9"/>
        <v>881.4215246353051</v>
      </c>
    </row>
    <row r="54" spans="2:13" x14ac:dyDescent="0.3">
      <c r="B54" s="10">
        <v>43928</v>
      </c>
      <c r="C54" s="4">
        <v>48</v>
      </c>
      <c r="E54" s="4"/>
      <c r="F54" s="11">
        <f t="shared" si="10"/>
        <v>149326.96801416675</v>
      </c>
      <c r="G54" s="11">
        <f t="shared" si="8"/>
        <v>5992.2403998771333</v>
      </c>
      <c r="K54" s="11"/>
      <c r="L54" s="11">
        <f t="shared" si="11"/>
        <v>18981.790651534237</v>
      </c>
      <c r="M54" s="11">
        <f t="shared" si="9"/>
        <v>873.40873799534529</v>
      </c>
    </row>
    <row r="55" spans="2:13" x14ac:dyDescent="0.3">
      <c r="B55" s="10">
        <v>43929</v>
      </c>
      <c r="C55" s="4">
        <v>49</v>
      </c>
      <c r="E55" s="4"/>
      <c r="F55" s="11">
        <f t="shared" si="10"/>
        <v>155283.92553663824</v>
      </c>
      <c r="G55" s="11">
        <f t="shared" si="8"/>
        <v>5956.9575224714936</v>
      </c>
      <c r="K55" s="11"/>
      <c r="L55" s="11">
        <f t="shared" si="11"/>
        <v>19844.913203192405</v>
      </c>
      <c r="M55" s="11">
        <f t="shared" si="9"/>
        <v>863.12255165816896</v>
      </c>
    </row>
    <row r="56" spans="2:13" x14ac:dyDescent="0.3">
      <c r="B56" s="10">
        <v>43930</v>
      </c>
      <c r="C56" s="4">
        <v>50</v>
      </c>
      <c r="E56" s="4"/>
      <c r="F56" s="11">
        <f t="shared" si="10"/>
        <v>161195.17613718222</v>
      </c>
      <c r="G56" s="11">
        <f t="shared" si="8"/>
        <v>5911.2506005439791</v>
      </c>
      <c r="K56" s="11"/>
      <c r="L56" s="11">
        <f t="shared" si="11"/>
        <v>20695.687641386416</v>
      </c>
      <c r="M56" s="11">
        <f t="shared" si="9"/>
        <v>850.77443819401014</v>
      </c>
    </row>
    <row r="57" spans="2:13" x14ac:dyDescent="0.3">
      <c r="B57" s="10">
        <v>43931</v>
      </c>
      <c r="C57" s="4">
        <v>51</v>
      </c>
      <c r="E57" s="4"/>
      <c r="F57" s="11">
        <f t="shared" si="10"/>
        <v>167051.01152027908</v>
      </c>
      <c r="G57" s="11">
        <f t="shared" si="8"/>
        <v>5855.8353830968554</v>
      </c>
      <c r="K57" s="11"/>
      <c r="L57" s="11">
        <f t="shared" si="11"/>
        <v>21532.264282109692</v>
      </c>
      <c r="M57" s="11">
        <f t="shared" si="9"/>
        <v>836.5766407232768</v>
      </c>
    </row>
    <row r="58" spans="2:13" x14ac:dyDescent="0.3">
      <c r="B58" s="10">
        <v>43932</v>
      </c>
      <c r="C58" s="4">
        <v>52</v>
      </c>
      <c r="E58" s="4"/>
      <c r="F58" s="11">
        <f t="shared" si="10"/>
        <v>172842.44969123226</v>
      </c>
      <c r="G58" s="11">
        <f t="shared" si="8"/>
        <v>5791.4381709531881</v>
      </c>
      <c r="K58" s="11"/>
      <c r="L58" s="11">
        <f t="shared" si="11"/>
        <v>22353.003481043677</v>
      </c>
      <c r="M58" s="11">
        <f t="shared" si="9"/>
        <v>820.73919893398488</v>
      </c>
    </row>
    <row r="59" spans="2:13" x14ac:dyDescent="0.3">
      <c r="B59" s="10">
        <v>43933</v>
      </c>
      <c r="C59" s="4">
        <v>53</v>
      </c>
      <c r="E59" s="4"/>
      <c r="F59" s="11">
        <f t="shared" si="10"/>
        <v>178561.23798900124</v>
      </c>
      <c r="G59" s="11">
        <f t="shared" si="8"/>
        <v>5718.7882977689733</v>
      </c>
      <c r="K59" s="11"/>
      <c r="L59" s="11">
        <f t="shared" si="11"/>
        <v>23156.470914083544</v>
      </c>
      <c r="M59" s="11">
        <f t="shared" si="9"/>
        <v>803.46743303986659</v>
      </c>
    </row>
    <row r="60" spans="2:13" x14ac:dyDescent="0.3">
      <c r="B60" s="10">
        <v>43934</v>
      </c>
      <c r="C60" s="4">
        <v>54</v>
      </c>
      <c r="E60" s="4"/>
      <c r="F60" s="11">
        <f t="shared" si="10"/>
        <v>184199.84941463757</v>
      </c>
      <c r="G60" s="11">
        <f t="shared" si="8"/>
        <v>5638.6114256363362</v>
      </c>
      <c r="K60" s="11"/>
      <c r="L60" s="11">
        <f t="shared" si="11"/>
        <v>23941.430780040828</v>
      </c>
      <c r="M60" s="11">
        <f t="shared" si="9"/>
        <v>784.95986595728391</v>
      </c>
    </row>
    <row r="61" spans="2:13" x14ac:dyDescent="0.3">
      <c r="B61" s="10">
        <v>43935</v>
      </c>
      <c r="C61" s="4">
        <v>55</v>
      </c>
      <c r="E61" s="4"/>
      <c r="F61" s="11">
        <f t="shared" si="10"/>
        <v>189751.47306082328</v>
      </c>
      <c r="G61" s="11">
        <f t="shared" si="8"/>
        <v>5551.6236461857043</v>
      </c>
      <c r="K61" s="11"/>
      <c r="L61" s="11">
        <f t="shared" si="11"/>
        <v>24706.837336077282</v>
      </c>
      <c r="M61" s="11">
        <f t="shared" si="9"/>
        <v>765.40655603645428</v>
      </c>
    </row>
    <row r="62" spans="2:13" x14ac:dyDescent="0.3">
      <c r="B62" s="10">
        <v>43936</v>
      </c>
      <c r="C62" s="4">
        <v>56</v>
      </c>
      <c r="E62" s="4"/>
      <c r="F62" s="11">
        <f t="shared" si="10"/>
        <v>195209.99942594435</v>
      </c>
      <c r="G62" s="11">
        <f t="shared" si="8"/>
        <v>5458.5263651210698</v>
      </c>
      <c r="K62" s="11"/>
      <c r="L62" s="11">
        <f t="shared" si="11"/>
        <v>25451.825143320668</v>
      </c>
      <c r="M62" s="11">
        <f t="shared" si="9"/>
        <v>744.98780724338576</v>
      </c>
    </row>
    <row r="63" spans="2:13" x14ac:dyDescent="0.3">
      <c r="B63" s="10">
        <v>43937</v>
      </c>
      <c r="C63" s="4">
        <v>57</v>
      </c>
      <c r="E63" s="4"/>
      <c r="F63" s="11">
        <f t="shared" si="10"/>
        <v>200570.00136375052</v>
      </c>
      <c r="G63" s="11">
        <f t="shared" si="8"/>
        <v>5360.0019378061697</v>
      </c>
      <c r="K63" s="11"/>
      <c r="L63" s="11">
        <f t="shared" si="11"/>
        <v>26175.698363701795</v>
      </c>
      <c r="M63" s="11">
        <f t="shared" si="9"/>
        <v>723.87322038112688</v>
      </c>
    </row>
    <row r="64" spans="2:13" x14ac:dyDescent="0.3">
      <c r="B64" s="10">
        <v>43938</v>
      </c>
      <c r="C64" s="4">
        <v>58</v>
      </c>
      <c r="E64" s="4"/>
      <c r="F64" s="11">
        <f t="shared" si="10"/>
        <v>205826.71137934944</v>
      </c>
      <c r="G64" s="11">
        <f t="shared" si="8"/>
        <v>5256.7100155989174</v>
      </c>
      <c r="K64" s="11"/>
      <c r="L64" s="11">
        <f t="shared" si="11"/>
        <v>26877.919411095965</v>
      </c>
      <c r="M64" s="11">
        <f t="shared" si="9"/>
        <v>702.22104739417045</v>
      </c>
    </row>
    <row r="65" spans="2:13" x14ac:dyDescent="0.3">
      <c r="B65" s="10">
        <v>43939</v>
      </c>
      <c r="C65" s="4">
        <v>59</v>
      </c>
      <c r="E65" s="4"/>
      <c r="F65" s="11">
        <f t="shared" si="10"/>
        <v>210975.99593621871</v>
      </c>
      <c r="G65" s="11">
        <f t="shared" si="8"/>
        <v>5149.2845568692719</v>
      </c>
      <c r="K65" s="11"/>
      <c r="L65" s="11">
        <f t="shared" si="11"/>
        <v>27558.097221767777</v>
      </c>
      <c r="M65" s="11">
        <f t="shared" si="9"/>
        <v>680.17781067181204</v>
      </c>
    </row>
    <row r="66" spans="2:13" x14ac:dyDescent="0.3">
      <c r="B66" s="10">
        <v>43940</v>
      </c>
      <c r="C66" s="4">
        <v>60</v>
      </c>
      <c r="E66" s="4"/>
      <c r="F66" s="11">
        <f t="shared" si="10"/>
        <v>216014.32738897219</v>
      </c>
      <c r="G66" s="11">
        <f t="shared" si="8"/>
        <v>5038.3314527534822</v>
      </c>
      <c r="K66" s="11"/>
      <c r="L66" s="11">
        <f t="shared" si="11"/>
        <v>28215.975372004294</v>
      </c>
      <c r="M66" s="11">
        <f t="shared" si="9"/>
        <v>657.87815023651638</v>
      </c>
    </row>
    <row r="67" spans="2:13" x14ac:dyDescent="0.3">
      <c r="B67" s="10">
        <v>43941</v>
      </c>
      <c r="C67" s="4">
        <v>61</v>
      </c>
      <c r="E67" s="4"/>
      <c r="F67" s="11">
        <f t="shared" si="10"/>
        <v>220938.75410441359</v>
      </c>
      <c r="G67" s="11">
        <f t="shared" si="8"/>
        <v>4924.4267154413974</v>
      </c>
      <c r="K67" s="11"/>
      <c r="L67" s="11">
        <f t="shared" si="11"/>
        <v>28851.420235496891</v>
      </c>
      <c r="M67" s="11">
        <f t="shared" si="9"/>
        <v>635.44486349259751</v>
      </c>
    </row>
    <row r="68" spans="2:13" x14ac:dyDescent="0.3">
      <c r="B68" s="10">
        <v>43942</v>
      </c>
      <c r="C68" s="4">
        <v>62</v>
      </c>
      <c r="E68" s="4"/>
      <c r="F68" s="11">
        <f t="shared" si="10"/>
        <v>225746.86928032502</v>
      </c>
      <c r="G68" s="11">
        <f t="shared" si="8"/>
        <v>4808.1151759114291</v>
      </c>
      <c r="K68" s="11"/>
      <c r="L68" s="11">
        <f t="shared" si="11"/>
        <v>29464.409340071066</v>
      </c>
      <c r="M68" s="11">
        <f t="shared" si="9"/>
        <v>612.98910457417514</v>
      </c>
    </row>
    <row r="69" spans="2:13" x14ac:dyDescent="0.3">
      <c r="B69" s="10">
        <v>43943</v>
      </c>
      <c r="C69" s="4">
        <v>63</v>
      </c>
      <c r="E69" s="4"/>
      <c r="F69" s="11">
        <f t="shared" si="10"/>
        <v>230436.77891860873</v>
      </c>
      <c r="G69" s="11">
        <f t="shared" si="8"/>
        <v>4689.909638283716</v>
      </c>
      <c r="K69" s="11"/>
      <c r="L69" s="11">
        <f t="shared" si="11"/>
        <v>30055.020053139615</v>
      </c>
      <c r="M69" s="11">
        <f t="shared" si="9"/>
        <v>590.61071306854865</v>
      </c>
    </row>
    <row r="70" spans="2:13" x14ac:dyDescent="0.3">
      <c r="B70" s="10">
        <v>43944</v>
      </c>
      <c r="C70" s="4">
        <v>64</v>
      </c>
      <c r="E70" s="4"/>
      <c r="F70" s="11">
        <f t="shared" si="10"/>
        <v>235007.06935774308</v>
      </c>
      <c r="G70" s="11">
        <f t="shared" si="8"/>
        <v>4570.2904391343473</v>
      </c>
      <c r="K70" s="11"/>
      <c r="L70" s="11">
        <f t="shared" si="11"/>
        <v>30623.418697971731</v>
      </c>
      <c r="M70" s="11">
        <f t="shared" si="9"/>
        <v>568.39864483211568</v>
      </c>
    </row>
    <row r="71" spans="2:13" x14ac:dyDescent="0.3">
      <c r="B71" s="10">
        <v>43945</v>
      </c>
      <c r="C71" s="4">
        <v>65</v>
      </c>
      <c r="E71" s="4"/>
      <c r="F71" s="11">
        <f t="shared" ref="F71:F102" si="14">Kn*EXP(-EXP(-($C71-t0n)/wn))</f>
        <v>239456.77471976317</v>
      </c>
      <c r="G71" s="11">
        <f t="shared" si="8"/>
        <v>4449.7053620200895</v>
      </c>
    </row>
    <row r="72" spans="2:13" x14ac:dyDescent="0.3">
      <c r="B72" s="10">
        <v>43946</v>
      </c>
      <c r="C72" s="4">
        <v>66</v>
      </c>
      <c r="E72" s="4"/>
      <c r="F72" s="11">
        <f t="shared" si="14"/>
        <v>243785.34457967264</v>
      </c>
      <c r="G72" s="11">
        <f t="shared" si="8"/>
        <v>4328.5698599094758</v>
      </c>
    </row>
    <row r="73" spans="2:13" x14ac:dyDescent="0.3">
      <c r="B73" s="10">
        <v>43947</v>
      </c>
      <c r="C73" s="4">
        <v>67</v>
      </c>
      <c r="E73" s="4"/>
      <c r="F73" s="11">
        <f t="shared" si="14"/>
        <v>247992.61212074294</v>
      </c>
      <c r="G73" s="11">
        <f t="shared" si="8"/>
        <v>4207.2675410702941</v>
      </c>
    </row>
    <row r="74" spans="2:13" x14ac:dyDescent="0.3">
      <c r="B74" s="10">
        <v>43948</v>
      </c>
      <c r="C74" s="4">
        <v>68</v>
      </c>
      <c r="E74" s="4"/>
      <c r="F74" s="11">
        <f t="shared" si="14"/>
        <v>252078.7629978247</v>
      </c>
      <c r="G74" s="11">
        <f t="shared" si="8"/>
        <v>4086.15087708176</v>
      </c>
    </row>
    <row r="75" spans="2:13" x14ac:dyDescent="0.3">
      <c r="B75" s="10">
        <v>43949</v>
      </c>
      <c r="C75" s="4">
        <v>69</v>
      </c>
      <c r="E75" s="4"/>
      <c r="F75" s="11">
        <f t="shared" si="14"/>
        <v>256044.30509273818</v>
      </c>
      <c r="G75" s="11">
        <f t="shared" si="8"/>
        <v>3965.5420949134859</v>
      </c>
    </row>
    <row r="76" spans="2:13" x14ac:dyDescent="0.3">
      <c r="B76" s="10">
        <v>43950</v>
      </c>
      <c r="C76" s="4">
        <v>70</v>
      </c>
      <c r="E76" s="4"/>
      <c r="F76" s="11">
        <f t="shared" si="14"/>
        <v>259890.03931109491</v>
      </c>
      <c r="G76" s="11">
        <f t="shared" si="8"/>
        <v>3845.7342183567234</v>
      </c>
    </row>
    <row r="77" spans="2:13" x14ac:dyDescent="0.3">
      <c r="B77" s="10">
        <v>43951</v>
      </c>
      <c r="C77" s="4">
        <v>71</v>
      </c>
      <c r="E77" s="4"/>
      <c r="F77" s="11">
        <f t="shared" si="14"/>
        <v>263617.03153851652</v>
      </c>
      <c r="G77" s="11">
        <f t="shared" ref="G77:G130" si="15">F77-F76</f>
        <v>3726.9922274216078</v>
      </c>
    </row>
    <row r="78" spans="2:13" x14ac:dyDescent="0.3">
      <c r="B78" s="10">
        <v>43952</v>
      </c>
      <c r="C78" s="4">
        <v>72</v>
      </c>
      <c r="E78" s="4"/>
      <c r="F78" s="11">
        <f t="shared" si="14"/>
        <v>267226.58584609214</v>
      </c>
      <c r="G78" s="11">
        <f t="shared" si="15"/>
        <v>3609.5543075756286</v>
      </c>
    </row>
    <row r="79" spans="2:13" x14ac:dyDescent="0.3">
      <c r="B79" s="10">
        <v>43953</v>
      </c>
      <c r="C79" s="4">
        <v>73</v>
      </c>
      <c r="E79" s="4"/>
      <c r="F79" s="11">
        <f t="shared" si="14"/>
        <v>270720.21900993312</v>
      </c>
      <c r="G79" s="11">
        <f t="shared" si="15"/>
        <v>3493.6331638409756</v>
      </c>
    </row>
    <row r="80" spans="2:13" x14ac:dyDescent="0.3">
      <c r="B80" s="10">
        <v>43954</v>
      </c>
      <c r="C80" s="4">
        <v>74</v>
      </c>
      <c r="E80" s="4"/>
      <c r="F80" s="11">
        <f t="shared" si="14"/>
        <v>274099.63638769597</v>
      </c>
      <c r="G80" s="11">
        <f t="shared" si="15"/>
        <v>3379.4173777628457</v>
      </c>
    </row>
    <row r="81" spans="2:7" x14ac:dyDescent="0.3">
      <c r="B81" s="10">
        <v>43955</v>
      </c>
      <c r="C81" s="4">
        <v>75</v>
      </c>
      <c r="E81" s="4"/>
      <c r="F81" s="11">
        <f t="shared" si="14"/>
        <v>277366.70917576796</v>
      </c>
      <c r="G81" s="11">
        <f t="shared" si="15"/>
        <v>3267.0727880719933</v>
      </c>
    </row>
    <row r="82" spans="2:7" x14ac:dyDescent="0.3">
      <c r="B82" s="10">
        <v>43956</v>
      </c>
      <c r="C82" s="4">
        <v>76</v>
      </c>
      <c r="E82" s="4"/>
      <c r="F82" s="11">
        <f t="shared" si="14"/>
        <v>280523.45305426099</v>
      </c>
      <c r="G82" s="11">
        <f t="shared" si="15"/>
        <v>3156.7438784930273</v>
      </c>
    </row>
    <row r="83" spans="2:7" x14ac:dyDescent="0.3">
      <c r="B83" s="10">
        <v>43957</v>
      </c>
      <c r="C83" s="4">
        <v>77</v>
      </c>
      <c r="E83" s="4"/>
      <c r="F83" s="11">
        <f t="shared" si="14"/>
        <v>283572.00821282825</v>
      </c>
      <c r="G83" s="11">
        <f t="shared" si="15"/>
        <v>3048.5551585672656</v>
      </c>
    </row>
    <row r="84" spans="2:7" x14ac:dyDescent="0.3">
      <c r="B84" s="10">
        <v>43958</v>
      </c>
      <c r="C84" s="4">
        <v>78</v>
      </c>
      <c r="E84" s="4"/>
      <c r="F84" s="11">
        <f t="shared" si="14"/>
        <v>286514.62073840352</v>
      </c>
      <c r="G84" s="11">
        <f t="shared" si="15"/>
        <v>2942.6125255752704</v>
      </c>
    </row>
    <row r="85" spans="2:7" x14ac:dyDescent="0.3">
      <c r="B85" s="10">
        <v>43959</v>
      </c>
      <c r="C85" s="4">
        <v>79</v>
      </c>
      <c r="E85" s="4"/>
      <c r="F85" s="11">
        <f t="shared" si="14"/>
        <v>289353.62533605983</v>
      </c>
      <c r="G85" s="11">
        <f t="shared" si="15"/>
        <v>2839.0045976563124</v>
      </c>
    </row>
    <row r="86" spans="2:7" x14ac:dyDescent="0.3">
      <c r="B86" s="10">
        <v>43960</v>
      </c>
      <c r="C86" s="4">
        <v>80</v>
      </c>
      <c r="E86" s="4"/>
      <c r="F86" s="11">
        <f t="shared" si="14"/>
        <v>292091.42934609123</v>
      </c>
      <c r="G86" s="11">
        <f t="shared" si="15"/>
        <v>2737.8040100313956</v>
      </c>
    </row>
    <row r="87" spans="2:7" x14ac:dyDescent="0.3">
      <c r="B87" s="10">
        <v>43961</v>
      </c>
      <c r="C87" s="4">
        <v>81</v>
      </c>
      <c r="E87" s="4"/>
      <c r="F87" s="11">
        <f t="shared" si="14"/>
        <v>294730.49801394803</v>
      </c>
      <c r="G87" s="11">
        <f t="shared" si="15"/>
        <v>2639.0686678568018</v>
      </c>
    </row>
    <row r="88" spans="2:7" x14ac:dyDescent="0.3">
      <c r="B88" s="10">
        <v>43962</v>
      </c>
      <c r="C88" s="4">
        <v>82</v>
      </c>
      <c r="E88" s="4"/>
      <c r="F88" s="11">
        <f t="shared" si="14"/>
        <v>297273.34096461884</v>
      </c>
      <c r="G88" s="11">
        <f t="shared" si="15"/>
        <v>2542.8429506708053</v>
      </c>
    </row>
    <row r="89" spans="2:7" x14ac:dyDescent="0.3">
      <c r="B89" s="10">
        <v>43963</v>
      </c>
      <c r="C89" s="4">
        <v>83</v>
      </c>
      <c r="E89" s="4"/>
      <c r="F89" s="11">
        <f t="shared" si="14"/>
        <v>299722.49982927967</v>
      </c>
      <c r="G89" s="11">
        <f t="shared" si="15"/>
        <v>2449.1588646608288</v>
      </c>
    </row>
    <row r="90" spans="2:7" x14ac:dyDescent="0.3">
      <c r="B90" s="10">
        <v>43964</v>
      </c>
      <c r="C90" s="4">
        <v>84</v>
      </c>
      <c r="E90" s="4"/>
      <c r="F90" s="11">
        <f t="shared" si="14"/>
        <v>302080.53696936031</v>
      </c>
      <c r="G90" s="11">
        <f t="shared" si="15"/>
        <v>2358.0371400806471</v>
      </c>
    </row>
    <row r="91" spans="2:7" x14ac:dyDescent="0.3">
      <c r="B91" s="10">
        <v>43965</v>
      </c>
      <c r="C91" s="4">
        <v>85</v>
      </c>
      <c r="E91" s="4"/>
      <c r="F91" s="11">
        <f t="shared" si="14"/>
        <v>304350.02524146909</v>
      </c>
      <c r="G91" s="11">
        <f t="shared" si="15"/>
        <v>2269.4882721087779</v>
      </c>
    </row>
    <row r="92" spans="2:7" x14ac:dyDescent="0.3">
      <c r="B92" s="10">
        <v>43966</v>
      </c>
      <c r="C92" s="4">
        <v>86</v>
      </c>
      <c r="E92" s="4"/>
      <c r="F92" s="11">
        <f t="shared" si="14"/>
        <v>306533.53874572192</v>
      </c>
      <c r="G92" s="11">
        <f t="shared" si="15"/>
        <v>2183.5135042528273</v>
      </c>
    </row>
    <row r="93" spans="2:7" x14ac:dyDescent="0.3">
      <c r="B93" s="10">
        <v>43967</v>
      </c>
      <c r="C93" s="4">
        <v>87</v>
      </c>
      <c r="E93" s="4"/>
      <c r="F93" s="11">
        <f t="shared" si="14"/>
        <v>308633.64449983381</v>
      </c>
      <c r="G93" s="11">
        <f t="shared" si="15"/>
        <v>2100.1057541118935</v>
      </c>
    </row>
    <row r="94" spans="2:7" x14ac:dyDescent="0.3">
      <c r="B94" s="10">
        <v>43968</v>
      </c>
      <c r="C94" s="4">
        <v>88</v>
      </c>
      <c r="E94" s="4"/>
      <c r="F94" s="11">
        <f t="shared" si="14"/>
        <v>310652.89498172118</v>
      </c>
      <c r="G94" s="11">
        <f t="shared" si="15"/>
        <v>2019.2504818873713</v>
      </c>
    </row>
    <row r="95" spans="2:7" x14ac:dyDescent="0.3">
      <c r="B95" s="10">
        <v>43969</v>
      </c>
      <c r="C95" s="4">
        <v>89</v>
      </c>
      <c r="E95" s="4"/>
      <c r="F95" s="11">
        <f t="shared" si="14"/>
        <v>312593.82148424926</v>
      </c>
      <c r="G95" s="11">
        <f t="shared" si="15"/>
        <v>1940.9265025280765</v>
      </c>
    </row>
    <row r="96" spans="2:7" x14ac:dyDescent="0.3">
      <c r="B96" s="10">
        <v>43970</v>
      </c>
      <c r="C96" s="4">
        <v>90</v>
      </c>
      <c r="E96" s="4"/>
      <c r="F96" s="11">
        <f t="shared" si="14"/>
        <v>314458.92822703853</v>
      </c>
      <c r="G96" s="11">
        <f t="shared" si="15"/>
        <v>1865.1067427892704</v>
      </c>
    </row>
    <row r="97" spans="2:7" x14ac:dyDescent="0.3">
      <c r="B97" s="10">
        <v>43971</v>
      </c>
      <c r="C97" s="4">
        <v>91</v>
      </c>
      <c r="E97" s="4"/>
      <c r="F97" s="11">
        <f t="shared" si="14"/>
        <v>316250.68717184686</v>
      </c>
      <c r="G97" s="11">
        <f t="shared" si="15"/>
        <v>1791.7589448083309</v>
      </c>
    </row>
    <row r="98" spans="2:7" x14ac:dyDescent="0.3">
      <c r="B98" s="10">
        <v>43972</v>
      </c>
      <c r="C98" s="4">
        <v>92</v>
      </c>
      <c r="E98" s="4"/>
      <c r="F98" s="11">
        <f t="shared" si="14"/>
        <v>317971.53348989791</v>
      </c>
      <c r="G98" s="11">
        <f t="shared" si="15"/>
        <v>1720.8463180510444</v>
      </c>
    </row>
    <row r="99" spans="2:7" x14ac:dyDescent="0.3">
      <c r="B99" s="10">
        <v>43973</v>
      </c>
      <c r="C99" s="4">
        <v>93</v>
      </c>
      <c r="E99" s="4"/>
      <c r="F99" s="11">
        <f t="shared" si="14"/>
        <v>319623.86163157155</v>
      </c>
      <c r="G99" s="11">
        <f t="shared" si="15"/>
        <v>1652.3281416736427</v>
      </c>
    </row>
    <row r="100" spans="2:7" x14ac:dyDescent="0.3">
      <c r="B100" s="10">
        <v>43974</v>
      </c>
      <c r="C100" s="4">
        <v>94</v>
      </c>
      <c r="E100" s="4"/>
      <c r="F100" s="11">
        <f t="shared" si="14"/>
        <v>321210.02195105772</v>
      </c>
      <c r="G100" s="11">
        <f t="shared" si="15"/>
        <v>1586.1603194861673</v>
      </c>
    </row>
    <row r="101" spans="2:7" x14ac:dyDescent="0.3">
      <c r="B101" s="10">
        <v>43975</v>
      </c>
      <c r="C101" s="4">
        <v>95</v>
      </c>
      <c r="E101" s="4"/>
      <c r="F101" s="11">
        <f t="shared" si="14"/>
        <v>322732.31784085103</v>
      </c>
      <c r="G101" s="11">
        <f t="shared" si="15"/>
        <v>1522.2958897933131</v>
      </c>
    </row>
    <row r="102" spans="2:7" x14ac:dyDescent="0.3">
      <c r="B102" s="10">
        <v>43976</v>
      </c>
      <c r="C102" s="4">
        <v>96</v>
      </c>
      <c r="E102" s="4"/>
      <c r="F102" s="11">
        <f t="shared" si="14"/>
        <v>324193.00333330245</v>
      </c>
      <c r="G102" s="11">
        <f t="shared" si="15"/>
        <v>1460.6854924514191</v>
      </c>
    </row>
    <row r="103" spans="2:7" x14ac:dyDescent="0.3">
      <c r="B103" s="10">
        <v>43977</v>
      </c>
      <c r="C103" s="4">
        <v>97</v>
      </c>
      <c r="E103" s="4"/>
      <c r="F103" s="11">
        <f t="shared" ref="F103:F130" si="16">Kn*EXP(-EXP(-($C103-t0n)/wn))</f>
        <v>325594.28112879902</v>
      </c>
      <c r="G103" s="11">
        <f t="shared" si="15"/>
        <v>1401.2777954965713</v>
      </c>
    </row>
    <row r="104" spans="2:7" x14ac:dyDescent="0.3">
      <c r="B104" s="10">
        <v>43978</v>
      </c>
      <c r="C104" s="4">
        <v>98</v>
      </c>
      <c r="E104" s="4"/>
      <c r="F104" s="11">
        <f t="shared" si="16"/>
        <v>326938.30101249833</v>
      </c>
      <c r="G104" s="11">
        <f t="shared" si="15"/>
        <v>1344.0198836993077</v>
      </c>
    </row>
    <row r="105" spans="2:7" x14ac:dyDescent="0.3">
      <c r="B105" s="10">
        <v>43979</v>
      </c>
      <c r="C105" s="4">
        <v>99</v>
      </c>
      <c r="E105" s="4"/>
      <c r="F105" s="11">
        <f t="shared" si="16"/>
        <v>328227.15862387308</v>
      </c>
      <c r="G105" s="11">
        <f t="shared" si="15"/>
        <v>1288.8576113747549</v>
      </c>
    </row>
    <row r="106" spans="2:7" x14ac:dyDescent="0.3">
      <c r="B106" s="10">
        <v>43980</v>
      </c>
      <c r="C106" s="4">
        <v>100</v>
      </c>
      <c r="E106" s="4"/>
      <c r="F106" s="11">
        <f t="shared" si="16"/>
        <v>329462.89454560436</v>
      </c>
      <c r="G106" s="11">
        <f t="shared" si="15"/>
        <v>1235.7359217312769</v>
      </c>
    </row>
    <row r="107" spans="2:7" x14ac:dyDescent="0.3">
      <c r="B107" s="10">
        <v>43981</v>
      </c>
      <c r="C107" s="4">
        <v>101</v>
      </c>
      <c r="E107" s="4"/>
      <c r="F107" s="11">
        <f t="shared" si="16"/>
        <v>330647.49368058407</v>
      </c>
      <c r="G107" s="11">
        <f t="shared" si="15"/>
        <v>1184.5991349797114</v>
      </c>
    </row>
    <row r="108" spans="2:7" x14ac:dyDescent="0.3">
      <c r="B108" s="10">
        <v>43982</v>
      </c>
      <c r="C108" s="4">
        <v>102</v>
      </c>
      <c r="E108" s="4"/>
      <c r="F108" s="11">
        <f t="shared" si="16"/>
        <v>331782.88488794293</v>
      </c>
      <c r="G108" s="11">
        <f t="shared" si="15"/>
        <v>1135.3912073588581</v>
      </c>
    </row>
    <row r="109" spans="2:7" x14ac:dyDescent="0.3">
      <c r="B109" s="10">
        <v>43983</v>
      </c>
      <c r="C109" s="4">
        <v>103</v>
      </c>
      <c r="E109" s="4"/>
      <c r="F109" s="11">
        <f t="shared" si="16"/>
        <v>332870.94085109053</v>
      </c>
      <c r="G109" s="11">
        <f t="shared" si="15"/>
        <v>1088.0559631476062</v>
      </c>
    </row>
    <row r="110" spans="2:7" x14ac:dyDescent="0.3">
      <c r="B110" s="10">
        <v>43984</v>
      </c>
      <c r="C110" s="4">
        <v>104</v>
      </c>
      <c r="E110" s="4"/>
      <c r="F110" s="11">
        <f t="shared" si="16"/>
        <v>333913.47815273976</v>
      </c>
      <c r="G110" s="11">
        <f t="shared" si="15"/>
        <v>1042.5373016492231</v>
      </c>
    </row>
    <row r="111" spans="2:7" x14ac:dyDescent="0.3">
      <c r="B111" s="10">
        <v>43985</v>
      </c>
      <c r="C111" s="4">
        <v>105</v>
      </c>
      <c r="E111" s="4"/>
      <c r="F111" s="11">
        <f t="shared" si="16"/>
        <v>334912.25753378484</v>
      </c>
      <c r="G111" s="11">
        <f t="shared" si="15"/>
        <v>998.77938104508212</v>
      </c>
    </row>
    <row r="112" spans="2:7" x14ac:dyDescent="0.3">
      <c r="B112" s="10">
        <v>43986</v>
      </c>
      <c r="C112" s="4">
        <v>106</v>
      </c>
      <c r="E112" s="4"/>
      <c r="F112" s="11">
        <f t="shared" si="16"/>
        <v>335868.98431469966</v>
      </c>
      <c r="G112" s="11">
        <f t="shared" si="15"/>
        <v>956.72678091481794</v>
      </c>
    </row>
    <row r="113" spans="2:7" x14ac:dyDescent="0.3">
      <c r="B113" s="10">
        <v>43987</v>
      </c>
      <c r="C113" s="4">
        <v>107</v>
      </c>
      <c r="E113" s="4"/>
      <c r="F113" s="11">
        <f t="shared" si="16"/>
        <v>336785.30895983003</v>
      </c>
      <c r="G113" s="11">
        <f t="shared" si="15"/>
        <v>916.32464513037121</v>
      </c>
    </row>
    <row r="114" spans="2:7" x14ac:dyDescent="0.3">
      <c r="B114" s="10">
        <v>43988</v>
      </c>
      <c r="C114" s="4">
        <v>108</v>
      </c>
      <c r="E114" s="4"/>
      <c r="F114" s="11">
        <f t="shared" si="16"/>
        <v>337662.8277665631</v>
      </c>
      <c r="G114" s="11">
        <f t="shared" si="15"/>
        <v>877.5188067330746</v>
      </c>
    </row>
    <row r="115" spans="2:7" x14ac:dyDescent="0.3">
      <c r="B115" s="10">
        <v>43989</v>
      </c>
      <c r="C115" s="4">
        <v>109</v>
      </c>
      <c r="E115" s="4"/>
      <c r="F115" s="11">
        <f t="shared" si="16"/>
        <v>338503.08366286982</v>
      </c>
      <c r="G115" s="11">
        <f t="shared" si="15"/>
        <v>840.25589630671311</v>
      </c>
    </row>
    <row r="116" spans="2:7" x14ac:dyDescent="0.3">
      <c r="B116" s="10">
        <v>43990</v>
      </c>
      <c r="C116" s="4">
        <v>110</v>
      </c>
      <c r="E116" s="4"/>
      <c r="F116" s="11">
        <f t="shared" si="16"/>
        <v>339307.56709814037</v>
      </c>
      <c r="G116" s="11">
        <f t="shared" si="15"/>
        <v>804.48343527055113</v>
      </c>
    </row>
    <row r="117" spans="2:7" x14ac:dyDescent="0.3">
      <c r="B117" s="10">
        <v>43991</v>
      </c>
      <c r="C117" s="4">
        <v>111</v>
      </c>
      <c r="E117" s="4"/>
      <c r="F117" s="11">
        <f t="shared" si="16"/>
        <v>340077.71701356018</v>
      </c>
      <c r="G117" s="11">
        <f t="shared" si="15"/>
        <v>770.14991541980999</v>
      </c>
    </row>
    <row r="118" spans="2:7" x14ac:dyDescent="0.3">
      <c r="B118" s="10">
        <v>43992</v>
      </c>
      <c r="C118" s="4">
        <v>112</v>
      </c>
      <c r="E118" s="4"/>
      <c r="F118" s="11">
        <f t="shared" si="16"/>
        <v>340814.92187951732</v>
      </c>
      <c r="G118" s="11">
        <f t="shared" si="15"/>
        <v>737.20486595714465</v>
      </c>
    </row>
    <row r="119" spans="2:7" x14ac:dyDescent="0.3">
      <c r="B119" s="10">
        <v>43993</v>
      </c>
      <c r="C119" s="4">
        <v>113</v>
      </c>
      <c r="E119" s="4"/>
      <c r="F119" s="11">
        <f t="shared" si="16"/>
        <v>341520.5207886899</v>
      </c>
      <c r="G119" s="11">
        <f t="shared" si="15"/>
        <v>705.59890917257871</v>
      </c>
    </row>
    <row r="120" spans="2:7" x14ac:dyDescent="0.3">
      <c r="B120" s="10">
        <v>43994</v>
      </c>
      <c r="C120" s="4">
        <v>114</v>
      </c>
      <c r="E120" s="4"/>
      <c r="F120" s="11">
        <f t="shared" si="16"/>
        <v>342195.80459453567</v>
      </c>
      <c r="G120" s="11">
        <f t="shared" si="15"/>
        <v>675.28380584577098</v>
      </c>
    </row>
    <row r="121" spans="2:7" x14ac:dyDescent="0.3">
      <c r="B121" s="10">
        <v>43995</v>
      </c>
      <c r="C121" s="4">
        <v>115</v>
      </c>
      <c r="E121" s="4"/>
      <c r="F121" s="11">
        <f t="shared" si="16"/>
        <v>342842.01708590437</v>
      </c>
      <c r="G121" s="11">
        <f t="shared" si="15"/>
        <v>646.21249136870028</v>
      </c>
    </row>
    <row r="122" spans="2:7" x14ac:dyDescent="0.3">
      <c r="B122" s="10">
        <v>43996</v>
      </c>
      <c r="C122" s="4">
        <v>116</v>
      </c>
      <c r="E122" s="4"/>
      <c r="F122" s="11">
        <f t="shared" si="16"/>
        <v>343460.35618941748</v>
      </c>
      <c r="G122" s="11">
        <f t="shared" si="15"/>
        <v>618.33910351310624</v>
      </c>
    </row>
    <row r="123" spans="2:7" x14ac:dyDescent="0.3">
      <c r="B123" s="10">
        <v>43997</v>
      </c>
      <c r="C123" s="4">
        <v>117</v>
      </c>
      <c r="E123" s="4"/>
      <c r="F123" s="11">
        <f t="shared" si="16"/>
        <v>344051.97519211058</v>
      </c>
      <c r="G123" s="11">
        <f t="shared" si="15"/>
        <v>591.6190026930999</v>
      </c>
    </row>
    <row r="124" spans="2:7" x14ac:dyDescent="0.3">
      <c r="B124" s="10">
        <v>43998</v>
      </c>
      <c r="C124" s="4">
        <v>118</v>
      </c>
      <c r="E124" s="4"/>
      <c r="F124" s="11">
        <f t="shared" si="16"/>
        <v>344617.98397762212</v>
      </c>
      <c r="G124" s="11">
        <f t="shared" si="15"/>
        <v>566.00878551154165</v>
      </c>
    </row>
    <row r="125" spans="2:7" x14ac:dyDescent="0.3">
      <c r="B125" s="10">
        <v>43999</v>
      </c>
      <c r="C125" s="4">
        <v>119</v>
      </c>
      <c r="E125" s="4"/>
      <c r="F125" s="11">
        <f t="shared" si="16"/>
        <v>345159.45026993437</v>
      </c>
      <c r="G125" s="11">
        <f t="shared" si="15"/>
        <v>541.46629231225234</v>
      </c>
    </row>
    <row r="126" spans="2:7" x14ac:dyDescent="0.3">
      <c r="B126" s="10">
        <v>44000</v>
      </c>
      <c r="C126" s="4">
        <v>120</v>
      </c>
      <c r="E126" s="4"/>
      <c r="F126" s="11">
        <f t="shared" si="16"/>
        <v>345677.40087933943</v>
      </c>
      <c r="G126" s="11">
        <f t="shared" si="15"/>
        <v>517.95060940505937</v>
      </c>
    </row>
    <row r="127" spans="2:7" x14ac:dyDescent="0.3">
      <c r="B127" s="10">
        <v>44001</v>
      </c>
      <c r="C127" s="4">
        <v>121</v>
      </c>
      <c r="E127" s="4"/>
      <c r="F127" s="11">
        <f t="shared" si="16"/>
        <v>346172.82294590917</v>
      </c>
      <c r="G127" s="11">
        <f t="shared" si="15"/>
        <v>495.42206656973576</v>
      </c>
    </row>
    <row r="128" spans="2:7" x14ac:dyDescent="0.3">
      <c r="B128" s="10">
        <v>44002</v>
      </c>
      <c r="C128" s="4">
        <v>122</v>
      </c>
      <c r="E128" s="4"/>
      <c r="F128" s="11">
        <f t="shared" si="16"/>
        <v>346646.66517631034</v>
      </c>
      <c r="G128" s="11">
        <f t="shared" si="15"/>
        <v>473.84223040117649</v>
      </c>
    </row>
    <row r="129" spans="2:7" x14ac:dyDescent="0.3">
      <c r="B129" s="10">
        <v>44003</v>
      </c>
      <c r="C129" s="4">
        <v>123</v>
      </c>
      <c r="E129" s="4"/>
      <c r="F129" s="11">
        <f t="shared" si="16"/>
        <v>347099.83907031215</v>
      </c>
      <c r="G129" s="11">
        <f t="shared" si="15"/>
        <v>453.17389400181128</v>
      </c>
    </row>
    <row r="130" spans="2:7" x14ac:dyDescent="0.3">
      <c r="B130" s="10">
        <v>44004</v>
      </c>
      <c r="C130" s="4">
        <v>124</v>
      </c>
      <c r="E130" s="4"/>
      <c r="F130" s="11">
        <f t="shared" si="16"/>
        <v>347533.22013380122</v>
      </c>
      <c r="G130" s="11">
        <f t="shared" si="15"/>
        <v>433.38106348906877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48</vt:i4>
      </vt:variant>
    </vt:vector>
  </HeadingPairs>
  <TitlesOfParts>
    <vt:vector size="51" baseType="lpstr">
      <vt:lpstr>dpc-covid-19-ita-andamento-naz</vt:lpstr>
      <vt:lpstr>Cumul_ confirmed - Gompertz fit</vt:lpstr>
      <vt:lpstr>New_ confirmed - Gompertz fit</vt:lpstr>
      <vt:lpstr>CI</vt:lpstr>
      <vt:lpstr>CId</vt:lpstr>
      <vt:lpstr>CIh</vt:lpstr>
      <vt:lpstr>CIn</vt:lpstr>
      <vt:lpstr>Critical_t</vt:lpstr>
      <vt:lpstr>Critical_td</vt:lpstr>
      <vt:lpstr>Critical_th</vt:lpstr>
      <vt:lpstr>Critical_tn</vt:lpstr>
      <vt:lpstr>D_End</vt:lpstr>
      <vt:lpstr>D_Start</vt:lpstr>
      <vt:lpstr>df</vt:lpstr>
      <vt:lpstr>dfd</vt:lpstr>
      <vt:lpstr>dfh</vt:lpstr>
      <vt:lpstr>dfn</vt:lpstr>
      <vt:lpstr>E_End</vt:lpstr>
      <vt:lpstr>E_Start</vt:lpstr>
      <vt:lpstr>H_End</vt:lpstr>
      <vt:lpstr>H_Start</vt:lpstr>
      <vt:lpstr>I_End</vt:lpstr>
      <vt:lpstr>I_Start</vt:lpstr>
      <vt:lpstr>K</vt:lpstr>
      <vt:lpstr>K_end</vt:lpstr>
      <vt:lpstr>K_start</vt:lpstr>
      <vt:lpstr>Kd</vt:lpstr>
      <vt:lpstr>Kh</vt:lpstr>
      <vt:lpstr>Kn</vt:lpstr>
      <vt:lpstr>M_end</vt:lpstr>
      <vt:lpstr>M_start</vt:lpstr>
      <vt:lpstr>Mean_of_y</vt:lpstr>
      <vt:lpstr>Mean_of_yd</vt:lpstr>
      <vt:lpstr>Mean_of_yh</vt:lpstr>
      <vt:lpstr>Mean_of_yn</vt:lpstr>
      <vt:lpstr>RSQ</vt:lpstr>
      <vt:lpstr>RSQd</vt:lpstr>
      <vt:lpstr>RSQh</vt:lpstr>
      <vt:lpstr>RSQn</vt:lpstr>
      <vt:lpstr>SE_of_y</vt:lpstr>
      <vt:lpstr>SE_of_yd</vt:lpstr>
      <vt:lpstr>SE_of_yh</vt:lpstr>
      <vt:lpstr>SE_of_yn</vt:lpstr>
      <vt:lpstr>t0</vt:lpstr>
      <vt:lpstr>t0d</vt:lpstr>
      <vt:lpstr>t0h</vt:lpstr>
      <vt:lpstr>t0n</vt:lpstr>
      <vt:lpstr>w</vt:lpstr>
      <vt:lpstr>wd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2020-04-01T21:44:09Z</dcterms:modified>
</cp:coreProperties>
</file>