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COVID-19\"/>
    </mc:Choice>
  </mc:AlternateContent>
  <xr:revisionPtr revIDLastSave="0" documentId="8_{CFF4B1D9-9886-4AF0-ACE1-63B1A5075226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dpc-covid19-ita-andamento-naz" sheetId="18" r:id="rId1"/>
    <sheet name="Cumul_confirmed - Power law fit" sheetId="12" r:id="rId2"/>
    <sheet name="New_confirmed - Power law fit" sheetId="19" r:id="rId3"/>
  </sheets>
  <definedNames>
    <definedName name="_xlcn.WorksheetConnection_COVID19ItalycasestrendBfit.xlsxdpc_covid19_ita_andamento_nazionale" hidden="1">dpc_covid19_ita_andamento_nazionale</definedName>
    <definedName name="CI">'Cumul_confirmed - Power law fit'!$N$15</definedName>
    <definedName name="CId">'New_confirmed - Power law fit'!$R$27</definedName>
    <definedName name="CIh">'Cumul_confirmed - Power law fit'!$N$26</definedName>
    <definedName name="CIn">'New_confirmed - Power law fit'!$R$15</definedName>
    <definedName name="Critical_t">'Cumul_confirmed - Power law fit'!$N$14</definedName>
    <definedName name="Critical_td">'New_confirmed - Power law fit'!$R$26</definedName>
    <definedName name="Critical_th">'Cumul_confirmed - Power law fit'!$N$25</definedName>
    <definedName name="Critical_tn">'New_confirmed - Power law fit'!$R$14</definedName>
    <definedName name="DatiEsterni_1" localSheetId="0" hidden="1">'dpc-covid19-ita-andamento-naz'!$A$1:$O$39</definedName>
    <definedName name="DatiEsterni_2" localSheetId="0" hidden="1">'dpc-covid19-ita-andamento-naz'!#REF!</definedName>
    <definedName name="df">'Cumul_confirmed - Power law fit'!$N$11</definedName>
    <definedName name="dfd">'New_confirmed - Power law fit'!$R$23</definedName>
    <definedName name="dfh">'Cumul_confirmed - Power law fit'!$N$22</definedName>
    <definedName name="dfn">'New_confirmed - Power law fit'!$R$11</definedName>
    <definedName name="dpc_covid19_ita_andamento_nazionale_1" localSheetId="1" hidden="1">'Cumul_confirmed - Power law fit'!#REF!</definedName>
    <definedName name="K">'Cumul_confirmed - Power law fit'!$N$7</definedName>
    <definedName name="K_end">'New_confirmed - Power law fit'!$Q$48</definedName>
    <definedName name="K_start">'New_confirmed - Power law fit'!$Q$7</definedName>
    <definedName name="Kd">'New_confirmed - Power law fit'!$R$19</definedName>
    <definedName name="Kh">'Cumul_confirmed - Power law fit'!$N$18</definedName>
    <definedName name="Kn">'New_confirmed - Power law fit'!$R$7</definedName>
    <definedName name="M_end">'New_confirmed - Power law fit'!$S$47</definedName>
    <definedName name="M_start">'New_confirmed - Power law fit'!$S$7</definedName>
    <definedName name="Mean_of_y">'Cumul_confirmed - Power law fit'!$N$10</definedName>
    <definedName name="Mean_of_yd">'New_confirmed - Power law fit'!$R$22</definedName>
    <definedName name="Mean_of_yh">'Cumul_confirmed - Power law fit'!$N$21</definedName>
    <definedName name="Mean_of_yn">'New_confirmed - Power law fit'!$R$10</definedName>
    <definedName name="RSQ">'Cumul_confirmed - Power law fit'!$N$13</definedName>
    <definedName name="RSQd">'New_confirmed - Power law fit'!$R$25</definedName>
    <definedName name="RSQh">'Cumul_confirmed - Power law fit'!$N$24</definedName>
    <definedName name="RSQn">'New_confirmed - Power law fit'!$R$13</definedName>
    <definedName name="SE_of_y">'Cumul_confirmed - Power law fit'!$N$12</definedName>
    <definedName name="SE_of_yd">'New_confirmed - Power law fit'!$R$24</definedName>
    <definedName name="SE_of_yh">'Cumul_confirmed - Power law fit'!$N$23</definedName>
    <definedName name="SE_of_yn">'New_confirmed - Power law fit'!$R$12</definedName>
    <definedName name="solver_adj" localSheetId="1" hidden="1">'Cumul_confirmed - Power law fit'!$N$8,'Cumul_confirmed - Power law fit'!$N$9</definedName>
    <definedName name="solver_adj" localSheetId="2" hidden="1">'New_confirmed - Power law fit'!$R$20,'New_confirmed - Power law fit'!$R$21</definedName>
    <definedName name="solver_cvg" localSheetId="1" hidden="1">0.0001</definedName>
    <definedName name="solver_cvg" localSheetId="2" hidden="1">0.0001</definedName>
    <definedName name="solver_drv" localSheetId="1" hidden="1">2</definedName>
    <definedName name="solver_drv" localSheetId="2" hidden="1">1</definedName>
    <definedName name="solver_eng" localSheetId="1" hidden="1">1</definedName>
    <definedName name="solver_eng" localSheetId="2" hidden="1">1</definedName>
    <definedName name="solver_est" localSheetId="1" hidden="1">1</definedName>
    <definedName name="solver_est" localSheetId="2" hidden="1">1</definedName>
    <definedName name="solver_itr" localSheetId="1" hidden="1">2147483647</definedName>
    <definedName name="solver_itr" localSheetId="2" hidden="1">2147483647</definedName>
    <definedName name="solver_lhs1" localSheetId="1" hidden="1">'Cumul_confirmed - Power law fit'!$N$8</definedName>
    <definedName name="solver_lhs1" localSheetId="2" hidden="1">'New_confirmed - Power law fit'!$R$8</definedName>
    <definedName name="solver_lhs2" localSheetId="1" hidden="1">'Cumul_confirmed - Power law fit'!$N$8</definedName>
    <definedName name="solver_lhs2" localSheetId="2" hidden="1">'New_confirmed - Power law fit'!$R$8</definedName>
    <definedName name="solver_lhs3" localSheetId="1" hidden="1">'Cumul_confirmed - Power law fit'!$N$9</definedName>
    <definedName name="solver_mip" localSheetId="1" hidden="1">2147483647</definedName>
    <definedName name="solver_mip" localSheetId="2" hidden="1">2147483647</definedName>
    <definedName name="solver_mni" localSheetId="1" hidden="1">30</definedName>
    <definedName name="solver_mni" localSheetId="2" hidden="1">30</definedName>
    <definedName name="solver_mrt" localSheetId="1" hidden="1">0.075</definedName>
    <definedName name="solver_mrt" localSheetId="2" hidden="1">0.075</definedName>
    <definedName name="solver_msl" localSheetId="1" hidden="1">2</definedName>
    <definedName name="solver_msl" localSheetId="2" hidden="1">2</definedName>
    <definedName name="solver_neg" localSheetId="1" hidden="1">1</definedName>
    <definedName name="solver_neg" localSheetId="2" hidden="1">1</definedName>
    <definedName name="solver_nod" localSheetId="1" hidden="1">2147483647</definedName>
    <definedName name="solver_nod" localSheetId="2" hidden="1">2147483647</definedName>
    <definedName name="solver_num" localSheetId="1" hidden="1">0</definedName>
    <definedName name="solver_num" localSheetId="2" hidden="1">0</definedName>
    <definedName name="solver_nwt" localSheetId="1" hidden="1">1</definedName>
    <definedName name="solver_nwt" localSheetId="2" hidden="1">1</definedName>
    <definedName name="solver_opt" localSheetId="1" hidden="1">'Cumul_confirmed - Power law fit'!$N$13</definedName>
    <definedName name="solver_opt" localSheetId="2" hidden="1">'New_confirmed - Power law fit'!$R$25</definedName>
    <definedName name="solver_pre" localSheetId="1" hidden="1">0.000001</definedName>
    <definedName name="solver_pre" localSheetId="2" hidden="1">0.000001</definedName>
    <definedName name="solver_rbv" localSheetId="1" hidden="1">2</definedName>
    <definedName name="solver_rbv" localSheetId="2" hidden="1">1</definedName>
    <definedName name="solver_rel1" localSheetId="1" hidden="1">4</definedName>
    <definedName name="solver_rel1" localSheetId="2" hidden="1">4</definedName>
    <definedName name="solver_rel2" localSheetId="1" hidden="1">4</definedName>
    <definedName name="solver_rel2" localSheetId="2" hidden="1">4</definedName>
    <definedName name="solver_rel3" localSheetId="1" hidden="1">4</definedName>
    <definedName name="solver_rhs1" localSheetId="1" hidden="1">intero</definedName>
    <definedName name="solver_rhs1" localSheetId="2" hidden="1">intero</definedName>
    <definedName name="solver_rhs2" localSheetId="1" hidden="1">intero</definedName>
    <definedName name="solver_rhs2" localSheetId="2" hidden="1">intero</definedName>
    <definedName name="solver_rhs3" localSheetId="1" hidden="1">intero</definedName>
    <definedName name="solver_rlx" localSheetId="1" hidden="1">2</definedName>
    <definedName name="solver_rlx" localSheetId="2" hidden="1">2</definedName>
    <definedName name="solver_rsd" localSheetId="1" hidden="1">0</definedName>
    <definedName name="solver_rsd" localSheetId="2" hidden="1">0</definedName>
    <definedName name="solver_scl" localSheetId="1" hidden="1">2</definedName>
    <definedName name="solver_scl" localSheetId="2" hidden="1">1</definedName>
    <definedName name="solver_sho" localSheetId="1" hidden="1">2</definedName>
    <definedName name="solver_sho" localSheetId="2" hidden="1">2</definedName>
    <definedName name="solver_ssz" localSheetId="1" hidden="1">100</definedName>
    <definedName name="solver_ssz" localSheetId="2" hidden="1">100</definedName>
    <definedName name="solver_tim" localSheetId="1" hidden="1">2147483647</definedName>
    <definedName name="solver_tim" localSheetId="2" hidden="1">2147483647</definedName>
    <definedName name="solver_tol" localSheetId="1" hidden="1">0</definedName>
    <definedName name="solver_tol" localSheetId="2" hidden="1">0</definedName>
    <definedName name="solver_typ" localSheetId="1" hidden="1">1</definedName>
    <definedName name="solver_typ" localSheetId="2" hidden="1">1</definedName>
    <definedName name="solver_val" localSheetId="1" hidden="1">0</definedName>
    <definedName name="solver_val" localSheetId="2" hidden="1">0</definedName>
    <definedName name="solver_ver" localSheetId="1" hidden="1">3</definedName>
    <definedName name="solver_ver" localSheetId="2" hidden="1">3</definedName>
    <definedName name="t0">'Cumul_confirmed - Power law fit'!$N$8</definedName>
    <definedName name="t0d">'New_confirmed - Power law fit'!$R$20</definedName>
    <definedName name="t0h">'Cumul_confirmed - Power law fit'!$N$19</definedName>
    <definedName name="t0n">'New_confirmed - Power law fit'!$R$8</definedName>
    <definedName name="w">'Cumul_confirmed - Power law fit'!$N$9</definedName>
    <definedName name="wd">'New_confirmed - Power law fit'!$R$21</definedName>
    <definedName name="wh">'Cumul_confirmed - Power law fit'!$N$20</definedName>
    <definedName name="wn">'New_confirmed - Power law fit'!$R$9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dpc_covid19_ita_andamento_nazionale" name="dpc_covid19_ita_andamento_nazionale" connection="WorksheetConnection_COVID-19 Italy cases trend - B fit.xlsx!dpc_covid19_ita_andamento_nazionale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70" i="19" l="1"/>
  <c r="L70" i="19"/>
  <c r="G70" i="19"/>
  <c r="F70" i="19"/>
  <c r="M69" i="19"/>
  <c r="L69" i="19"/>
  <c r="G69" i="19"/>
  <c r="F69" i="19"/>
  <c r="M68" i="19"/>
  <c r="L68" i="19"/>
  <c r="G68" i="19"/>
  <c r="F68" i="19"/>
  <c r="M67" i="19"/>
  <c r="L67" i="19"/>
  <c r="G67" i="19"/>
  <c r="F67" i="19"/>
  <c r="M66" i="19"/>
  <c r="L66" i="19"/>
  <c r="G66" i="19"/>
  <c r="F66" i="19"/>
  <c r="M65" i="19"/>
  <c r="L65" i="19"/>
  <c r="G65" i="19"/>
  <c r="F65" i="19"/>
  <c r="M64" i="19"/>
  <c r="L64" i="19"/>
  <c r="G64" i="19"/>
  <c r="F64" i="19"/>
  <c r="M63" i="19"/>
  <c r="L63" i="19"/>
  <c r="G63" i="19"/>
  <c r="F63" i="19"/>
  <c r="M62" i="19"/>
  <c r="L62" i="19"/>
  <c r="G62" i="19"/>
  <c r="F62" i="19"/>
  <c r="M61" i="19"/>
  <c r="L61" i="19"/>
  <c r="G61" i="19"/>
  <c r="F61" i="19"/>
  <c r="M60" i="19"/>
  <c r="L60" i="19"/>
  <c r="G60" i="19"/>
  <c r="F60" i="19"/>
  <c r="M59" i="19"/>
  <c r="L59" i="19"/>
  <c r="G59" i="19"/>
  <c r="F59" i="19"/>
  <c r="M58" i="19"/>
  <c r="L58" i="19"/>
  <c r="G58" i="19"/>
  <c r="F58" i="19"/>
  <c r="M57" i="19"/>
  <c r="L57" i="19"/>
  <c r="G57" i="19"/>
  <c r="F57" i="19"/>
  <c r="M56" i="19"/>
  <c r="L56" i="19"/>
  <c r="G56" i="19"/>
  <c r="F56" i="19"/>
  <c r="M55" i="19"/>
  <c r="L55" i="19"/>
  <c r="G55" i="19"/>
  <c r="F55" i="19"/>
  <c r="M54" i="19"/>
  <c r="L54" i="19"/>
  <c r="G54" i="19"/>
  <c r="F54" i="19"/>
  <c r="M53" i="19"/>
  <c r="L53" i="19"/>
  <c r="G53" i="19"/>
  <c r="F53" i="19"/>
  <c r="M52" i="19"/>
  <c r="L52" i="19"/>
  <c r="G52" i="19"/>
  <c r="F52" i="19"/>
  <c r="M51" i="19"/>
  <c r="L51" i="19"/>
  <c r="G51" i="19"/>
  <c r="F51" i="19"/>
  <c r="M50" i="19"/>
  <c r="L50" i="19"/>
  <c r="G50" i="19"/>
  <c r="F50" i="19"/>
  <c r="M49" i="19"/>
  <c r="L49" i="19"/>
  <c r="G49" i="19"/>
  <c r="F49" i="19"/>
  <c r="M48" i="19"/>
  <c r="L48" i="19"/>
  <c r="J48" i="19"/>
  <c r="K48" i="19" s="1"/>
  <c r="G48" i="19"/>
  <c r="F48" i="19"/>
  <c r="D48" i="19"/>
  <c r="E48" i="19" s="1"/>
  <c r="M47" i="19"/>
  <c r="L47" i="19"/>
  <c r="J47" i="19"/>
  <c r="K47" i="19" s="1"/>
  <c r="G47" i="19"/>
  <c r="F47" i="19"/>
  <c r="D47" i="19"/>
  <c r="E47" i="19" s="1"/>
  <c r="M46" i="19"/>
  <c r="L46" i="19"/>
  <c r="J46" i="19"/>
  <c r="K46" i="19" s="1"/>
  <c r="G46" i="19"/>
  <c r="F46" i="19"/>
  <c r="D46" i="19"/>
  <c r="E46" i="19" s="1"/>
  <c r="M45" i="19"/>
  <c r="L45" i="19"/>
  <c r="J45" i="19"/>
  <c r="K45" i="19" s="1"/>
  <c r="G45" i="19"/>
  <c r="F45" i="19"/>
  <c r="D45" i="19"/>
  <c r="E45" i="19" s="1"/>
  <c r="M44" i="19"/>
  <c r="L44" i="19"/>
  <c r="J44" i="19"/>
  <c r="K44" i="19" s="1"/>
  <c r="G44" i="19"/>
  <c r="F44" i="19"/>
  <c r="D44" i="19"/>
  <c r="E44" i="19" s="1"/>
  <c r="M43" i="19"/>
  <c r="L43" i="19"/>
  <c r="J43" i="19"/>
  <c r="K43" i="19" s="1"/>
  <c r="G43" i="19"/>
  <c r="F43" i="19"/>
  <c r="D43" i="19"/>
  <c r="E43" i="19" s="1"/>
  <c r="M42" i="19"/>
  <c r="L42" i="19"/>
  <c r="J42" i="19"/>
  <c r="K42" i="19" s="1"/>
  <c r="G42" i="19"/>
  <c r="F42" i="19"/>
  <c r="D42" i="19"/>
  <c r="E42" i="19" s="1"/>
  <c r="M41" i="19"/>
  <c r="L41" i="19"/>
  <c r="J41" i="19"/>
  <c r="K41" i="19" s="1"/>
  <c r="G41" i="19"/>
  <c r="F41" i="19"/>
  <c r="D41" i="19"/>
  <c r="E41" i="19" s="1"/>
  <c r="M40" i="19"/>
  <c r="L40" i="19"/>
  <c r="J40" i="19"/>
  <c r="K40" i="19" s="1"/>
  <c r="G40" i="19"/>
  <c r="F40" i="19"/>
  <c r="D40" i="19"/>
  <c r="E40" i="19" s="1"/>
  <c r="M39" i="19"/>
  <c r="L39" i="19"/>
  <c r="J39" i="19"/>
  <c r="K39" i="19" s="1"/>
  <c r="G39" i="19"/>
  <c r="F39" i="19"/>
  <c r="D39" i="19"/>
  <c r="E39" i="19" s="1"/>
  <c r="M38" i="19"/>
  <c r="L38" i="19"/>
  <c r="J38" i="19"/>
  <c r="K38" i="19" s="1"/>
  <c r="G38" i="19"/>
  <c r="F38" i="19"/>
  <c r="D38" i="19"/>
  <c r="E38" i="19" s="1"/>
  <c r="M37" i="19"/>
  <c r="L37" i="19"/>
  <c r="J37" i="19"/>
  <c r="K37" i="19" s="1"/>
  <c r="G37" i="19"/>
  <c r="F37" i="19"/>
  <c r="D37" i="19"/>
  <c r="E37" i="19" s="1"/>
  <c r="M36" i="19"/>
  <c r="L36" i="19"/>
  <c r="J36" i="19"/>
  <c r="K36" i="19" s="1"/>
  <c r="G36" i="19"/>
  <c r="F36" i="19"/>
  <c r="D36" i="19"/>
  <c r="E36" i="19" s="1"/>
  <c r="M35" i="19"/>
  <c r="L35" i="19"/>
  <c r="J35" i="19"/>
  <c r="K35" i="19" s="1"/>
  <c r="G35" i="19"/>
  <c r="F35" i="19"/>
  <c r="D35" i="19"/>
  <c r="E35" i="19" s="1"/>
  <c r="M34" i="19"/>
  <c r="L34" i="19"/>
  <c r="J34" i="19"/>
  <c r="K34" i="19" s="1"/>
  <c r="G34" i="19"/>
  <c r="F34" i="19"/>
  <c r="D34" i="19"/>
  <c r="E34" i="19" s="1"/>
  <c r="M33" i="19"/>
  <c r="L33" i="19"/>
  <c r="J33" i="19"/>
  <c r="K33" i="19" s="1"/>
  <c r="G33" i="19"/>
  <c r="F33" i="19"/>
  <c r="D33" i="19"/>
  <c r="E33" i="19" s="1"/>
  <c r="M32" i="19"/>
  <c r="L32" i="19"/>
  <c r="J32" i="19"/>
  <c r="K32" i="19" s="1"/>
  <c r="G32" i="19"/>
  <c r="F32" i="19"/>
  <c r="D32" i="19"/>
  <c r="E32" i="19" s="1"/>
  <c r="M31" i="19"/>
  <c r="L31" i="19"/>
  <c r="J31" i="19"/>
  <c r="K31" i="19" s="1"/>
  <c r="G31" i="19"/>
  <c r="F31" i="19"/>
  <c r="D31" i="19"/>
  <c r="E31" i="19" s="1"/>
  <c r="M30" i="19"/>
  <c r="L30" i="19"/>
  <c r="J30" i="19"/>
  <c r="K30" i="19" s="1"/>
  <c r="G30" i="19"/>
  <c r="F30" i="19"/>
  <c r="D30" i="19"/>
  <c r="E30" i="19" s="1"/>
  <c r="R29" i="19"/>
  <c r="M29" i="19"/>
  <c r="L29" i="19"/>
  <c r="J29" i="19"/>
  <c r="G29" i="19"/>
  <c r="F29" i="19"/>
  <c r="D29" i="19"/>
  <c r="E29" i="19" s="1"/>
  <c r="R28" i="19"/>
  <c r="M28" i="19"/>
  <c r="L28" i="19"/>
  <c r="J28" i="19"/>
  <c r="K29" i="19" s="1"/>
  <c r="G28" i="19"/>
  <c r="F28" i="19"/>
  <c r="E28" i="19"/>
  <c r="D28" i="19"/>
  <c r="M27" i="19"/>
  <c r="L27" i="19"/>
  <c r="J27" i="19"/>
  <c r="G27" i="19"/>
  <c r="F27" i="19"/>
  <c r="D27" i="19"/>
  <c r="E27" i="19" s="1"/>
  <c r="M26" i="19"/>
  <c r="L26" i="19"/>
  <c r="J26" i="19"/>
  <c r="K26" i="19" s="1"/>
  <c r="G26" i="19"/>
  <c r="F26" i="19"/>
  <c r="D26" i="19"/>
  <c r="E26" i="19" s="1"/>
  <c r="M25" i="19"/>
  <c r="L25" i="19"/>
  <c r="J25" i="19"/>
  <c r="K25" i="19" s="1"/>
  <c r="G25" i="19"/>
  <c r="F25" i="19"/>
  <c r="D25" i="19"/>
  <c r="E25" i="19" s="1"/>
  <c r="M24" i="19"/>
  <c r="L24" i="19"/>
  <c r="K24" i="19"/>
  <c r="J24" i="19"/>
  <c r="G24" i="19"/>
  <c r="F24" i="19"/>
  <c r="D24" i="19"/>
  <c r="E24" i="19" s="1"/>
  <c r="M23" i="19"/>
  <c r="L23" i="19"/>
  <c r="J23" i="19"/>
  <c r="K23" i="19" s="1"/>
  <c r="G23" i="19"/>
  <c r="F23" i="19"/>
  <c r="E23" i="19"/>
  <c r="D23" i="19"/>
  <c r="M22" i="19"/>
  <c r="L22" i="19"/>
  <c r="J22" i="19"/>
  <c r="K22" i="19" s="1"/>
  <c r="G22" i="19"/>
  <c r="F22" i="19"/>
  <c r="D22" i="19"/>
  <c r="E22" i="19" s="1"/>
  <c r="M21" i="19"/>
  <c r="L21" i="19"/>
  <c r="J21" i="19"/>
  <c r="K21" i="19" s="1"/>
  <c r="G21" i="19"/>
  <c r="F21" i="19"/>
  <c r="D21" i="19"/>
  <c r="E21" i="19" s="1"/>
  <c r="M20" i="19"/>
  <c r="L20" i="19"/>
  <c r="J20" i="19"/>
  <c r="K20" i="19" s="1"/>
  <c r="G20" i="19"/>
  <c r="F20" i="19"/>
  <c r="D20" i="19"/>
  <c r="E20" i="19" s="1"/>
  <c r="M19" i="19"/>
  <c r="L19" i="19"/>
  <c r="J19" i="19"/>
  <c r="K19" i="19" s="1"/>
  <c r="G19" i="19"/>
  <c r="F19" i="19"/>
  <c r="D19" i="19"/>
  <c r="E19" i="19" s="1"/>
  <c r="M18" i="19"/>
  <c r="L18" i="19"/>
  <c r="J18" i="19"/>
  <c r="K18" i="19" s="1"/>
  <c r="G18" i="19"/>
  <c r="F18" i="19"/>
  <c r="D18" i="19"/>
  <c r="E18" i="19" s="1"/>
  <c r="R17" i="19"/>
  <c r="M17" i="19"/>
  <c r="L17" i="19"/>
  <c r="J17" i="19"/>
  <c r="G17" i="19"/>
  <c r="F17" i="19"/>
  <c r="E17" i="19"/>
  <c r="D17" i="19"/>
  <c r="R16" i="19"/>
  <c r="M16" i="19"/>
  <c r="L16" i="19"/>
  <c r="J16" i="19"/>
  <c r="K17" i="19" s="1"/>
  <c r="G16" i="19"/>
  <c r="F16" i="19"/>
  <c r="D16" i="19"/>
  <c r="E16" i="19" s="1"/>
  <c r="M15" i="19"/>
  <c r="L15" i="19"/>
  <c r="J15" i="19"/>
  <c r="G15" i="19"/>
  <c r="F15" i="19"/>
  <c r="D15" i="19"/>
  <c r="E15" i="19" s="1"/>
  <c r="M14" i="19"/>
  <c r="L14" i="19"/>
  <c r="J14" i="19"/>
  <c r="K15" i="19" s="1"/>
  <c r="G14" i="19"/>
  <c r="F14" i="19"/>
  <c r="E14" i="19"/>
  <c r="D14" i="19"/>
  <c r="M13" i="19"/>
  <c r="L13" i="19"/>
  <c r="J13" i="19"/>
  <c r="K13" i="19" s="1"/>
  <c r="G13" i="19"/>
  <c r="F13" i="19"/>
  <c r="D13" i="19"/>
  <c r="E13" i="19" s="1"/>
  <c r="M12" i="19"/>
  <c r="L12" i="19"/>
  <c r="J12" i="19"/>
  <c r="K12" i="19" s="1"/>
  <c r="G12" i="19"/>
  <c r="F12" i="19"/>
  <c r="D12" i="19"/>
  <c r="E12" i="19" s="1"/>
  <c r="M11" i="19"/>
  <c r="L11" i="19"/>
  <c r="J11" i="19"/>
  <c r="K11" i="19" s="1"/>
  <c r="G11" i="19"/>
  <c r="F11" i="19"/>
  <c r="E11" i="19"/>
  <c r="D11" i="19"/>
  <c r="M10" i="19"/>
  <c r="L10" i="19"/>
  <c r="K10" i="19"/>
  <c r="G10" i="19"/>
  <c r="F10" i="19"/>
  <c r="E10" i="19"/>
  <c r="M9" i="19"/>
  <c r="L9" i="19"/>
  <c r="K9" i="19"/>
  <c r="G9" i="19"/>
  <c r="F9" i="19"/>
  <c r="E9" i="19"/>
  <c r="M8" i="19"/>
  <c r="L8" i="19"/>
  <c r="K8" i="19"/>
  <c r="G8" i="19"/>
  <c r="F8" i="19"/>
  <c r="E8" i="19"/>
  <c r="M7" i="19"/>
  <c r="L7" i="19"/>
  <c r="K7" i="19"/>
  <c r="G7" i="19"/>
  <c r="F7" i="19"/>
  <c r="E7" i="19"/>
  <c r="R11" i="19" s="1"/>
  <c r="R14" i="19" s="1"/>
  <c r="I70" i="12"/>
  <c r="E70" i="12"/>
  <c r="I69" i="12"/>
  <c r="E69" i="12"/>
  <c r="I68" i="12"/>
  <c r="E68" i="12"/>
  <c r="I67" i="12"/>
  <c r="E67" i="12"/>
  <c r="I66" i="12"/>
  <c r="E66" i="12"/>
  <c r="I65" i="12"/>
  <c r="E65" i="12"/>
  <c r="I64" i="12"/>
  <c r="E64" i="12"/>
  <c r="I63" i="12"/>
  <c r="E63" i="12"/>
  <c r="I62" i="12"/>
  <c r="E62" i="12"/>
  <c r="I61" i="12"/>
  <c r="E61" i="12"/>
  <c r="I60" i="12"/>
  <c r="E60" i="12"/>
  <c r="I59" i="12"/>
  <c r="E59" i="12"/>
  <c r="I58" i="12"/>
  <c r="E58" i="12"/>
  <c r="I57" i="12"/>
  <c r="E57" i="12"/>
  <c r="I56" i="12"/>
  <c r="E56" i="12"/>
  <c r="I55" i="12"/>
  <c r="E55" i="12"/>
  <c r="I54" i="12"/>
  <c r="E54" i="12"/>
  <c r="I53" i="12"/>
  <c r="E53" i="12"/>
  <c r="I52" i="12"/>
  <c r="E52" i="12"/>
  <c r="I51" i="12"/>
  <c r="E51" i="12"/>
  <c r="I50" i="12"/>
  <c r="E50" i="12"/>
  <c r="I49" i="12"/>
  <c r="E49" i="12"/>
  <c r="I48" i="12"/>
  <c r="H48" i="12"/>
  <c r="E48" i="12"/>
  <c r="D48" i="12"/>
  <c r="I47" i="12"/>
  <c r="H47" i="12"/>
  <c r="E47" i="12"/>
  <c r="D47" i="12"/>
  <c r="I46" i="12"/>
  <c r="H46" i="12"/>
  <c r="E46" i="12"/>
  <c r="D46" i="12"/>
  <c r="I45" i="12"/>
  <c r="H45" i="12"/>
  <c r="E45" i="12"/>
  <c r="D45" i="12"/>
  <c r="I44" i="12"/>
  <c r="H44" i="12"/>
  <c r="E44" i="12"/>
  <c r="D44" i="12"/>
  <c r="I43" i="12"/>
  <c r="H43" i="12"/>
  <c r="E43" i="12"/>
  <c r="D43" i="12"/>
  <c r="I42" i="12"/>
  <c r="H42" i="12"/>
  <c r="E42" i="12"/>
  <c r="D42" i="12"/>
  <c r="I41" i="12"/>
  <c r="H41" i="12"/>
  <c r="E41" i="12"/>
  <c r="D41" i="12"/>
  <c r="I40" i="12"/>
  <c r="H40" i="12"/>
  <c r="E40" i="12"/>
  <c r="D40" i="12"/>
  <c r="I39" i="12"/>
  <c r="H39" i="12"/>
  <c r="E39" i="12"/>
  <c r="D39" i="12"/>
  <c r="I38" i="12"/>
  <c r="H38" i="12"/>
  <c r="E38" i="12"/>
  <c r="D38" i="12"/>
  <c r="I37" i="12"/>
  <c r="H37" i="12"/>
  <c r="E37" i="12"/>
  <c r="D37" i="12"/>
  <c r="I36" i="12"/>
  <c r="H36" i="12"/>
  <c r="E36" i="12"/>
  <c r="D36" i="12"/>
  <c r="I35" i="12"/>
  <c r="H35" i="12"/>
  <c r="E35" i="12"/>
  <c r="D35" i="12"/>
  <c r="I34" i="12"/>
  <c r="H34" i="12"/>
  <c r="E34" i="12"/>
  <c r="D34" i="12"/>
  <c r="I33" i="12"/>
  <c r="H33" i="12"/>
  <c r="E33" i="12"/>
  <c r="D33" i="12"/>
  <c r="I32" i="12"/>
  <c r="H32" i="12"/>
  <c r="E32" i="12"/>
  <c r="D32" i="12"/>
  <c r="I31" i="12"/>
  <c r="H31" i="12"/>
  <c r="E31" i="12"/>
  <c r="D31" i="12"/>
  <c r="I30" i="12"/>
  <c r="H30" i="12"/>
  <c r="E30" i="12"/>
  <c r="D30" i="12"/>
  <c r="I29" i="12"/>
  <c r="H29" i="12"/>
  <c r="E29" i="12"/>
  <c r="D29" i="12"/>
  <c r="I28" i="12"/>
  <c r="H28" i="12"/>
  <c r="E28" i="12"/>
  <c r="D28" i="12"/>
  <c r="N27" i="12"/>
  <c r="I27" i="12"/>
  <c r="H27" i="12"/>
  <c r="E27" i="12"/>
  <c r="D27" i="12"/>
  <c r="I26" i="12"/>
  <c r="H26" i="12"/>
  <c r="E26" i="12"/>
  <c r="D26" i="12"/>
  <c r="I25" i="12"/>
  <c r="H25" i="12"/>
  <c r="E25" i="12"/>
  <c r="D25" i="12"/>
  <c r="I24" i="12"/>
  <c r="H24" i="12"/>
  <c r="E24" i="12"/>
  <c r="D24" i="12"/>
  <c r="I23" i="12"/>
  <c r="H23" i="12"/>
  <c r="E23" i="12"/>
  <c r="D23" i="12"/>
  <c r="I22" i="12"/>
  <c r="H22" i="12"/>
  <c r="E22" i="12"/>
  <c r="D22" i="12"/>
  <c r="I21" i="12"/>
  <c r="H21" i="12"/>
  <c r="E21" i="12"/>
  <c r="D21" i="12"/>
  <c r="I20" i="12"/>
  <c r="H20" i="12"/>
  <c r="E20" i="12"/>
  <c r="D20" i="12"/>
  <c r="I19" i="12"/>
  <c r="H19" i="12"/>
  <c r="E19" i="12"/>
  <c r="D19" i="12"/>
  <c r="I18" i="12"/>
  <c r="H18" i="12"/>
  <c r="E18" i="12"/>
  <c r="D18" i="12"/>
  <c r="N10" i="12" s="1"/>
  <c r="I17" i="12"/>
  <c r="H17" i="12"/>
  <c r="E17" i="12"/>
  <c r="D17" i="12"/>
  <c r="N16" i="12"/>
  <c r="I16" i="12"/>
  <c r="H16" i="12"/>
  <c r="E16" i="12"/>
  <c r="D16" i="12"/>
  <c r="I15" i="12"/>
  <c r="H15" i="12"/>
  <c r="E15" i="12"/>
  <c r="D15" i="12"/>
  <c r="I14" i="12"/>
  <c r="H14" i="12"/>
  <c r="E14" i="12"/>
  <c r="D14" i="12"/>
  <c r="I13" i="12"/>
  <c r="H13" i="12"/>
  <c r="E13" i="12"/>
  <c r="D13" i="12"/>
  <c r="I12" i="12"/>
  <c r="H12" i="12"/>
  <c r="E12" i="12"/>
  <c r="D12" i="12"/>
  <c r="I11" i="12"/>
  <c r="H11" i="12"/>
  <c r="N21" i="12" s="1"/>
  <c r="N24" i="12" s="1" a="1"/>
  <c r="N24" i="12" s="1"/>
  <c r="E11" i="12"/>
  <c r="D11" i="12"/>
  <c r="N11" i="12" s="1"/>
  <c r="N14" i="12" s="1"/>
  <c r="N15" i="12" s="1"/>
  <c r="I10" i="12"/>
  <c r="E10" i="12"/>
  <c r="I9" i="12"/>
  <c r="E9" i="12"/>
  <c r="I8" i="12"/>
  <c r="E8" i="12"/>
  <c r="I7" i="12"/>
  <c r="E7" i="12"/>
  <c r="N12" i="12" s="1" a="1"/>
  <c r="N12" i="12" s="1"/>
  <c r="G8" i="12" l="1"/>
  <c r="G27" i="12"/>
  <c r="F9" i="12"/>
  <c r="F25" i="12"/>
  <c r="G19" i="12"/>
  <c r="G28" i="12"/>
  <c r="G31" i="12"/>
  <c r="G34" i="12"/>
  <c r="G47" i="12"/>
  <c r="G44" i="12"/>
  <c r="F47" i="12"/>
  <c r="F44" i="12"/>
  <c r="F41" i="12"/>
  <c r="F38" i="12"/>
  <c r="F35" i="12"/>
  <c r="G48" i="12"/>
  <c r="G45" i="12"/>
  <c r="G22" i="12"/>
  <c r="F32" i="12"/>
  <c r="F29" i="12"/>
  <c r="G21" i="12"/>
  <c r="G18" i="12"/>
  <c r="F14" i="12"/>
  <c r="G42" i="12"/>
  <c r="G36" i="12"/>
  <c r="G33" i="12"/>
  <c r="G30" i="12"/>
  <c r="F21" i="12"/>
  <c r="F18" i="12"/>
  <c r="G15" i="12"/>
  <c r="G39" i="12"/>
  <c r="G16" i="12"/>
  <c r="F16" i="12"/>
  <c r="F15" i="12"/>
  <c r="G9" i="12"/>
  <c r="G46" i="12"/>
  <c r="G43" i="12"/>
  <c r="G40" i="12"/>
  <c r="G37" i="12"/>
  <c r="G12" i="12"/>
  <c r="F43" i="12"/>
  <c r="F40" i="12"/>
  <c r="F37" i="12"/>
  <c r="F34" i="12"/>
  <c r="F31" i="12"/>
  <c r="G24" i="12"/>
  <c r="G20" i="12"/>
  <c r="G17" i="12"/>
  <c r="F46" i="12"/>
  <c r="F28" i="12"/>
  <c r="F12" i="12"/>
  <c r="G13" i="12"/>
  <c r="F13" i="12"/>
  <c r="G25" i="12"/>
  <c r="F24" i="12"/>
  <c r="G10" i="12"/>
  <c r="F22" i="12"/>
  <c r="G11" i="12"/>
  <c r="G14" i="12"/>
  <c r="F17" i="12"/>
  <c r="F20" i="12"/>
  <c r="G23" i="12"/>
  <c r="G26" i="12"/>
  <c r="G29" i="12"/>
  <c r="G32" i="12"/>
  <c r="G35" i="12"/>
  <c r="G38" i="12"/>
  <c r="G41" i="12"/>
  <c r="N23" i="12" a="1"/>
  <c r="N23" i="12" s="1"/>
  <c r="F30" i="12"/>
  <c r="F33" i="12"/>
  <c r="F36" i="12"/>
  <c r="F39" i="12"/>
  <c r="F42" i="12"/>
  <c r="F45" i="12"/>
  <c r="F48" i="12"/>
  <c r="N22" i="12"/>
  <c r="N25" i="12" s="1"/>
  <c r="N26" i="12" s="1"/>
  <c r="R10" i="19"/>
  <c r="R13" i="19" s="1" a="1"/>
  <c r="R13" i="19" s="1"/>
  <c r="K27" i="19"/>
  <c r="K14" i="19"/>
  <c r="K28" i="19"/>
  <c r="R12" i="19" a="1"/>
  <c r="R12" i="19" s="1"/>
  <c r="R15" i="19" s="1"/>
  <c r="F7" i="12"/>
  <c r="F23" i="12"/>
  <c r="K16" i="19"/>
  <c r="R22" i="19" s="1"/>
  <c r="G7" i="12"/>
  <c r="F11" i="12"/>
  <c r="F19" i="12"/>
  <c r="F27" i="12"/>
  <c r="N13" i="12" a="1"/>
  <c r="N13" i="12" s="1"/>
  <c r="F26" i="12"/>
  <c r="F8" i="12"/>
  <c r="F10" i="12"/>
  <c r="I28" i="19" l="1"/>
  <c r="I14" i="19"/>
  <c r="I8" i="19"/>
  <c r="I25" i="19"/>
  <c r="I12" i="19"/>
  <c r="H28" i="19"/>
  <c r="I27" i="19"/>
  <c r="H14" i="19"/>
  <c r="I9" i="19"/>
  <c r="H9" i="19"/>
  <c r="I24" i="19"/>
  <c r="H24" i="19"/>
  <c r="I22" i="19"/>
  <c r="I21" i="19"/>
  <c r="I20" i="19"/>
  <c r="I19" i="19"/>
  <c r="I18" i="19"/>
  <c r="H22" i="19"/>
  <c r="H21" i="19"/>
  <c r="H20" i="19"/>
  <c r="H19" i="19"/>
  <c r="H18" i="19"/>
  <c r="I47" i="19"/>
  <c r="I46" i="19"/>
  <c r="I45" i="19"/>
  <c r="H48" i="19"/>
  <c r="H47" i="19"/>
  <c r="H46" i="19"/>
  <c r="H45" i="19"/>
  <c r="H44" i="19"/>
  <c r="H43" i="19"/>
  <c r="H42" i="19"/>
  <c r="H41" i="19"/>
  <c r="H40" i="19"/>
  <c r="H39" i="19"/>
  <c r="H38" i="19"/>
  <c r="H37" i="19"/>
  <c r="H36" i="19"/>
  <c r="H35" i="19"/>
  <c r="H34" i="19"/>
  <c r="H33" i="19"/>
  <c r="H32" i="19"/>
  <c r="H31" i="19"/>
  <c r="H30" i="19"/>
  <c r="H16" i="19"/>
  <c r="I15" i="19"/>
  <c r="I7" i="19"/>
  <c r="I32" i="19"/>
  <c r="I34" i="19"/>
  <c r="I36" i="19"/>
  <c r="I29" i="19"/>
  <c r="I43" i="19"/>
  <c r="H26" i="19"/>
  <c r="H29" i="19"/>
  <c r="H23" i="19"/>
  <c r="I38" i="19"/>
  <c r="H12" i="19"/>
  <c r="H10" i="19"/>
  <c r="I40" i="19"/>
  <c r="I16" i="19"/>
  <c r="H11" i="19"/>
  <c r="H25" i="19"/>
  <c r="I31" i="19"/>
  <c r="H17" i="19"/>
  <c r="H13" i="19"/>
  <c r="I41" i="19"/>
  <c r="I11" i="19"/>
  <c r="I42" i="19"/>
  <c r="H8" i="19"/>
  <c r="H27" i="19"/>
  <c r="I33" i="19"/>
  <c r="I13" i="19"/>
  <c r="I44" i="19"/>
  <c r="I10" i="19"/>
  <c r="I35" i="19"/>
  <c r="I30" i="19"/>
  <c r="I26" i="19"/>
  <c r="I48" i="19"/>
  <c r="I23" i="19"/>
  <c r="I37" i="19"/>
  <c r="I39" i="19"/>
  <c r="H15" i="19"/>
  <c r="I17" i="19"/>
  <c r="H7" i="19"/>
  <c r="K48" i="12"/>
  <c r="K45" i="12"/>
  <c r="J48" i="12"/>
  <c r="J45" i="12"/>
  <c r="J42" i="12"/>
  <c r="J39" i="12"/>
  <c r="J33" i="12"/>
  <c r="J30" i="12"/>
  <c r="K27" i="12"/>
  <c r="K46" i="12"/>
  <c r="K43" i="12"/>
  <c r="K40" i="12"/>
  <c r="K37" i="12"/>
  <c r="K34" i="12"/>
  <c r="K31" i="12"/>
  <c r="J36" i="12"/>
  <c r="J22" i="12"/>
  <c r="K19" i="12"/>
  <c r="K11" i="12"/>
  <c r="J19" i="12"/>
  <c r="K23" i="12"/>
  <c r="K28" i="12"/>
  <c r="K9" i="12"/>
  <c r="K13" i="12"/>
  <c r="J13" i="12"/>
  <c r="K7" i="12"/>
  <c r="J23" i="12"/>
  <c r="K12" i="12"/>
  <c r="K47" i="12"/>
  <c r="K44" i="12"/>
  <c r="K41" i="12"/>
  <c r="K38" i="12"/>
  <c r="K35" i="12"/>
  <c r="K14" i="12"/>
  <c r="J47" i="12"/>
  <c r="J14" i="12"/>
  <c r="J44" i="12"/>
  <c r="J41" i="12"/>
  <c r="J38" i="12"/>
  <c r="J35" i="12"/>
  <c r="J32" i="12"/>
  <c r="J29" i="12"/>
  <c r="K21" i="12"/>
  <c r="K18" i="12"/>
  <c r="K26" i="12"/>
  <c r="K10" i="12"/>
  <c r="K8" i="12"/>
  <c r="K15" i="12"/>
  <c r="J10" i="12"/>
  <c r="J26" i="12"/>
  <c r="J8" i="12"/>
  <c r="J43" i="12"/>
  <c r="J7" i="12"/>
  <c r="J24" i="12"/>
  <c r="K29" i="12"/>
  <c r="J11" i="12"/>
  <c r="J37" i="12"/>
  <c r="K25" i="12"/>
  <c r="K33" i="12"/>
  <c r="J34" i="12"/>
  <c r="K22" i="12"/>
  <c r="J9" i="12"/>
  <c r="J25" i="12"/>
  <c r="R25" i="19" a="1"/>
  <c r="R25" i="19" s="1"/>
  <c r="J31" i="12"/>
  <c r="J27" i="12"/>
  <c r="J28" i="12"/>
  <c r="J20" i="12"/>
  <c r="K16" i="12"/>
  <c r="R23" i="19"/>
  <c r="J46" i="12"/>
  <c r="J40" i="12"/>
  <c r="J17" i="12"/>
  <c r="K20" i="12"/>
  <c r="K42" i="12"/>
  <c r="K32" i="12"/>
  <c r="J21" i="12"/>
  <c r="J16" i="12"/>
  <c r="K17" i="12"/>
  <c r="J18" i="12"/>
  <c r="K39" i="12"/>
  <c r="J15" i="12"/>
  <c r="K36" i="12"/>
  <c r="J12" i="12"/>
  <c r="K30" i="12"/>
  <c r="K24" i="12"/>
  <c r="R26" i="19" l="1"/>
  <c r="R27" i="19" s="1"/>
  <c r="R24" i="19" a="1"/>
  <c r="R24" i="19" s="1"/>
  <c r="O24" i="19" l="1"/>
  <c r="O10" i="19"/>
  <c r="N24" i="19"/>
  <c r="O23" i="19"/>
  <c r="O47" i="19"/>
  <c r="O45" i="19"/>
  <c r="O43" i="19"/>
  <c r="O41" i="19"/>
  <c r="O39" i="19"/>
  <c r="O37" i="19"/>
  <c r="O34" i="19"/>
  <c r="O32" i="19"/>
  <c r="O30" i="19"/>
  <c r="N10" i="19"/>
  <c r="O48" i="19"/>
  <c r="O46" i="19"/>
  <c r="O44" i="19"/>
  <c r="O42" i="19"/>
  <c r="O40" i="19"/>
  <c r="O38" i="19"/>
  <c r="O36" i="19"/>
  <c r="O33" i="19"/>
  <c r="O31" i="19"/>
  <c r="N17" i="19"/>
  <c r="O16" i="19"/>
  <c r="O17" i="19"/>
  <c r="O35" i="19"/>
  <c r="N48" i="19"/>
  <c r="N47" i="19"/>
  <c r="N46" i="19"/>
  <c r="N45" i="19"/>
  <c r="O28" i="19"/>
  <c r="O14" i="19"/>
  <c r="O7" i="19"/>
  <c r="N28" i="19"/>
  <c r="O27" i="19"/>
  <c r="N14" i="19"/>
  <c r="N7" i="19"/>
  <c r="O26" i="19"/>
  <c r="O13" i="19"/>
  <c r="O8" i="19"/>
  <c r="N26" i="19"/>
  <c r="N13" i="19"/>
  <c r="N8" i="19"/>
  <c r="N25" i="19"/>
  <c r="N12" i="19"/>
  <c r="O11" i="19"/>
  <c r="N9" i="19"/>
  <c r="N39" i="19"/>
  <c r="O20" i="19"/>
  <c r="O15" i="19"/>
  <c r="N42" i="19"/>
  <c r="N41" i="19"/>
  <c r="O22" i="19"/>
  <c r="N44" i="19"/>
  <c r="O12" i="19"/>
  <c r="N43" i="19"/>
  <c r="O25" i="19"/>
  <c r="N22" i="19"/>
  <c r="N37" i="19"/>
  <c r="N27" i="19"/>
  <c r="N21" i="19"/>
  <c r="N20" i="19"/>
  <c r="N33" i="19"/>
  <c r="N36" i="19"/>
  <c r="O18" i="19"/>
  <c r="O29" i="19"/>
  <c r="O19" i="19"/>
  <c r="N15" i="19"/>
  <c r="N18" i="19"/>
  <c r="N29" i="19"/>
  <c r="N19" i="19"/>
  <c r="N30" i="19"/>
  <c r="O21" i="19"/>
  <c r="N32" i="19"/>
  <c r="N31" i="19"/>
  <c r="O9" i="19"/>
  <c r="N34" i="19"/>
  <c r="N11" i="19"/>
  <c r="N16" i="19"/>
  <c r="N40" i="19"/>
  <c r="N35" i="19"/>
  <c r="N38" i="19"/>
  <c r="N23" i="1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tc={6AE41525-C545-4B83-8686-2D973E356B51}</author>
    <author>tc={D1C5CD7B-740D-43CC-A2B1-661E9701F950}</author>
    <author>tc={D6513010-1C40-479E-8D93-3E5E664A5DD3}</author>
    <author>tc={D716A400-1BA0-4A74-B84E-CB03860A1D57}</author>
    <author>tc={7162E970-0C82-40C0-9D82-4DB3CD06F48A}</author>
    <author>tc={ABA66A1D-C810-456B-991F-51AB6F2F5F4A}</author>
    <author>tc={8DD349DE-7478-43D5-9443-337E52D93429}</author>
  </authors>
  <commentList>
    <comment ref="B11" authorId="0" shapeId="0" xr:uid="{6AE41525-C545-4B83-8686-2D973E356B51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red zone</t>
      </text>
    </comment>
    <comment ref="B17" authorId="1" shapeId="0" xr:uid="{D1C5CD7B-740D-43CC-A2B1-661E9701F950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partial lockdown (north)</t>
      </text>
    </comment>
    <comment ref="B21" authorId="2" shapeId="0" xr:uid="{D6513010-1C40-479E-8D93-3E5E664A5DD3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school closure (Italy)</t>
      </text>
    </comment>
    <comment ref="B24" authorId="3" shapeId="0" xr:uid="{D716A400-1BA0-4A74-B84E-CB03860A1D57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lockdown (north)</t>
      </text>
    </comment>
    <comment ref="B26" authorId="4" shapeId="0" xr:uid="{7162E970-0C82-40C0-9D82-4DB3CD06F48A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partial lockdown (Italy)</t>
      </text>
    </comment>
    <comment ref="B28" authorId="5" shapeId="0" xr:uid="{ABA66A1D-C810-456B-991F-51AB6F2F5F4A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lockdown (Italy)</t>
      </text>
    </comment>
    <comment ref="B39" authorId="6" shapeId="0" xr:uid="{8DD349DE-7478-43D5-9443-337E52D93429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reinforced lockdown (Italy)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tc={5FD8839A-74E9-44C2-B5F2-F977D0EA3D98}</author>
    <author>tc={95B83D2D-5EDB-4C8F-91A8-36D622D74B5B}</author>
    <author>tc={FB6547ED-429A-49D7-8367-DE2107BFB931}</author>
    <author>tc={18DCC697-BA7F-479A-8641-1D7FCDC0672D}</author>
    <author>tc={5FB23112-C2D9-44D1-9DAD-0448A5341B10}</author>
    <author>tc={90A59D2F-F1E2-4415-85BD-E03CA55CB6FA}</author>
    <author>tc={0E1A0D26-B3B0-42D1-A5BA-750B79DBB49F}</author>
  </authors>
  <commentList>
    <comment ref="B11" authorId="0" shapeId="0" xr:uid="{5FD8839A-74E9-44C2-B5F2-F977D0EA3D98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red zone</t>
      </text>
    </comment>
    <comment ref="B17" authorId="1" shapeId="0" xr:uid="{95B83D2D-5EDB-4C8F-91A8-36D622D74B5B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partial lockdown (north)</t>
      </text>
    </comment>
    <comment ref="B21" authorId="2" shapeId="0" xr:uid="{FB6547ED-429A-49D7-8367-DE2107BFB931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school closure (Italy)</t>
      </text>
    </comment>
    <comment ref="B24" authorId="3" shapeId="0" xr:uid="{18DCC697-BA7F-479A-8641-1D7FCDC0672D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lockdown (north)</t>
      </text>
    </comment>
    <comment ref="B26" authorId="4" shapeId="0" xr:uid="{5FB23112-C2D9-44D1-9DAD-0448A5341B10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partial lockdown (Italy)</t>
      </text>
    </comment>
    <comment ref="B28" authorId="5" shapeId="0" xr:uid="{90A59D2F-F1E2-4415-85BD-E03CA55CB6FA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lockdown (Italy)</t>
      </text>
    </comment>
    <comment ref="B39" authorId="6" shapeId="0" xr:uid="{0E1A0D26-B3B0-42D1-A5BA-750B79DBB49F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reinforced lockdown (Italy)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897CD08-FC61-4FE4-AB7F-5BD4BDD5E72A}" keepAlive="1" name="Query - dpc-covid19-ita-andamento-nazionale" description="Connessione alla query 'dpc-covid19-ita-andamento-nazionale' nella cartella di lavoro." type="5" refreshedVersion="6" background="1" saveData="1">
    <dbPr connection="Provider=Microsoft.Mashup.OleDb.1;Data Source=$Workbook$;Location=dpc-covid19-ita-andamento-nazionale;Extended Properties=&quot;&quot;" command="SELECT * FROM [dpc-covid19-ita-andamento-nazionale]"/>
  </connection>
  <connection id="2" xr16:uid="{600A235F-1026-4113-A353-F496C5298061}" keepAlive="1" name="Query - dpc-covid19-ita-andamento-nazionale (2)" description="Connessione alla query 'dpc-covid19-ita-andamento-nazionale (2)' nella cartella di lavoro." type="5" refreshedVersion="6" background="1" saveData="1">
    <dbPr connection="Provider=Microsoft.Mashup.OleDb.1;Data Source=$Workbook$;Location=&quot;dpc-covid19-ita-andamento-nazionale (2)&quot;;Extended Properties=&quot;&quot;" command="SELECT * FROM [dpc-covid19-ita-andamento-nazionale (2)]"/>
  </connection>
  <connection id="3" xr16:uid="{34ADFF1E-043C-4677-B979-DBE7398C19BF}" keepAlive="1" name="Query - dpc-covid19-ita-andamento-nazionale (3)" description="Connessione alla query 'dpc-covid19-ita-andamento-nazionale (3)' nella cartella di lavoro." type="5" refreshedVersion="6" background="1" saveData="1">
    <dbPr connection="Provider=Microsoft.Mashup.OleDb.1;Data Source=$Workbook$;Location=&quot;dpc-covid19-ita-andamento-nazionale (3)&quot;;Extended Properties=&quot;&quot;" command="SELECT * FROM [dpc-covid19-ita-andamento-nazionale (3)]"/>
  </connection>
  <connection id="4" xr16:uid="{0A0BBF4F-D2A7-4A62-A8DD-1FCF29187A2E}" keepAlive="1" name="Query - dpc-covid19-ita-andamento-nazionale (4)" description="Connessione alla query 'dpc-covid19-ita-andamento-nazionale (4)' nella cartella di lavoro." type="5" refreshedVersion="6" background="1" saveData="1">
    <dbPr connection="Provider=Microsoft.Mashup.OleDb.1;Data Source=$Workbook$;Location=&quot;dpc-covid19-ita-andamento-nazionale (4)&quot;;Extended Properties=&quot;&quot;" command="SELECT * FROM [dpc-covid19-ita-andamento-nazionale (4)]"/>
  </connection>
  <connection id="5" xr16:uid="{5817D752-AE5E-4436-BE45-4BF93E72AC28}" keepAlive="1" name="Query - dpc-covid19-ita-andamento-nazionale (5)" description="Connessione alla query 'dpc-covid19-ita-andamento-nazionale (5)' nella cartella di lavoro." type="5" refreshedVersion="6" background="1" saveData="1">
    <dbPr connection="Provider=Microsoft.Mashup.OleDb.1;Data Source=$Workbook$;Location=&quot;dpc-covid19-ita-andamento-nazionale (5)&quot;;Extended Properties=&quot;&quot;" command="SELECT * FROM [dpc-covid19-ita-andamento-nazionale (5)]"/>
  </connection>
  <connection id="6" xr16:uid="{308F29F2-CB57-4591-A919-F3C0D66F6FC5}" keepAlive="1" name="Query - dpc-covid19-ita-andamento-nazionale (6)" description="Connessione alla query 'dpc-covid19-ita-andamento-nazionale (6)' nella cartella di lavoro." type="5" refreshedVersion="6" background="1" saveData="1">
    <dbPr connection="Provider=Microsoft.Mashup.OleDb.1;Data Source=$Workbook$;Location=&quot;dpc-covid19-ita-andamento-nazionale (6)&quot;;Extended Properties=&quot;&quot;" command="SELECT * FROM [dpc-covid19-ita-andamento-nazionale (6)]"/>
  </connection>
  <connection id="7" xr16:uid="{DDE20D76-1372-414F-B394-222B3F5DAC9C}" keepAlive="1" name="Query - dpc-covid19-ita-andamento-nazionale (7)" description="Connessione alla query 'dpc-covid19-ita-andamento-nazionale (7)' nella cartella di lavoro." type="5" refreshedVersion="6" background="1" saveData="1">
    <dbPr connection="Provider=Microsoft.Mashup.OleDb.1;Data Source=$Workbook$;Location=&quot;dpc-covid19-ita-andamento-nazionale (7)&quot;;Extended Properties=&quot;&quot;" command="SELECT * FROM [dpc-covid19-ita-andamento-nazionale (7)]"/>
  </connection>
  <connection id="8" xr16:uid="{FEE30F67-BB06-4262-8312-A07884C3129D}" keepAlive="1" name="Query - dpc-covid19-ita-andamento-nazionale (8)" description="Connessione alla query 'dpc-covid19-ita-andamento-nazionale (8)' nella cartella di lavoro." type="5" refreshedVersion="6" background="1" saveData="1">
    <dbPr connection="Provider=Microsoft.Mashup.OleDb.1;Data Source=$Workbook$;Location=&quot;dpc-covid19-ita-andamento-nazionale (8)&quot;;Extended Properties=&quot;&quot;" command="SELECT * FROM [dpc-covid19-ita-andamento-nazionale (8)]"/>
  </connection>
  <connection id="9" xr16:uid="{35EC220A-A28A-4804-A7E9-6B59E3FB97E2}" keepAlive="1" name="Query - Tabella1" description="Connessione alla query 'Tabella1' nella cartella di lavoro." type="5" refreshedVersion="6" background="1" saveData="1">
    <dbPr connection="Provider=Microsoft.Mashup.OleDb.1;Data Source=$Workbook$;Location=Tabella1;Extended Properties=&quot;&quot;" command="SELECT * FROM [Tabella1]"/>
  </connection>
  <connection id="10" xr16:uid="{32D9E78D-2352-4A60-B92C-007831B03845}" keepAlive="1" name="ThisWorkbookDataModel" description="Modello di dati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11" xr16:uid="{D40C31B4-445A-4A48-8814-96FBC01F01BB}" name="WorksheetConnection_COVID-19 Italy cases trend - B fit.xlsx!dpc_covid19_ita_andamento_nazionale" type="102" refreshedVersion="6" minRefreshableVersion="5">
    <extLst>
      <ext xmlns:x15="http://schemas.microsoft.com/office/spreadsheetml/2010/11/main" uri="{DE250136-89BD-433C-8126-D09CA5730AF9}">
        <x15:connection id="dpc_covid19_ita_andamento_nazionale" autoDelete="1">
          <x15:rangePr sourceName="_xlcn.WorksheetConnection_COVID19ItalycasestrendBfit.xlsxdpc_covid19_ita_andamento_nazionale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<sst xmlns="http://schemas.openxmlformats.org/spreadsheetml/2006/main" count="211" uniqueCount="74">
  <si>
    <t>K=</t>
  </si>
  <si>
    <t>w=</t>
  </si>
  <si>
    <t>Mean_of_y</t>
  </si>
  <si>
    <t>df</t>
  </si>
  <si>
    <t>SE_of_y</t>
  </si>
  <si>
    <r>
      <t>R</t>
    </r>
    <r>
      <rPr>
        <vertAlign val="superscript"/>
        <sz val="11"/>
        <color theme="1"/>
        <rFont val="Calibri"/>
        <family val="2"/>
        <scheme val="minor"/>
      </rPr>
      <t>2</t>
    </r>
  </si>
  <si>
    <t>Critical_t</t>
  </si>
  <si>
    <t>CI</t>
  </si>
  <si>
    <t>Date</t>
  </si>
  <si>
    <t>Day</t>
  </si>
  <si>
    <t>Confirmed cases</t>
  </si>
  <si>
    <t>Iterative non-linear least squares regression</t>
  </si>
  <si>
    <t>data</t>
  </si>
  <si>
    <t>stato</t>
  </si>
  <si>
    <t>ricoverati_con_sintomi</t>
  </si>
  <si>
    <t>terapia_intensiva</t>
  </si>
  <si>
    <t>totale_ospedalizzati</t>
  </si>
  <si>
    <t>isolamento_domiciliare</t>
  </si>
  <si>
    <t>dimessi_guariti</t>
  </si>
  <si>
    <t>deceduti</t>
  </si>
  <si>
    <t>totale_casi</t>
  </si>
  <si>
    <t>tamponi</t>
  </si>
  <si>
    <t>ITA</t>
  </si>
  <si>
    <r>
      <t>t</t>
    </r>
    <r>
      <rPr>
        <i/>
        <vertAlign val="subscript"/>
        <sz val="14"/>
        <color theme="1"/>
        <rFont val="Calibri"/>
        <family val="2"/>
        <scheme val="minor"/>
      </rPr>
      <t>0</t>
    </r>
    <r>
      <rPr>
        <i/>
        <sz val="14"/>
        <color theme="1"/>
        <rFont val="Calibri"/>
        <family val="2"/>
        <scheme val="minor"/>
      </rPr>
      <t>=</t>
    </r>
  </si>
  <si>
    <r>
      <t>t</t>
    </r>
    <r>
      <rPr>
        <i/>
        <vertAlign val="subscript"/>
        <sz val="11"/>
        <color theme="1"/>
        <rFont val="Calibri"/>
        <family val="2"/>
        <scheme val="minor"/>
      </rPr>
      <t>0</t>
    </r>
    <r>
      <rPr>
        <i/>
        <sz val="11"/>
        <color theme="1"/>
        <rFont val="Calibri"/>
        <family val="2"/>
        <scheme val="minor"/>
      </rPr>
      <t>=</t>
    </r>
  </si>
  <si>
    <t>Cum_confirmed</t>
  </si>
  <si>
    <t>New cases</t>
  </si>
  <si>
    <t>note_it</t>
  </si>
  <si>
    <t>note_en</t>
  </si>
  <si>
    <t/>
  </si>
  <si>
    <t>pd-IT-0003</t>
  </si>
  <si>
    <t>pd-EN-0003</t>
  </si>
  <si>
    <t>pd-IT-0005</t>
  </si>
  <si>
    <t>pd-EN-0005</t>
  </si>
  <si>
    <t>nd-IT-0002</t>
  </si>
  <si>
    <t>nd-EN-0002</t>
  </si>
  <si>
    <t>nd-IT-0004;nd-IT-0006</t>
  </si>
  <si>
    <t>nd-EN-0004;nd-EN-0006</t>
  </si>
  <si>
    <t>nd-IT-0009</t>
  </si>
  <si>
    <t>nd-EN-0009</t>
  </si>
  <si>
    <t>nd-IT-0012;nd-IT-0014</t>
  </si>
  <si>
    <t>nd-EN-0012;nd-EN-0014</t>
  </si>
  <si>
    <t>pd-IT-0007</t>
  </si>
  <si>
    <t>pd-EN-0007</t>
  </si>
  <si>
    <t>C. Upper CI</t>
  </si>
  <si>
    <t>C. Lower CI</t>
  </si>
  <si>
    <t>Confirmed</t>
  </si>
  <si>
    <t>pd-IT-0009</t>
  </si>
  <si>
    <t>pd-EN-0009</t>
  </si>
  <si>
    <t>Modeling function: Power law with exponential cut-off</t>
  </si>
  <si>
    <t>totale_positivi</t>
  </si>
  <si>
    <t>variazione_totale_positivi</t>
  </si>
  <si>
    <t>nuovi_positivi</t>
  </si>
  <si>
    <t>Deaths</t>
  </si>
  <si>
    <t>Confirmed fit</t>
  </si>
  <si>
    <t>Deaths fit</t>
  </si>
  <si>
    <t>D. Upper CI</t>
  </si>
  <si>
    <t>D. Lower CI</t>
  </si>
  <si>
    <t>Solver method: GRG non linear engine - option: default</t>
  </si>
  <si>
    <t>Cum_fit</t>
  </si>
  <si>
    <t>New_fit</t>
  </si>
  <si>
    <t>C_Upper CI</t>
  </si>
  <si>
    <t>C_Lower CI</t>
  </si>
  <si>
    <t>Cum_deaths</t>
  </si>
  <si>
    <t>New deaths</t>
  </si>
  <si>
    <t>Cum_D_fit</t>
  </si>
  <si>
    <t>New_D_fit</t>
  </si>
  <si>
    <t>ND_Upper CI</t>
  </si>
  <si>
    <t>ND_Lower CI</t>
  </si>
  <si>
    <t>K</t>
  </si>
  <si>
    <t>saturation value</t>
  </si>
  <si>
    <t>Peak value</t>
  </si>
  <si>
    <t>t-Peak</t>
  </si>
  <si>
    <t>fitting parameter - constraint (none)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</si>
</sst>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0000"/>
  </numFmts>
  <fonts count="1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i/>
      <vertAlign val="subscript"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bscript"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5" fillId="3" borderId="1" applyNumberFormat="0" applyFont="0" applyAlignment="0" applyProtection="0"/>
  </cellStyleXfs>
  <cellXfs count="42">
    <xf numFmtId="0" fontId="0" fillId="0" borderId="0" xfId="0"/>
    <xf numFmtId="1" fontId="0" fillId="0" borderId="0" xfId="0" applyNumberFormat="1"/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Fill="1"/>
    <xf numFmtId="2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 wrapText="1"/>
    </xf>
    <xf numFmtId="16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4" fillId="0" borderId="0" xfId="0" applyFont="1"/>
    <xf numFmtId="0" fontId="4" fillId="0" borderId="0" xfId="0" applyFont="1" applyBorder="1"/>
    <xf numFmtId="0" fontId="0" fillId="0" borderId="0" xfId="0" applyBorder="1"/>
    <xf numFmtId="0" fontId="1" fillId="0" borderId="0" xfId="0" applyFont="1" applyBorder="1"/>
    <xf numFmtId="0" fontId="3" fillId="0" borderId="0" xfId="0" applyFont="1" applyBorder="1"/>
    <xf numFmtId="0" fontId="0" fillId="0" borderId="0" xfId="0" applyAlignment="1">
      <alignment horizontal="left" vertical="center"/>
    </xf>
    <xf numFmtId="0" fontId="0" fillId="0" borderId="0" xfId="0" applyNumberFormat="1"/>
    <xf numFmtId="22" fontId="0" fillId="0" borderId="0" xfId="0" applyNumberFormat="1"/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8" fillId="2" borderId="0" xfId="0" applyFont="1" applyFill="1"/>
    <xf numFmtId="16" fontId="0" fillId="3" borderId="1" xfId="1" applyNumberFormat="1" applyFont="1" applyAlignment="1">
      <alignment horizontal="center"/>
    </xf>
    <xf numFmtId="0" fontId="10" fillId="0" borderId="0" xfId="0" applyFont="1" applyAlignment="1">
      <alignment horizontal="center" wrapText="1"/>
    </xf>
    <xf numFmtId="165" fontId="0" fillId="0" borderId="0" xfId="0" applyNumberFormat="1" applyAlignment="1">
      <alignment horizontal="center"/>
    </xf>
    <xf numFmtId="16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3" fillId="0" borderId="0" xfId="0" applyFont="1"/>
    <xf numFmtId="0" fontId="11" fillId="0" borderId="0" xfId="0" applyFont="1" applyAlignment="1">
      <alignment horizontal="center" wrapText="1"/>
    </xf>
    <xf numFmtId="2" fontId="0" fillId="2" borderId="0" xfId="0" applyNumberFormat="1" applyFill="1"/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1" fontId="12" fillId="0" borderId="0" xfId="0" applyNumberFormat="1" applyFont="1" applyAlignment="1">
      <alignment horizontal="center"/>
    </xf>
    <xf numFmtId="0" fontId="0" fillId="0" borderId="0" xfId="0" applyFont="1" applyAlignment="1">
      <alignment horizontal="left" vertical="center"/>
    </xf>
    <xf numFmtId="0" fontId="12" fillId="0" borderId="0" xfId="0" applyFont="1" applyFill="1"/>
    <xf numFmtId="1" fontId="12" fillId="0" borderId="0" xfId="0" applyNumberFormat="1" applyFont="1"/>
    <xf numFmtId="0" fontId="1" fillId="0" borderId="0" xfId="0" applyFont="1" applyFill="1"/>
    <xf numFmtId="1" fontId="1" fillId="0" borderId="0" xfId="0" applyNumberFormat="1" applyFont="1"/>
    <xf numFmtId="0" fontId="13" fillId="2" borderId="0" xfId="0" applyFont="1" applyFill="1"/>
    <xf numFmtId="0" fontId="0" fillId="2" borderId="0" xfId="0" applyFill="1"/>
    <xf numFmtId="164" fontId="0" fillId="2" borderId="0" xfId="0" applyNumberFormat="1" applyFont="1" applyFill="1"/>
  </cellXfs>
  <cellStyles count="2">
    <cellStyle name="Normale" xfId="0" builtinId="0"/>
    <cellStyle name="Nota" xfId="1" builtinId="1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alcChain" Target="calcChain.xml"/><Relationship Id="rId5" Type="http://schemas.openxmlformats.org/officeDocument/2006/relationships/connections" Target="connections.xml"/><Relationship Id="rId10" Type="http://schemas.microsoft.com/office/2017/10/relationships/person" Target="persons/person.xml"/><Relationship Id="rId4" Type="http://schemas.openxmlformats.org/officeDocument/2006/relationships/theme" Target="theme/theme1.xml"/><Relationship Id="rId9" Type="http://schemas.openxmlformats.org/officeDocument/2006/relationships/powerPivotData" Target="model/item.data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COVID-19 Italy Confirmed Cases</a:t>
            </a:r>
          </a:p>
          <a:p>
            <a:pPr>
              <a:defRPr/>
            </a:pPr>
            <a:r>
              <a:rPr lang="it-IT"/>
              <a:t>Cumulative Cases and Deaths - Power</a:t>
            </a:r>
            <a:r>
              <a:rPr lang="it-IT" baseline="0"/>
              <a:t> law w/ Exp. cut-off model fit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'Cumul_confirmed - Power law fit'!$D$6</c:f>
              <c:strCache>
                <c:ptCount val="1"/>
                <c:pt idx="0">
                  <c:v>Confirmed cases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'Cumul_confirmed - Power law fit'!$C$7:$C$70</c:f>
              <c:numCache>
                <c:formatCode>General</c:formatCode>
                <c:ptCount val="6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</c:numCache>
            </c:numRef>
          </c:xVal>
          <c:yVal>
            <c:numRef>
              <c:f>'Cumul_confirmed - Power law fit'!$D$7:$D$70</c:f>
              <c:numCache>
                <c:formatCode>0</c:formatCode>
                <c:ptCount val="64"/>
                <c:pt idx="0">
                  <c:v>3</c:v>
                </c:pt>
                <c:pt idx="1">
                  <c:v>20</c:v>
                </c:pt>
                <c:pt idx="2">
                  <c:v>62</c:v>
                </c:pt>
                <c:pt idx="3">
                  <c:v>155</c:v>
                </c:pt>
                <c:pt idx="4">
                  <c:v>229</c:v>
                </c:pt>
                <c:pt idx="5">
                  <c:v>322</c:v>
                </c:pt>
                <c:pt idx="6">
                  <c:v>400</c:v>
                </c:pt>
                <c:pt idx="7">
                  <c:v>650</c:v>
                </c:pt>
                <c:pt idx="8">
                  <c:v>888</c:v>
                </c:pt>
                <c:pt idx="9">
                  <c:v>1128</c:v>
                </c:pt>
                <c:pt idx="10">
                  <c:v>1694</c:v>
                </c:pt>
                <c:pt idx="11">
                  <c:v>2036</c:v>
                </c:pt>
                <c:pt idx="12">
                  <c:v>2502</c:v>
                </c:pt>
                <c:pt idx="13">
                  <c:v>3089</c:v>
                </c:pt>
                <c:pt idx="14">
                  <c:v>3858</c:v>
                </c:pt>
                <c:pt idx="15">
                  <c:v>4636</c:v>
                </c:pt>
                <c:pt idx="16">
                  <c:v>5883</c:v>
                </c:pt>
                <c:pt idx="17">
                  <c:v>7375</c:v>
                </c:pt>
                <c:pt idx="18">
                  <c:v>9172</c:v>
                </c:pt>
                <c:pt idx="19">
                  <c:v>10149</c:v>
                </c:pt>
                <c:pt idx="20">
                  <c:v>12462</c:v>
                </c:pt>
                <c:pt idx="21">
                  <c:v>15113</c:v>
                </c:pt>
                <c:pt idx="22">
                  <c:v>17660</c:v>
                </c:pt>
                <c:pt idx="23">
                  <c:v>21157</c:v>
                </c:pt>
                <c:pt idx="24">
                  <c:v>24747</c:v>
                </c:pt>
                <c:pt idx="25">
                  <c:v>27980</c:v>
                </c:pt>
                <c:pt idx="26">
                  <c:v>31506</c:v>
                </c:pt>
                <c:pt idx="27">
                  <c:v>35713</c:v>
                </c:pt>
                <c:pt idx="28">
                  <c:v>41035</c:v>
                </c:pt>
                <c:pt idx="29">
                  <c:v>47021</c:v>
                </c:pt>
                <c:pt idx="30">
                  <c:v>53578</c:v>
                </c:pt>
                <c:pt idx="31">
                  <c:v>59138</c:v>
                </c:pt>
                <c:pt idx="32">
                  <c:v>63927</c:v>
                </c:pt>
                <c:pt idx="33">
                  <c:v>69176</c:v>
                </c:pt>
                <c:pt idx="34">
                  <c:v>74386</c:v>
                </c:pt>
                <c:pt idx="35">
                  <c:v>80539</c:v>
                </c:pt>
                <c:pt idx="36">
                  <c:v>86498</c:v>
                </c:pt>
                <c:pt idx="37">
                  <c:v>92472</c:v>
                </c:pt>
                <c:pt idx="38">
                  <c:v>97689</c:v>
                </c:pt>
                <c:pt idx="39">
                  <c:v>101739</c:v>
                </c:pt>
                <c:pt idx="40">
                  <c:v>105792</c:v>
                </c:pt>
                <c:pt idx="41">
                  <c:v>110574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453-4CB1-96E6-9EE72B263DE7}"/>
            </c:ext>
          </c:extLst>
        </c:ser>
        <c:ser>
          <c:idx val="1"/>
          <c:order val="1"/>
          <c:tx>
            <c:strRef>
              <c:f>'Cumul_confirmed - Power law fit'!$E$6</c:f>
              <c:strCache>
                <c:ptCount val="1"/>
                <c:pt idx="0">
                  <c:v>Confirmed fit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'Cumul_confirmed - Power law fit'!$C$7:$C$70</c:f>
              <c:numCache>
                <c:formatCode>General</c:formatCode>
                <c:ptCount val="6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</c:numCache>
            </c:numRef>
          </c:xVal>
          <c:yVal>
            <c:numRef>
              <c:f>'Cumul_confirmed - Power law fit'!$E$7:$E$70</c:f>
              <c:numCache>
                <c:formatCode>General</c:formatCode>
                <c:ptCount val="64"/>
                <c:pt idx="0">
                  <c:v>9.0480196388339536E-7</c:v>
                </c:pt>
                <c:pt idx="1">
                  <c:v>3.724668150061863E-4</c:v>
                </c:pt>
                <c:pt idx="2">
                  <c:v>1.1544890356527523E-2</c:v>
                </c:pt>
                <c:pt idx="3">
                  <c:v>0.12415100728276238</c:v>
                </c:pt>
                <c:pt idx="4">
                  <c:v>0.74766057420581422</c:v>
                </c:pt>
                <c:pt idx="5">
                  <c:v>3.1208781779866261</c:v>
                </c:pt>
                <c:pt idx="6">
                  <c:v>10.117649514221963</c:v>
                </c:pt>
                <c:pt idx="7">
                  <c:v>27.265351341556475</c:v>
                </c:pt>
                <c:pt idx="8">
                  <c:v>63.811840708227002</c:v>
                </c:pt>
                <c:pt idx="9">
                  <c:v>133.64313669797852</c:v>
                </c:pt>
                <c:pt idx="10">
                  <c:v>255.87031217941995</c:v>
                </c:pt>
                <c:pt idx="11">
                  <c:v>454.95682639902401</c:v>
                </c:pt>
                <c:pt idx="12">
                  <c:v>760.32871397379995</c:v>
                </c:pt>
                <c:pt idx="13">
                  <c:v>1205.4827283981756</c:v>
                </c:pt>
                <c:pt idx="14">
                  <c:v>1826.6691879737648</c:v>
                </c:pt>
                <c:pt idx="15">
                  <c:v>2661.2696809179938</c:v>
                </c:pt>
                <c:pt idx="16">
                  <c:v>3746.0125702262262</c:v>
                </c:pt>
                <c:pt idx="17">
                  <c:v>5115.172658627469</c:v>
                </c:pt>
                <c:pt idx="18">
                  <c:v>6798.888987498116</c:v>
                </c:pt>
                <c:pt idx="19">
                  <c:v>8821.7111896107017</c:v>
                </c:pt>
                <c:pt idx="20">
                  <c:v>11201.454871158108</c:v>
                </c:pt>
                <c:pt idx="21">
                  <c:v>13948.414443874794</c:v>
                </c:pt>
                <c:pt idx="22">
                  <c:v>17064.951091201725</c:v>
                </c:pt>
                <c:pt idx="23">
                  <c:v>20545.446575936119</c:v>
                </c:pt>
                <c:pt idx="24">
                  <c:v>24376.591863011941</c:v>
                </c:pt>
                <c:pt idx="25">
                  <c:v>28537.96368530011</c:v>
                </c:pt>
                <c:pt idx="26">
                  <c:v>33002.832203596772</c:v>
                </c:pt>
                <c:pt idx="27">
                  <c:v>37739.138306883113</c:v>
                </c:pt>
                <c:pt idx="28">
                  <c:v>42710.579064727492</c:v>
                </c:pt>
                <c:pt idx="29">
                  <c:v>47877.743426238179</c:v>
                </c:pt>
                <c:pt idx="30">
                  <c:v>53199.246470456557</c:v>
                </c:pt>
                <c:pt idx="31">
                  <c:v>58632.81841441345</c:v>
                </c:pt>
                <c:pt idx="32">
                  <c:v>64136.313348587173</c:v>
                </c:pt>
                <c:pt idx="33">
                  <c:v>69668.611606509585</c:v>
                </c:pt>
                <c:pt idx="34">
                  <c:v>75190.398248655125</c:v>
                </c:pt>
                <c:pt idx="35">
                  <c:v>80664.807961964558</c:v>
                </c:pt>
                <c:pt idx="36">
                  <c:v>86057.933492463853</c:v>
                </c:pt>
                <c:pt idx="37">
                  <c:v>91339.200403306866</c:v>
                </c:pt>
                <c:pt idx="38">
                  <c:v>96481.615443348041</c:v>
                </c:pt>
                <c:pt idx="39">
                  <c:v>101461.89915463101</c:v>
                </c:pt>
                <c:pt idx="40">
                  <c:v>106260.51562643335</c:v>
                </c:pt>
                <c:pt idx="41">
                  <c:v>110861.6136388536</c:v>
                </c:pt>
                <c:pt idx="42">
                  <c:v>115252.89396978942</c:v>
                </c:pt>
                <c:pt idx="43">
                  <c:v>119425.41751183612</c:v>
                </c:pt>
                <c:pt idx="44">
                  <c:v>123373.36820397525</c:v>
                </c:pt>
                <c:pt idx="45">
                  <c:v>127093.78376145898</c:v>
                </c:pt>
                <c:pt idx="46">
                  <c:v>130586.26590688007</c:v>
                </c:pt>
                <c:pt idx="47">
                  <c:v>133852.68037064082</c:v>
                </c:pt>
                <c:pt idx="48">
                  <c:v>136896.85542725641</c:v>
                </c:pt>
                <c:pt idx="49">
                  <c:v>139724.28623540699</c:v>
                </c:pt>
                <c:pt idx="50">
                  <c:v>142341.85080851489</c:v>
                </c:pt>
                <c:pt idx="51">
                  <c:v>144757.54209838228</c:v>
                </c:pt>
                <c:pt idx="52">
                  <c:v>146980.21945380548</c:v>
                </c:pt>
                <c:pt idx="53">
                  <c:v>149019.38163496662</c:v>
                </c:pt>
                <c:pt idx="54">
                  <c:v>150884.96262979749</c:v>
                </c:pt>
                <c:pt idx="55">
                  <c:v>152587.15073040235</c:v>
                </c:pt>
                <c:pt idx="56">
                  <c:v>154136.23068065188</c:v>
                </c:pt>
                <c:pt idx="57">
                  <c:v>155542.44819104546</c:v>
                </c:pt>
                <c:pt idx="58">
                  <c:v>156815.89572212417</c:v>
                </c:pt>
                <c:pt idx="59">
                  <c:v>157966.41814986651</c:v>
                </c:pt>
                <c:pt idx="60">
                  <c:v>159003.53673172163</c:v>
                </c:pt>
                <c:pt idx="61">
                  <c:v>159936.3896763738</c:v>
                </c:pt>
                <c:pt idx="62">
                  <c:v>160773.68757064303</c:v>
                </c:pt>
                <c:pt idx="63">
                  <c:v>161523.68192065132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FF0-4CB3-AB19-55A9226D7056}"/>
            </c:ext>
          </c:extLst>
        </c:ser>
        <c:ser>
          <c:idx val="2"/>
          <c:order val="2"/>
          <c:tx>
            <c:strRef>
              <c:f>'Cumul_confirmed - Power law fit'!$F$6</c:f>
              <c:strCache>
                <c:ptCount val="1"/>
                <c:pt idx="0">
                  <c:v>C. Upper CI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'Cumul_confirmed - Power law fit'!$C$7:$C$70</c:f>
              <c:numCache>
                <c:formatCode>General</c:formatCode>
                <c:ptCount val="6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</c:numCache>
            </c:numRef>
          </c:xVal>
          <c:yVal>
            <c:numRef>
              <c:f>'Cumul_confirmed - Power law fit'!$F$7:$F$70</c:f>
              <c:numCache>
                <c:formatCode>0</c:formatCode>
                <c:ptCount val="64"/>
                <c:pt idx="0">
                  <c:v>2419.0180403120189</c:v>
                </c:pt>
                <c:pt idx="1">
                  <c:v>2419.0184118740317</c:v>
                </c:pt>
                <c:pt idx="2">
                  <c:v>2419.0295842975734</c:v>
                </c:pt>
                <c:pt idx="3">
                  <c:v>2419.1421904144995</c:v>
                </c:pt>
                <c:pt idx="4">
                  <c:v>2419.7656999814226</c:v>
                </c:pt>
                <c:pt idx="5">
                  <c:v>2422.1389175852032</c:v>
                </c:pt>
                <c:pt idx="6">
                  <c:v>2429.1356889214385</c:v>
                </c:pt>
                <c:pt idx="7">
                  <c:v>2446.2833907487734</c:v>
                </c:pt>
                <c:pt idx="8">
                  <c:v>2482.8298801154438</c:v>
                </c:pt>
                <c:pt idx="9">
                  <c:v>2552.6611761051954</c:v>
                </c:pt>
                <c:pt idx="10">
                  <c:v>2674.8883515866369</c:v>
                </c:pt>
                <c:pt idx="11">
                  <c:v>2873.9748658062408</c:v>
                </c:pt>
                <c:pt idx="12">
                  <c:v>3179.3467533810167</c:v>
                </c:pt>
                <c:pt idx="13">
                  <c:v>3624.5007678053926</c:v>
                </c:pt>
                <c:pt idx="14">
                  <c:v>4245.6872273809813</c:v>
                </c:pt>
                <c:pt idx="15">
                  <c:v>5080.2877203252101</c:v>
                </c:pt>
                <c:pt idx="16">
                  <c:v>6165.0306096334425</c:v>
                </c:pt>
                <c:pt idx="17">
                  <c:v>7534.1906980346857</c:v>
                </c:pt>
                <c:pt idx="18">
                  <c:v>9217.9070269053336</c:v>
                </c:pt>
                <c:pt idx="19">
                  <c:v>11240.729229017918</c:v>
                </c:pt>
                <c:pt idx="20">
                  <c:v>13620.472910565324</c:v>
                </c:pt>
                <c:pt idx="21">
                  <c:v>16367.432483282009</c:v>
                </c:pt>
                <c:pt idx="22">
                  <c:v>19483.969130608941</c:v>
                </c:pt>
                <c:pt idx="23">
                  <c:v>22964.464615343335</c:v>
                </c:pt>
                <c:pt idx="24">
                  <c:v>26795.609902419157</c:v>
                </c:pt>
                <c:pt idx="25">
                  <c:v>30956.981724707326</c:v>
                </c:pt>
                <c:pt idx="26">
                  <c:v>35421.850243003988</c:v>
                </c:pt>
                <c:pt idx="27">
                  <c:v>40158.156346290329</c:v>
                </c:pt>
                <c:pt idx="28">
                  <c:v>45129.597104134707</c:v>
                </c:pt>
                <c:pt idx="29">
                  <c:v>50296.761465645395</c:v>
                </c:pt>
                <c:pt idx="30">
                  <c:v>55618.264509863773</c:v>
                </c:pt>
                <c:pt idx="31">
                  <c:v>61051.836453820666</c:v>
                </c:pt>
                <c:pt idx="32">
                  <c:v>66555.331387994389</c:v>
                </c:pt>
                <c:pt idx="33">
                  <c:v>72087.629645916808</c:v>
                </c:pt>
                <c:pt idx="34">
                  <c:v>77609.416288062348</c:v>
                </c:pt>
                <c:pt idx="35">
                  <c:v>83083.826001371781</c:v>
                </c:pt>
                <c:pt idx="36">
                  <c:v>88476.951531871076</c:v>
                </c:pt>
                <c:pt idx="37">
                  <c:v>93758.218442714089</c:v>
                </c:pt>
                <c:pt idx="38">
                  <c:v>98900.633482755264</c:v>
                </c:pt>
                <c:pt idx="39">
                  <c:v>103880.91719403824</c:v>
                </c:pt>
                <c:pt idx="40">
                  <c:v>108679.53366584057</c:v>
                </c:pt>
                <c:pt idx="41">
                  <c:v>113280.63167826082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FF0-4CB3-AB19-55A9226D7056}"/>
            </c:ext>
          </c:extLst>
        </c:ser>
        <c:ser>
          <c:idx val="3"/>
          <c:order val="3"/>
          <c:tx>
            <c:strRef>
              <c:f>'Cumul_confirmed - Power law fit'!$G$6</c:f>
              <c:strCache>
                <c:ptCount val="1"/>
                <c:pt idx="0">
                  <c:v>C. Lower CI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'Cumul_confirmed - Power law fit'!$C$7:$C$70</c:f>
              <c:numCache>
                <c:formatCode>General</c:formatCode>
                <c:ptCount val="6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</c:numCache>
            </c:numRef>
          </c:xVal>
          <c:yVal>
            <c:numRef>
              <c:f>'Cumul_confirmed - Power law fit'!$G$7:$G$70</c:f>
              <c:numCache>
                <c:formatCode>0</c:formatCode>
                <c:ptCount val="6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242.25164151077706</c:v>
                </c:pt>
                <c:pt idx="16">
                  <c:v>1326.9945308190095</c:v>
                </c:pt>
                <c:pt idx="17">
                  <c:v>2696.1546192202522</c:v>
                </c:pt>
                <c:pt idx="18">
                  <c:v>4379.8709480908992</c:v>
                </c:pt>
                <c:pt idx="19">
                  <c:v>6402.6931502034849</c:v>
                </c:pt>
                <c:pt idx="20">
                  <c:v>8782.4368317508925</c:v>
                </c:pt>
                <c:pt idx="21">
                  <c:v>11529.396404467578</c:v>
                </c:pt>
                <c:pt idx="22">
                  <c:v>14645.933051794509</c:v>
                </c:pt>
                <c:pt idx="23">
                  <c:v>18126.428536528903</c:v>
                </c:pt>
                <c:pt idx="24">
                  <c:v>21957.573823604725</c:v>
                </c:pt>
                <c:pt idx="25">
                  <c:v>26118.945645892894</c:v>
                </c:pt>
                <c:pt idx="26">
                  <c:v>30583.814164189556</c:v>
                </c:pt>
                <c:pt idx="27">
                  <c:v>35320.120267475897</c:v>
                </c:pt>
                <c:pt idx="28">
                  <c:v>40291.561025320276</c:v>
                </c:pt>
                <c:pt idx="29">
                  <c:v>45458.725386830964</c:v>
                </c:pt>
                <c:pt idx="30">
                  <c:v>50780.228431049341</c:v>
                </c:pt>
                <c:pt idx="31">
                  <c:v>56213.800375006234</c:v>
                </c:pt>
                <c:pt idx="32">
                  <c:v>61717.295309179957</c:v>
                </c:pt>
                <c:pt idx="33">
                  <c:v>67249.593567102362</c:v>
                </c:pt>
                <c:pt idx="34">
                  <c:v>72771.380209247902</c:v>
                </c:pt>
                <c:pt idx="35">
                  <c:v>78245.789922557335</c:v>
                </c:pt>
                <c:pt idx="36">
                  <c:v>83638.91545305663</c:v>
                </c:pt>
                <c:pt idx="37">
                  <c:v>88920.182363899643</c:v>
                </c:pt>
                <c:pt idx="38">
                  <c:v>94062.597403940817</c:v>
                </c:pt>
                <c:pt idx="39">
                  <c:v>99042.88111522379</c:v>
                </c:pt>
                <c:pt idx="40">
                  <c:v>103841.49758702613</c:v>
                </c:pt>
                <c:pt idx="41">
                  <c:v>108442.59559944637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FF0-4CB3-AB19-55A9226D7056}"/>
            </c:ext>
          </c:extLst>
        </c:ser>
        <c:ser>
          <c:idx val="4"/>
          <c:order val="4"/>
          <c:tx>
            <c:strRef>
              <c:f>'Cumul_confirmed - Power law fit'!$H$6</c:f>
              <c:strCache>
                <c:ptCount val="1"/>
                <c:pt idx="0">
                  <c:v>Deaths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noFill/>
                <a:round/>
              </a:ln>
              <a:effectLst/>
            </c:spPr>
          </c:marker>
          <c:yVal>
            <c:numRef>
              <c:f>'Cumul_confirmed - Power law fit'!$H$7:$H$70</c:f>
              <c:numCache>
                <c:formatCode>General</c:formatCode>
                <c:ptCount val="6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 formatCode="0">
                  <c:v>7</c:v>
                </c:pt>
                <c:pt idx="5" formatCode="0">
                  <c:v>10</c:v>
                </c:pt>
                <c:pt idx="6" formatCode="0">
                  <c:v>12</c:v>
                </c:pt>
                <c:pt idx="7" formatCode="0">
                  <c:v>17</c:v>
                </c:pt>
                <c:pt idx="8" formatCode="0">
                  <c:v>21</c:v>
                </c:pt>
                <c:pt idx="9" formatCode="0">
                  <c:v>29</c:v>
                </c:pt>
                <c:pt idx="10" formatCode="0">
                  <c:v>34</c:v>
                </c:pt>
                <c:pt idx="11" formatCode="0">
                  <c:v>52</c:v>
                </c:pt>
                <c:pt idx="12" formatCode="0">
                  <c:v>79</c:v>
                </c:pt>
                <c:pt idx="13" formatCode="0">
                  <c:v>107</c:v>
                </c:pt>
                <c:pt idx="14" formatCode="0">
                  <c:v>148</c:v>
                </c:pt>
                <c:pt idx="15" formatCode="0">
                  <c:v>197</c:v>
                </c:pt>
                <c:pt idx="16" formatCode="0">
                  <c:v>233</c:v>
                </c:pt>
                <c:pt idx="17" formatCode="0">
                  <c:v>366</c:v>
                </c:pt>
                <c:pt idx="18" formatCode="0">
                  <c:v>463</c:v>
                </c:pt>
                <c:pt idx="19" formatCode="0">
                  <c:v>631</c:v>
                </c:pt>
                <c:pt idx="20" formatCode="0">
                  <c:v>827</c:v>
                </c:pt>
                <c:pt idx="21" formatCode="0">
                  <c:v>1016</c:v>
                </c:pt>
                <c:pt idx="22" formatCode="0">
                  <c:v>1266</c:v>
                </c:pt>
                <c:pt idx="23" formatCode="0">
                  <c:v>1441</c:v>
                </c:pt>
                <c:pt idx="24" formatCode="0">
                  <c:v>1809</c:v>
                </c:pt>
                <c:pt idx="25" formatCode="0">
                  <c:v>2158</c:v>
                </c:pt>
                <c:pt idx="26" formatCode="0">
                  <c:v>2503</c:v>
                </c:pt>
                <c:pt idx="27" formatCode="0">
                  <c:v>2978</c:v>
                </c:pt>
                <c:pt idx="28" formatCode="0">
                  <c:v>3405</c:v>
                </c:pt>
                <c:pt idx="29" formatCode="0">
                  <c:v>4032</c:v>
                </c:pt>
                <c:pt idx="30" formatCode="0">
                  <c:v>4825</c:v>
                </c:pt>
                <c:pt idx="31" formatCode="0">
                  <c:v>5476</c:v>
                </c:pt>
                <c:pt idx="32" formatCode="0">
                  <c:v>6077</c:v>
                </c:pt>
                <c:pt idx="33" formatCode="0">
                  <c:v>6820</c:v>
                </c:pt>
                <c:pt idx="34" formatCode="0">
                  <c:v>7503</c:v>
                </c:pt>
                <c:pt idx="35" formatCode="0">
                  <c:v>8165</c:v>
                </c:pt>
                <c:pt idx="36" formatCode="0">
                  <c:v>9134</c:v>
                </c:pt>
                <c:pt idx="37" formatCode="0">
                  <c:v>10023</c:v>
                </c:pt>
                <c:pt idx="38" formatCode="0">
                  <c:v>10779</c:v>
                </c:pt>
                <c:pt idx="39" formatCode="0">
                  <c:v>11591</c:v>
                </c:pt>
                <c:pt idx="40" formatCode="0">
                  <c:v>12428</c:v>
                </c:pt>
                <c:pt idx="41" formatCode="0">
                  <c:v>13155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586-4915-A43B-0A60333EEC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2081744"/>
        <c:axId val="622082064"/>
      </c:scatterChart>
      <c:scatterChart>
        <c:scatterStyle val="smoothMarker"/>
        <c:varyColors val="0"/>
        <c:ser>
          <c:idx val="5"/>
          <c:order val="5"/>
          <c:tx>
            <c:strRef>
              <c:f>'Cumul_confirmed - Power law fit'!$I$6</c:f>
              <c:strCache>
                <c:ptCount val="1"/>
                <c:pt idx="0">
                  <c:v>Deaths fit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yVal>
            <c:numRef>
              <c:f>'Cumul_confirmed - Power law fit'!$I$7:$I$70</c:f>
              <c:numCache>
                <c:formatCode>General</c:formatCode>
                <c:ptCount val="64"/>
                <c:pt idx="0">
                  <c:v>2.572247279186208E-7</c:v>
                </c:pt>
                <c:pt idx="1">
                  <c:v>6.0790709022093782E-5</c:v>
                </c:pt>
                <c:pt idx="2">
                  <c:v>1.4014350463993723E-3</c:v>
                </c:pt>
                <c:pt idx="3">
                  <c:v>1.246066293575138E-2</c:v>
                </c:pt>
                <c:pt idx="4">
                  <c:v>6.5742098788081224E-2</c:v>
                </c:pt>
                <c:pt idx="5">
                  <c:v>0.24935721789008039</c:v>
                </c:pt>
                <c:pt idx="6">
                  <c:v>0.75324224301882403</c:v>
                </c:pt>
                <c:pt idx="7">
                  <c:v>1.9262854820073898</c:v>
                </c:pt>
                <c:pt idx="8">
                  <c:v>4.3380959107234558</c:v>
                </c:pt>
                <c:pt idx="9">
                  <c:v>8.8381240747518603</c:v>
                </c:pt>
                <c:pt idx="10">
                  <c:v>16.605134316822628</c:v>
                </c:pt>
                <c:pt idx="11">
                  <c:v>29.181263023264027</c:v>
                </c:pt>
                <c:pt idx="12">
                  <c:v>48.486686301486067</c:v>
                </c:pt>
                <c:pt idx="13">
                  <c:v>76.812911481569671</c:v>
                </c:pt>
                <c:pt idx="14">
                  <c:v>116.79462777539671</c:v>
                </c:pt>
                <c:pt idx="15">
                  <c:v>171.36171620694472</c:v>
                </c:pt>
                <c:pt idx="16">
                  <c:v>243.67432049233975</c:v>
                </c:pt>
                <c:pt idx="17">
                  <c:v>337.04477678542924</c:v>
                </c:pt>
                <c:pt idx="18">
                  <c:v>454.85069768454974</c:v>
                </c:pt>
                <c:pt idx="19">
                  <c:v>600.44364428990082</c:v>
                </c:pt>
                <c:pt idx="20">
                  <c:v>777.05765872014081</c:v>
                </c:pt>
                <c:pt idx="21">
                  <c:v>987.72153652825807</c:v>
                </c:pt>
                <c:pt idx="22">
                  <c:v>1235.1781629353334</c:v>
                </c:pt>
                <c:pt idx="23">
                  <c:v>1521.813583068978</c:v>
                </c:pt>
                <c:pt idx="24">
                  <c:v>1849.5977806601588</c:v>
                </c:pt>
                <c:pt idx="25">
                  <c:v>2220.0384482177874</c:v>
                </c:pt>
                <c:pt idx="26">
                  <c:v>2634.1483804330096</c:v>
                </c:pt>
                <c:pt idx="27">
                  <c:v>3092.4265372599752</c:v>
                </c:pt>
                <c:pt idx="28">
                  <c:v>3594.8523204344328</c:v>
                </c:pt>
                <c:pt idx="29">
                  <c:v>4140.8921959088348</c:v>
                </c:pt>
                <c:pt idx="30">
                  <c:v>4729.5174771177453</c:v>
                </c:pt>
                <c:pt idx="31">
                  <c:v>5359.2318574018782</c:v>
                </c:pt>
                <c:pt idx="32">
                  <c:v>6028.1071378527749</c:v>
                </c:pt>
                <c:pt idx="33">
                  <c:v>6733.8255302997923</c:v>
                </c:pt>
                <c:pt idx="34">
                  <c:v>7473.7269136450504</c:v>
                </c:pt>
                <c:pt idx="35">
                  <c:v>8244.8594740846675</c:v>
                </c:pt>
                <c:pt idx="36">
                  <c:v>9044.0322547560463</c:v>
                </c:pt>
                <c:pt idx="37">
                  <c:v>9867.8682673310959</c:v>
                </c:pt>
                <c:pt idx="38">
                  <c:v>10712.856967190726</c:v>
                </c:pt>
                <c:pt idx="39">
                  <c:v>11575.405056297115</c:v>
                </c:pt>
                <c:pt idx="40">
                  <c:v>12451.884746159982</c:v>
                </c:pt>
                <c:pt idx="41">
                  <c:v>13338.678781044098</c:v>
                </c:pt>
                <c:pt idx="42">
                  <c:v>14232.221683689548</c:v>
                </c:pt>
                <c:pt idx="43">
                  <c:v>15129.036838368422</c:v>
                </c:pt>
                <c:pt idx="44">
                  <c:v>16025.769166201586</c:v>
                </c:pt>
                <c:pt idx="45">
                  <c:v>16919.213273365516</c:v>
                </c:pt>
                <c:pt idx="46">
                  <c:v>17806.337063010309</c:v>
                </c:pt>
                <c:pt idx="47">
                  <c:v>18684.300895948658</c:v>
                </c:pt>
                <c:pt idx="48">
                  <c:v>19550.472463587077</c:v>
                </c:pt>
                <c:pt idx="49">
                  <c:v>20402.437599722805</c:v>
                </c:pt>
                <c:pt idx="50">
                  <c:v>21238.007306626387</c:v>
                </c:pt>
                <c:pt idx="51">
                  <c:v>22055.221306414765</c:v>
                </c:pt>
                <c:pt idx="52">
                  <c:v>22852.348452392835</c:v>
                </c:pt>
                <c:pt idx="53">
                  <c:v>23627.884348189542</c:v>
                </c:pt>
                <c:pt idx="54">
                  <c:v>24380.546526553811</c:v>
                </c:pt>
                <c:pt idx="55">
                  <c:v>25109.267536003452</c:v>
                </c:pt>
                <c:pt idx="56">
                  <c:v>25813.186273478215</c:v>
                </c:pt>
                <c:pt idx="57">
                  <c:v>26491.637886002361</c:v>
                </c:pt>
                <c:pt idx="58">
                  <c:v>27144.142545270999</c:v>
                </c:pt>
                <c:pt idx="59">
                  <c:v>27770.393377090852</c:v>
                </c:pt>
                <c:pt idx="60">
                  <c:v>28370.243803665267</c:v>
                </c:pt>
                <c:pt idx="61">
                  <c:v>28943.694531623016</c:v>
                </c:pt>
                <c:pt idx="62">
                  <c:v>29490.880393154082</c:v>
                </c:pt>
                <c:pt idx="63">
                  <c:v>30012.057222211013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586-4915-A43B-0A60333EECA0}"/>
            </c:ext>
          </c:extLst>
        </c:ser>
        <c:ser>
          <c:idx val="6"/>
          <c:order val="6"/>
          <c:tx>
            <c:strRef>
              <c:f>'Cumul_confirmed - Power law fit'!$J$6</c:f>
              <c:strCache>
                <c:ptCount val="1"/>
                <c:pt idx="0">
                  <c:v>D. Upper CI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'Cumul_confirmed - Power law fit'!$J$7:$J$70</c:f>
              <c:numCache>
                <c:formatCode>0</c:formatCode>
                <c:ptCount val="64"/>
                <c:pt idx="0">
                  <c:v>147.41376443877732</c:v>
                </c:pt>
                <c:pt idx="1">
                  <c:v>147.41382497226161</c:v>
                </c:pt>
                <c:pt idx="2">
                  <c:v>147.41516561659898</c:v>
                </c:pt>
                <c:pt idx="3">
                  <c:v>147.42622484448833</c:v>
                </c:pt>
                <c:pt idx="4">
                  <c:v>147.47950628034067</c:v>
                </c:pt>
                <c:pt idx="5">
                  <c:v>147.66312139944267</c:v>
                </c:pt>
                <c:pt idx="6">
                  <c:v>148.16700642457141</c:v>
                </c:pt>
                <c:pt idx="7">
                  <c:v>149.34004966355997</c:v>
                </c:pt>
                <c:pt idx="8">
                  <c:v>151.75186009227605</c:v>
                </c:pt>
                <c:pt idx="9">
                  <c:v>156.25188825630443</c:v>
                </c:pt>
                <c:pt idx="10">
                  <c:v>164.01889849837522</c:v>
                </c:pt>
                <c:pt idx="11">
                  <c:v>176.5950272048166</c:v>
                </c:pt>
                <c:pt idx="12">
                  <c:v>195.90045048303864</c:v>
                </c:pt>
                <c:pt idx="13">
                  <c:v>224.22667566312225</c:v>
                </c:pt>
                <c:pt idx="14">
                  <c:v>264.2083919569493</c:v>
                </c:pt>
                <c:pt idx="15">
                  <c:v>318.77548038849727</c:v>
                </c:pt>
                <c:pt idx="16">
                  <c:v>391.08808467389235</c:v>
                </c:pt>
                <c:pt idx="17">
                  <c:v>484.45854096698179</c:v>
                </c:pt>
                <c:pt idx="18">
                  <c:v>602.26446186610235</c:v>
                </c:pt>
                <c:pt idx="19">
                  <c:v>747.85740847145337</c:v>
                </c:pt>
                <c:pt idx="20">
                  <c:v>924.47142290169336</c:v>
                </c:pt>
                <c:pt idx="21">
                  <c:v>1135.1353007098107</c:v>
                </c:pt>
                <c:pt idx="22">
                  <c:v>1382.5919271168859</c:v>
                </c:pt>
                <c:pt idx="23">
                  <c:v>1669.2273472505306</c:v>
                </c:pt>
                <c:pt idx="24">
                  <c:v>1997.0115448417114</c:v>
                </c:pt>
                <c:pt idx="25">
                  <c:v>2367.4522123993402</c:v>
                </c:pt>
                <c:pt idx="26">
                  <c:v>2781.5621446145624</c:v>
                </c:pt>
                <c:pt idx="27">
                  <c:v>3239.840301441528</c:v>
                </c:pt>
                <c:pt idx="28">
                  <c:v>3742.2660846159856</c:v>
                </c:pt>
                <c:pt idx="29">
                  <c:v>4288.3059600903871</c:v>
                </c:pt>
                <c:pt idx="30">
                  <c:v>4876.9312412992977</c:v>
                </c:pt>
                <c:pt idx="31">
                  <c:v>5506.6456215834305</c:v>
                </c:pt>
                <c:pt idx="32">
                  <c:v>6175.5209020343273</c:v>
                </c:pt>
                <c:pt idx="33">
                  <c:v>6881.2392944813446</c:v>
                </c:pt>
                <c:pt idx="34">
                  <c:v>7621.1406778266028</c:v>
                </c:pt>
                <c:pt idx="35">
                  <c:v>8392.2732382662198</c:v>
                </c:pt>
                <c:pt idx="36">
                  <c:v>9191.4460189375986</c:v>
                </c:pt>
                <c:pt idx="37">
                  <c:v>10015.282031512648</c:v>
                </c:pt>
                <c:pt idx="38">
                  <c:v>10860.270731372279</c:v>
                </c:pt>
                <c:pt idx="39">
                  <c:v>11722.818820478667</c:v>
                </c:pt>
                <c:pt idx="40">
                  <c:v>12599.298510341534</c:v>
                </c:pt>
                <c:pt idx="41">
                  <c:v>13486.092545225651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586-4915-A43B-0A60333EECA0}"/>
            </c:ext>
          </c:extLst>
        </c:ser>
        <c:ser>
          <c:idx val="7"/>
          <c:order val="7"/>
          <c:tx>
            <c:strRef>
              <c:f>'Cumul_confirmed - Power law fit'!$K$6</c:f>
              <c:strCache>
                <c:ptCount val="1"/>
                <c:pt idx="0">
                  <c:v>D. Lower CI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'Cumul_confirmed - Power law fit'!$K$7:$K$70</c:f>
              <c:numCache>
                <c:formatCode>0</c:formatCode>
                <c:ptCount val="6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23.947952025392141</c:v>
                </c:pt>
                <c:pt idx="16">
                  <c:v>96.260556310787166</c:v>
                </c:pt>
                <c:pt idx="17">
                  <c:v>189.63101260387666</c:v>
                </c:pt>
                <c:pt idx="18">
                  <c:v>307.43693350299714</c:v>
                </c:pt>
                <c:pt idx="19">
                  <c:v>453.02988010834827</c:v>
                </c:pt>
                <c:pt idx="20">
                  <c:v>629.64389453858826</c:v>
                </c:pt>
                <c:pt idx="21">
                  <c:v>840.30777234670552</c:v>
                </c:pt>
                <c:pt idx="22">
                  <c:v>1087.7643987537808</c:v>
                </c:pt>
                <c:pt idx="23">
                  <c:v>1374.3998188874255</c:v>
                </c:pt>
                <c:pt idx="24">
                  <c:v>1702.1840164786063</c:v>
                </c:pt>
                <c:pt idx="25">
                  <c:v>2072.6246840362346</c:v>
                </c:pt>
                <c:pt idx="26">
                  <c:v>2486.7346162514568</c:v>
                </c:pt>
                <c:pt idx="27">
                  <c:v>2945.0127730784225</c:v>
                </c:pt>
                <c:pt idx="28">
                  <c:v>3447.4385562528801</c:v>
                </c:pt>
                <c:pt idx="29">
                  <c:v>3993.478431727282</c:v>
                </c:pt>
                <c:pt idx="30">
                  <c:v>4582.103712936193</c:v>
                </c:pt>
                <c:pt idx="31">
                  <c:v>5211.8180932203259</c:v>
                </c:pt>
                <c:pt idx="32">
                  <c:v>5880.6933736712226</c:v>
                </c:pt>
                <c:pt idx="33">
                  <c:v>6586.4117661182399</c:v>
                </c:pt>
                <c:pt idx="34">
                  <c:v>7326.3131494634981</c:v>
                </c:pt>
                <c:pt idx="35">
                  <c:v>8097.4457099031151</c:v>
                </c:pt>
                <c:pt idx="36">
                  <c:v>8896.618490574494</c:v>
                </c:pt>
                <c:pt idx="37">
                  <c:v>9720.4545031495436</c:v>
                </c:pt>
                <c:pt idx="38">
                  <c:v>10565.443203009174</c:v>
                </c:pt>
                <c:pt idx="39">
                  <c:v>11427.991292115563</c:v>
                </c:pt>
                <c:pt idx="40">
                  <c:v>12304.470981978429</c:v>
                </c:pt>
                <c:pt idx="41">
                  <c:v>13191.265016862546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586-4915-A43B-0A60333EEC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2081744"/>
        <c:axId val="622082064"/>
      </c:scatterChart>
      <c:valAx>
        <c:axId val="622081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2082064"/>
        <c:crosses val="autoZero"/>
        <c:crossBetween val="midCat"/>
      </c:valAx>
      <c:valAx>
        <c:axId val="622082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2081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it-IT" sz="1800" b="1" i="0" baseline="0">
                <a:effectLst/>
              </a:rPr>
              <a:t>COVID-19 Italy Confirmed Cases</a:t>
            </a:r>
            <a:endParaRPr lang="it-IT">
              <a:effectLst/>
            </a:endParaRPr>
          </a:p>
          <a:p>
            <a:pPr>
              <a:defRPr/>
            </a:pPr>
            <a:r>
              <a:rPr lang="it-IT" sz="1800" b="1" i="0" baseline="0">
                <a:effectLst/>
              </a:rPr>
              <a:t>Daily New Cases and Deaths - Power law w/ Exp. cut-off model fit</a:t>
            </a:r>
            <a:endParaRPr lang="it-IT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'New_confirmed - Power law fit'!$E$6</c:f>
              <c:strCache>
                <c:ptCount val="1"/>
                <c:pt idx="0">
                  <c:v>New cases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'New_confirmed - Power law fit'!$C$7:$C$70</c:f>
              <c:numCache>
                <c:formatCode>General</c:formatCode>
                <c:ptCount val="6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</c:numCache>
            </c:numRef>
          </c:xVal>
          <c:yVal>
            <c:numRef>
              <c:f>'New_confirmed - Power law fit'!$E$7:$E$70</c:f>
              <c:numCache>
                <c:formatCode>0</c:formatCode>
                <c:ptCount val="64"/>
                <c:pt idx="0">
                  <c:v>3</c:v>
                </c:pt>
                <c:pt idx="1">
                  <c:v>17</c:v>
                </c:pt>
                <c:pt idx="2">
                  <c:v>42</c:v>
                </c:pt>
                <c:pt idx="3">
                  <c:v>93</c:v>
                </c:pt>
                <c:pt idx="4">
                  <c:v>74</c:v>
                </c:pt>
                <c:pt idx="5">
                  <c:v>93</c:v>
                </c:pt>
                <c:pt idx="6">
                  <c:v>78</c:v>
                </c:pt>
                <c:pt idx="7">
                  <c:v>250</c:v>
                </c:pt>
                <c:pt idx="8">
                  <c:v>238</c:v>
                </c:pt>
                <c:pt idx="9">
                  <c:v>240</c:v>
                </c:pt>
                <c:pt idx="10">
                  <c:v>566</c:v>
                </c:pt>
                <c:pt idx="11">
                  <c:v>342</c:v>
                </c:pt>
                <c:pt idx="12">
                  <c:v>466</c:v>
                </c:pt>
                <c:pt idx="13">
                  <c:v>587</c:v>
                </c:pt>
                <c:pt idx="14">
                  <c:v>769</c:v>
                </c:pt>
                <c:pt idx="15">
                  <c:v>778</c:v>
                </c:pt>
                <c:pt idx="16">
                  <c:v>1247</c:v>
                </c:pt>
                <c:pt idx="17">
                  <c:v>1492</c:v>
                </c:pt>
                <c:pt idx="18">
                  <c:v>1797</c:v>
                </c:pt>
                <c:pt idx="19">
                  <c:v>977</c:v>
                </c:pt>
                <c:pt idx="20">
                  <c:v>2313</c:v>
                </c:pt>
                <c:pt idx="21">
                  <c:v>2651</c:v>
                </c:pt>
                <c:pt idx="22">
                  <c:v>2547</c:v>
                </c:pt>
                <c:pt idx="23">
                  <c:v>3497</c:v>
                </c:pt>
                <c:pt idx="24">
                  <c:v>3590</c:v>
                </c:pt>
                <c:pt idx="25">
                  <c:v>3233</c:v>
                </c:pt>
                <c:pt idx="26">
                  <c:v>3526</c:v>
                </c:pt>
                <c:pt idx="27">
                  <c:v>4207</c:v>
                </c:pt>
                <c:pt idx="28">
                  <c:v>5322</c:v>
                </c:pt>
                <c:pt idx="29">
                  <c:v>5986</c:v>
                </c:pt>
                <c:pt idx="30">
                  <c:v>6557</c:v>
                </c:pt>
                <c:pt idx="31">
                  <c:v>5560</c:v>
                </c:pt>
                <c:pt idx="32">
                  <c:v>4789</c:v>
                </c:pt>
                <c:pt idx="33">
                  <c:v>5249</c:v>
                </c:pt>
                <c:pt idx="34">
                  <c:v>5210</c:v>
                </c:pt>
                <c:pt idx="35">
                  <c:v>6153</c:v>
                </c:pt>
                <c:pt idx="36">
                  <c:v>5959</c:v>
                </c:pt>
                <c:pt idx="37">
                  <c:v>5974</c:v>
                </c:pt>
                <c:pt idx="38">
                  <c:v>5217</c:v>
                </c:pt>
                <c:pt idx="39">
                  <c:v>4050</c:v>
                </c:pt>
                <c:pt idx="40">
                  <c:v>4053</c:v>
                </c:pt>
                <c:pt idx="41">
                  <c:v>4782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FAC-474A-ABEF-27282C118849}"/>
            </c:ext>
          </c:extLst>
        </c:ser>
        <c:ser>
          <c:idx val="1"/>
          <c:order val="1"/>
          <c:tx>
            <c:strRef>
              <c:f>'New_confirmed - Power law fit'!$G$6</c:f>
              <c:strCache>
                <c:ptCount val="1"/>
                <c:pt idx="0">
                  <c:v>New_fit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'New_confirmed - Power law fit'!$C$7:$C$70</c:f>
              <c:numCache>
                <c:formatCode>General</c:formatCode>
                <c:ptCount val="6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</c:numCache>
            </c:numRef>
          </c:xVal>
          <c:yVal>
            <c:numRef>
              <c:f>'New_confirmed - Power law fit'!$G$7:$G$70</c:f>
              <c:numCache>
                <c:formatCode>0.000000000</c:formatCode>
                <c:ptCount val="64"/>
                <c:pt idx="0">
                  <c:v>6.1346420540931185E-6</c:v>
                </c:pt>
                <c:pt idx="1">
                  <c:v>1.2385483531522452E-3</c:v>
                </c:pt>
                <c:pt idx="2">
                  <c:v>2.5121001390421796E-2</c:v>
                </c:pt>
                <c:pt idx="3">
                  <c:v>0.19886530942234731</c:v>
                </c:pt>
                <c:pt idx="4">
                  <c:v>0.94013475411355518</c:v>
                </c:pt>
                <c:pt idx="5">
                  <c:v>3.2077856261131865</c:v>
                </c:pt>
                <c:pt idx="6">
                  <c:v>8.7396248938270134</c:v>
                </c:pt>
                <c:pt idx="7">
                  <c:v>20.195273779355471</c:v>
                </c:pt>
                <c:pt idx="8">
                  <c:v>41.150391282917759</c:v>
                </c:pt>
                <c:pt idx="9">
                  <c:v>75.928207596559417</c:v>
                </c:pt>
                <c:pt idx="10">
                  <c:v>129.29050766021842</c:v>
                </c:pt>
                <c:pt idx="11">
                  <c:v>206.03485794380055</c:v>
                </c:pt>
                <c:pt idx="12">
                  <c:v>310.5558454237447</c:v>
                </c:pt>
                <c:pt idx="13">
                  <c:v>446.42703187969914</c:v>
                </c:pt>
                <c:pt idx="14">
                  <c:v>616.05066487761383</c:v>
                </c:pt>
                <c:pt idx="15">
                  <c:v>820.40776341100684</c:v>
                </c:pt>
                <c:pt idx="16">
                  <c:v>1058.9253823711758</c:v>
                </c:pt>
                <c:pt idx="17">
                  <c:v>1329.4631704236963</c:v>
                </c:pt>
                <c:pt idx="18">
                  <c:v>1628.4093476524436</c:v>
                </c:pt>
                <c:pt idx="19">
                  <c:v>1950.8676843957892</c:v>
                </c:pt>
                <c:pt idx="20">
                  <c:v>2290.9120548855644</c:v>
                </c:pt>
                <c:pt idx="21">
                  <c:v>2641.8833212818258</c:v>
                </c:pt>
                <c:pt idx="22">
                  <c:v>2996.7040753123056</c:v>
                </c:pt>
                <c:pt idx="23">
                  <c:v>3348.1894244233754</c:v>
                </c:pt>
                <c:pt idx="24">
                  <c:v>3689.3358636333228</c:v>
                </c:pt>
                <c:pt idx="25">
                  <c:v>4013.5747078368081</c:v>
                </c:pt>
                <c:pt idx="26">
                  <c:v>4314.98107244734</c:v>
                </c:pt>
                <c:pt idx="27">
                  <c:v>4588.4336115685865</c:v>
                </c:pt>
                <c:pt idx="28">
                  <c:v>4829.7239047926923</c:v>
                </c:pt>
                <c:pt idx="29">
                  <c:v>5035.6173876165976</c:v>
                </c:pt>
                <c:pt idx="30">
                  <c:v>5203.869996475386</c:v>
                </c:pt>
                <c:pt idx="31">
                  <c:v>5333.2062647280063</c:v>
                </c:pt>
                <c:pt idx="32">
                  <c:v>5423.2655242603241</c:v>
                </c:pt>
                <c:pt idx="33">
                  <c:v>5474.5232307507576</c:v>
                </c:pt>
                <c:pt idx="34">
                  <c:v>5488.1943447322565</c:v>
                </c:pt>
                <c:pt idx="35">
                  <c:v>5466.1252733004221</c:v>
                </c:pt>
                <c:pt idx="36">
                  <c:v>5410.6802107520643</c:v>
                </c:pt>
                <c:pt idx="37">
                  <c:v>5324.6269016027081</c:v>
                </c:pt>
                <c:pt idx="38">
                  <c:v>5211.0259633619398</c:v>
                </c:pt>
                <c:pt idx="39">
                  <c:v>5073.1270111061267</c:v>
                </c:pt>
                <c:pt idx="40">
                  <c:v>4914.2739684229919</c:v>
                </c:pt>
                <c:pt idx="41">
                  <c:v>4737.8211631717768</c:v>
                </c:pt>
                <c:pt idx="42">
                  <c:v>4547.0611131745882</c:v>
                </c:pt>
                <c:pt idx="43">
                  <c:v>4345.1643178484865</c:v>
                </c:pt>
                <c:pt idx="44">
                  <c:v>4135.1308902948967</c:v>
                </c:pt>
                <c:pt idx="45">
                  <c:v>3919.753487751434</c:v>
                </c:pt>
                <c:pt idx="46">
                  <c:v>3701.5907194729671</c:v>
                </c:pt>
                <c:pt idx="47">
                  <c:v>3482.9500200581692</c:v>
                </c:pt>
                <c:pt idx="48">
                  <c:v>3265.8788613552329</c:v>
                </c:pt>
                <c:pt idx="49">
                  <c:v>3052.163125109375</c:v>
                </c:pt>
                <c:pt idx="50">
                  <c:v>2843.3314593158607</c:v>
                </c:pt>
                <c:pt idx="51">
                  <c:v>2640.6644823350643</c:v>
                </c:pt>
                <c:pt idx="52">
                  <c:v>2445.2077697588502</c:v>
                </c:pt>
                <c:pt idx="53">
                  <c:v>2257.7876505770273</c:v>
                </c:pt>
                <c:pt idx="54">
                  <c:v>2079.0289435067998</c:v>
                </c:pt>
                <c:pt idx="55">
                  <c:v>1909.3738748888968</c:v>
                </c:pt>
                <c:pt idx="56">
                  <c:v>1749.1015310862554</c:v>
                </c:pt>
                <c:pt idx="57">
                  <c:v>1598.3473067947145</c:v>
                </c:pt>
                <c:pt idx="58">
                  <c:v>1457.1219131035482</c:v>
                </c:pt>
                <c:pt idx="59">
                  <c:v>1325.3296034569817</c:v>
                </c:pt>
                <c:pt idx="60">
                  <c:v>1202.7853605723431</c:v>
                </c:pt>
                <c:pt idx="61">
                  <c:v>1089.2308622065818</c:v>
                </c:pt>
                <c:pt idx="62">
                  <c:v>984.34910827505848</c:v>
                </c:pt>
                <c:pt idx="63">
                  <c:v>887.77764644712215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FAC-474A-ABEF-27282C118849}"/>
            </c:ext>
          </c:extLst>
        </c:ser>
        <c:ser>
          <c:idx val="2"/>
          <c:order val="2"/>
          <c:tx>
            <c:strRef>
              <c:f>'New_confirmed - Power law fit'!$H$6</c:f>
              <c:strCache>
                <c:ptCount val="1"/>
                <c:pt idx="0">
                  <c:v>C_Upper CI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'New_confirmed - Power law fit'!$C$7:$C$70</c:f>
              <c:numCache>
                <c:formatCode>General</c:formatCode>
                <c:ptCount val="6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</c:numCache>
            </c:numRef>
          </c:xVal>
          <c:yVal>
            <c:numRef>
              <c:f>'New_confirmed - Power law fit'!$H$7:$H$70</c:f>
              <c:numCache>
                <c:formatCode>0</c:formatCode>
                <c:ptCount val="64"/>
                <c:pt idx="0">
                  <c:v>991.13117014665318</c:v>
                </c:pt>
                <c:pt idx="1">
                  <c:v>991.13240256036431</c:v>
                </c:pt>
                <c:pt idx="2">
                  <c:v>991.15628501340154</c:v>
                </c:pt>
                <c:pt idx="3">
                  <c:v>991.33002932143347</c:v>
                </c:pt>
                <c:pt idx="4">
                  <c:v>992.07129876612464</c:v>
                </c:pt>
                <c:pt idx="5">
                  <c:v>994.33894963812429</c:v>
                </c:pt>
                <c:pt idx="6">
                  <c:v>999.87078890583814</c:v>
                </c:pt>
                <c:pt idx="7">
                  <c:v>1011.3264377913666</c:v>
                </c:pt>
                <c:pt idx="8">
                  <c:v>1032.2815552949289</c:v>
                </c:pt>
                <c:pt idx="9">
                  <c:v>1067.0593716085705</c:v>
                </c:pt>
                <c:pt idx="10">
                  <c:v>1120.4216716722296</c:v>
                </c:pt>
                <c:pt idx="11">
                  <c:v>1197.1660219558116</c:v>
                </c:pt>
                <c:pt idx="12">
                  <c:v>1301.687009435756</c:v>
                </c:pt>
                <c:pt idx="13">
                  <c:v>1437.5581958917103</c:v>
                </c:pt>
                <c:pt idx="14">
                  <c:v>1607.181828889625</c:v>
                </c:pt>
                <c:pt idx="15">
                  <c:v>1811.5389274230179</c:v>
                </c:pt>
                <c:pt idx="16">
                  <c:v>2050.0565463831872</c:v>
                </c:pt>
                <c:pt idx="17">
                  <c:v>2320.5943344357074</c:v>
                </c:pt>
                <c:pt idx="18">
                  <c:v>2619.5405116644547</c:v>
                </c:pt>
                <c:pt idx="19">
                  <c:v>2941.9988484078003</c:v>
                </c:pt>
                <c:pt idx="20">
                  <c:v>3282.0432188975756</c:v>
                </c:pt>
                <c:pt idx="21">
                  <c:v>3633.014485293837</c:v>
                </c:pt>
                <c:pt idx="22">
                  <c:v>3987.8352393243167</c:v>
                </c:pt>
                <c:pt idx="23">
                  <c:v>4339.3205884353865</c:v>
                </c:pt>
                <c:pt idx="24">
                  <c:v>4680.4670276453344</c:v>
                </c:pt>
                <c:pt idx="25">
                  <c:v>5004.7058718488188</c:v>
                </c:pt>
                <c:pt idx="26">
                  <c:v>5306.1122364593512</c:v>
                </c:pt>
                <c:pt idx="27">
                  <c:v>5579.5647755805976</c:v>
                </c:pt>
                <c:pt idx="28">
                  <c:v>5820.8550688047035</c:v>
                </c:pt>
                <c:pt idx="29">
                  <c:v>6026.7485516286088</c:v>
                </c:pt>
                <c:pt idx="30">
                  <c:v>6195.0011604873971</c:v>
                </c:pt>
                <c:pt idx="31">
                  <c:v>6324.3374287400175</c:v>
                </c:pt>
                <c:pt idx="32">
                  <c:v>6414.3966882723353</c:v>
                </c:pt>
                <c:pt idx="33">
                  <c:v>6465.6543947627688</c:v>
                </c:pt>
                <c:pt idx="34">
                  <c:v>6479.3255087442676</c:v>
                </c:pt>
                <c:pt idx="35">
                  <c:v>6457.2564373124333</c:v>
                </c:pt>
                <c:pt idx="36">
                  <c:v>6401.8113747640755</c:v>
                </c:pt>
                <c:pt idx="37">
                  <c:v>6315.7580656147193</c:v>
                </c:pt>
                <c:pt idx="38">
                  <c:v>6202.157127373951</c:v>
                </c:pt>
                <c:pt idx="39">
                  <c:v>6064.2581751181378</c:v>
                </c:pt>
                <c:pt idx="40">
                  <c:v>5905.405132435003</c:v>
                </c:pt>
                <c:pt idx="41">
                  <c:v>5728.9523271837879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FAC-474A-ABEF-27282C118849}"/>
            </c:ext>
          </c:extLst>
        </c:ser>
        <c:ser>
          <c:idx val="3"/>
          <c:order val="3"/>
          <c:tx>
            <c:strRef>
              <c:f>'New_confirmed - Power law fit'!$I$6</c:f>
              <c:strCache>
                <c:ptCount val="1"/>
                <c:pt idx="0">
                  <c:v>C_Lower CI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'New_confirmed - Power law fit'!$C$7:$C$70</c:f>
              <c:numCache>
                <c:formatCode>General</c:formatCode>
                <c:ptCount val="6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</c:numCache>
            </c:numRef>
          </c:xVal>
          <c:yVal>
            <c:numRef>
              <c:f>'New_confirmed - Power law fit'!$I$7:$I$70</c:f>
              <c:numCache>
                <c:formatCode>0</c:formatCode>
                <c:ptCount val="6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67.794218359164688</c:v>
                </c:pt>
                <c:pt idx="17">
                  <c:v>338.33200641168514</c:v>
                </c:pt>
                <c:pt idx="18">
                  <c:v>637.27818364043242</c:v>
                </c:pt>
                <c:pt idx="19">
                  <c:v>959.73652038377804</c:v>
                </c:pt>
                <c:pt idx="20">
                  <c:v>1299.7808908735533</c:v>
                </c:pt>
                <c:pt idx="21">
                  <c:v>1650.7521572698147</c:v>
                </c:pt>
                <c:pt idx="22">
                  <c:v>2005.5729113002944</c:v>
                </c:pt>
                <c:pt idx="23">
                  <c:v>2357.0582604113642</c:v>
                </c:pt>
                <c:pt idx="24">
                  <c:v>2698.2046996213116</c:v>
                </c:pt>
                <c:pt idx="25">
                  <c:v>3022.443543824797</c:v>
                </c:pt>
                <c:pt idx="26">
                  <c:v>3323.8499084353289</c:v>
                </c:pt>
                <c:pt idx="27">
                  <c:v>3597.3024475565753</c:v>
                </c:pt>
                <c:pt idx="28">
                  <c:v>3838.5927407806812</c:v>
                </c:pt>
                <c:pt idx="29">
                  <c:v>4044.4862236045865</c:v>
                </c:pt>
                <c:pt idx="30">
                  <c:v>4212.7388324633748</c:v>
                </c:pt>
                <c:pt idx="31">
                  <c:v>4342.0751007159952</c:v>
                </c:pt>
                <c:pt idx="32">
                  <c:v>4432.134360248313</c:v>
                </c:pt>
                <c:pt idx="33">
                  <c:v>4483.3920667387465</c:v>
                </c:pt>
                <c:pt idx="34">
                  <c:v>4497.0631807202453</c:v>
                </c:pt>
                <c:pt idx="35">
                  <c:v>4474.994109288411</c:v>
                </c:pt>
                <c:pt idx="36">
                  <c:v>4419.5490467400532</c:v>
                </c:pt>
                <c:pt idx="37">
                  <c:v>4333.495737590697</c:v>
                </c:pt>
                <c:pt idx="38">
                  <c:v>4219.8947993499287</c:v>
                </c:pt>
                <c:pt idx="39">
                  <c:v>4081.9958470941156</c:v>
                </c:pt>
                <c:pt idx="40">
                  <c:v>3923.1428044109807</c:v>
                </c:pt>
                <c:pt idx="41">
                  <c:v>3746.6899991597656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FAC-474A-ABEF-27282C118849}"/>
            </c:ext>
          </c:extLst>
        </c:ser>
        <c:ser>
          <c:idx val="4"/>
          <c:order val="4"/>
          <c:tx>
            <c:strRef>
              <c:f>'New_confirmed - Power law fit'!$K$6</c:f>
              <c:strCache>
                <c:ptCount val="1"/>
                <c:pt idx="0">
                  <c:v>New deaths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noFill/>
                <a:round/>
              </a:ln>
              <a:effectLst/>
            </c:spPr>
          </c:marker>
          <c:yVal>
            <c:numRef>
              <c:f>'New_confirmed - Power law fit'!$K$7:$K$70</c:f>
              <c:numCache>
                <c:formatCode>0</c:formatCode>
                <c:ptCount val="64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4</c:v>
                </c:pt>
                <c:pt idx="5">
                  <c:v>3</c:v>
                </c:pt>
                <c:pt idx="6">
                  <c:v>2</c:v>
                </c:pt>
                <c:pt idx="7">
                  <c:v>5</c:v>
                </c:pt>
                <c:pt idx="8">
                  <c:v>4</c:v>
                </c:pt>
                <c:pt idx="9">
                  <c:v>8</c:v>
                </c:pt>
                <c:pt idx="10">
                  <c:v>5</c:v>
                </c:pt>
                <c:pt idx="11">
                  <c:v>18</c:v>
                </c:pt>
                <c:pt idx="12">
                  <c:v>27</c:v>
                </c:pt>
                <c:pt idx="13">
                  <c:v>28</c:v>
                </c:pt>
                <c:pt idx="14">
                  <c:v>41</c:v>
                </c:pt>
                <c:pt idx="15">
                  <c:v>49</c:v>
                </c:pt>
                <c:pt idx="16">
                  <c:v>36</c:v>
                </c:pt>
                <c:pt idx="17">
                  <c:v>133</c:v>
                </c:pt>
                <c:pt idx="18">
                  <c:v>97</c:v>
                </c:pt>
                <c:pt idx="19">
                  <c:v>168</c:v>
                </c:pt>
                <c:pt idx="20">
                  <c:v>196</c:v>
                </c:pt>
                <c:pt idx="21">
                  <c:v>189</c:v>
                </c:pt>
                <c:pt idx="22">
                  <c:v>250</c:v>
                </c:pt>
                <c:pt idx="23">
                  <c:v>175</c:v>
                </c:pt>
                <c:pt idx="24">
                  <c:v>368</c:v>
                </c:pt>
                <c:pt idx="25">
                  <c:v>349</c:v>
                </c:pt>
                <c:pt idx="26">
                  <c:v>345</c:v>
                </c:pt>
                <c:pt idx="27">
                  <c:v>475</c:v>
                </c:pt>
                <c:pt idx="28">
                  <c:v>427</c:v>
                </c:pt>
                <c:pt idx="29">
                  <c:v>627</c:v>
                </c:pt>
                <c:pt idx="30">
                  <c:v>793</c:v>
                </c:pt>
                <c:pt idx="31">
                  <c:v>651</c:v>
                </c:pt>
                <c:pt idx="32">
                  <c:v>601</c:v>
                </c:pt>
                <c:pt idx="33">
                  <c:v>743</c:v>
                </c:pt>
                <c:pt idx="34">
                  <c:v>683</c:v>
                </c:pt>
                <c:pt idx="35">
                  <c:v>662</c:v>
                </c:pt>
                <c:pt idx="36">
                  <c:v>969</c:v>
                </c:pt>
                <c:pt idx="37">
                  <c:v>889</c:v>
                </c:pt>
                <c:pt idx="38">
                  <c:v>756</c:v>
                </c:pt>
                <c:pt idx="39">
                  <c:v>812</c:v>
                </c:pt>
                <c:pt idx="40">
                  <c:v>837</c:v>
                </c:pt>
                <c:pt idx="41">
                  <c:v>727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29A-42E0-ADE0-2A064B8C18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2081744"/>
        <c:axId val="622082064"/>
      </c:scatterChart>
      <c:scatterChart>
        <c:scatterStyle val="smoothMarker"/>
        <c:varyColors val="0"/>
        <c:ser>
          <c:idx val="5"/>
          <c:order val="5"/>
          <c:tx>
            <c:strRef>
              <c:f>'New_confirmed - Power law fit'!$M$6</c:f>
              <c:strCache>
                <c:ptCount val="1"/>
                <c:pt idx="0">
                  <c:v>New_D_fit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yVal>
            <c:numRef>
              <c:f>'New_confirmed - Power law fit'!$M$7:$M$70</c:f>
              <c:numCache>
                <c:formatCode>0.000000000</c:formatCode>
                <c:ptCount val="64"/>
                <c:pt idx="0">
                  <c:v>2.2494992624741973E-6</c:v>
                </c:pt>
                <c:pt idx="1">
                  <c:v>2.5569117039918305E-4</c:v>
                </c:pt>
                <c:pt idx="2">
                  <c:v>3.8100304300077931E-3</c:v>
                </c:pt>
                <c:pt idx="3">
                  <c:v>2.470934207742085E-2</c:v>
                </c:pt>
                <c:pt idx="4">
                  <c:v>0.10158572468293493</c:v>
                </c:pt>
                <c:pt idx="5">
                  <c:v>0.31303252889892658</c:v>
                </c:pt>
                <c:pt idx="6">
                  <c:v>0.79056348677269472</c:v>
                </c:pt>
                <c:pt idx="7">
                  <c:v>1.7259880400351324</c:v>
                </c:pt>
                <c:pt idx="8">
                  <c:v>3.3715789402167755</c:v>
                </c:pt>
                <c:pt idx="9">
                  <c:v>6.0328823773857563</c:v>
                </c:pt>
                <c:pt idx="10">
                  <c:v>10.055152023023746</c:v>
                </c:pt>
                <c:pt idx="11">
                  <c:v>15.805098960223468</c:v>
                </c:pt>
                <c:pt idx="12">
                  <c:v>23.649968007576998</c:v>
                </c:pt>
                <c:pt idx="13">
                  <c:v>33.935955085806157</c:v>
                </c:pt>
                <c:pt idx="14">
                  <c:v>46.967762374885417</c:v>
                </c:pt>
                <c:pt idx="15">
                  <c:v>62.990735759388485</c:v>
                </c:pt>
                <c:pt idx="16">
                  <c:v>82.176616047402391</c:v>
                </c:pt>
                <c:pt idx="17">
                  <c:v>104.61351782423556</c:v>
                </c:pt>
                <c:pt idx="18">
                  <c:v>130.30036651958505</c:v>
                </c:pt>
                <c:pt idx="19">
                  <c:v>159.14569918549574</c:v>
                </c:pt>
                <c:pt idx="20">
                  <c:v>190.97047925459438</c:v>
                </c:pt>
                <c:pt idx="21">
                  <c:v>225.51439263220016</c:v>
                </c:pt>
                <c:pt idx="22">
                  <c:v>262.44497791173808</c:v>
                </c:pt>
                <c:pt idx="23">
                  <c:v>301.36888927062034</c:v>
                </c:pt>
                <c:pt idx="24">
                  <c:v>341.84458650908078</c:v>
                </c:pt>
                <c:pt idx="25">
                  <c:v>383.39578179070747</c:v>
                </c:pt>
                <c:pt idx="26">
                  <c:v>425.52503624118793</c:v>
                </c:pt>
                <c:pt idx="27">
                  <c:v>467.72698189121866</c:v>
                </c:pt>
                <c:pt idx="28">
                  <c:v>509.50073704642114</c:v>
                </c:pt>
                <c:pt idx="29">
                  <c:v>550.36117904818605</c:v>
                </c:pt>
                <c:pt idx="30">
                  <c:v>589.84883207504936</c:v>
                </c:pt>
                <c:pt idx="31">
                  <c:v>627.53821506784993</c:v>
                </c:pt>
                <c:pt idx="32">
                  <c:v>663.04457326436705</c:v>
                </c:pt>
                <c:pt idx="33">
                  <c:v>696.02898451816645</c:v>
                </c:pt>
                <c:pt idx="34">
                  <c:v>726.20188777467968</c:v>
                </c:pt>
                <c:pt idx="35">
                  <c:v>753.32512572227438</c:v>
                </c:pt>
                <c:pt idx="36">
                  <c:v>777.21262720382106</c:v>
                </c:pt>
                <c:pt idx="37">
                  <c:v>797.72987832333058</c:v>
                </c:pt>
                <c:pt idx="38">
                  <c:v>814.7923454194397</c:v>
                </c:pt>
                <c:pt idx="39">
                  <c:v>828.3630194466956</c:v>
                </c:pt>
                <c:pt idx="40">
                  <c:v>838.44925109981114</c:v>
                </c:pt>
                <c:pt idx="41">
                  <c:v>845.0990405092316</c:v>
                </c:pt>
                <c:pt idx="42">
                  <c:v>848.39693573440468</c:v>
                </c:pt>
                <c:pt idx="43">
                  <c:v>848.4596816879847</c:v>
                </c:pt>
                <c:pt idx="44">
                  <c:v>845.43174652062112</c:v>
                </c:pt>
                <c:pt idx="45">
                  <c:v>839.48083672989731</c:v>
                </c:pt>
                <c:pt idx="46">
                  <c:v>830.79349604066408</c:v>
                </c:pt>
                <c:pt idx="47">
                  <c:v>819.57086701830985</c:v>
                </c:pt>
                <c:pt idx="48">
                  <c:v>806.02467887878436</c:v>
                </c:pt>
                <c:pt idx="49">
                  <c:v>790.37351039446571</c:v>
                </c:pt>
                <c:pt idx="50">
                  <c:v>772.83936340878176</c:v>
                </c:pt>
                <c:pt idx="51">
                  <c:v>753.64457042387437</c:v>
                </c:pt>
                <c:pt idx="52">
                  <c:v>733.00904910100826</c:v>
                </c:pt>
                <c:pt idx="53">
                  <c:v>711.14790733945517</c:v>
                </c:pt>
                <c:pt idx="54">
                  <c:v>688.26939485457024</c:v>
                </c:pt>
                <c:pt idx="55">
                  <c:v>664.57319080190291</c:v>
                </c:pt>
                <c:pt idx="56">
                  <c:v>640.24901190541823</c:v>
                </c:pt>
                <c:pt idx="57">
                  <c:v>615.47552164001684</c:v>
                </c:pt>
                <c:pt idx="58">
                  <c:v>590.41951817541599</c:v>
                </c:pt>
                <c:pt idx="59">
                  <c:v>565.23537688753879</c:v>
                </c:pt>
                <c:pt idx="60">
                  <c:v>540.06472216208954</c:v>
                </c:pt>
                <c:pt idx="61">
                  <c:v>515.03630283182804</c:v>
                </c:pt>
                <c:pt idx="62">
                  <c:v>490.26604578931921</c:v>
                </c:pt>
                <c:pt idx="63">
                  <c:v>465.85726299252553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29A-42E0-ADE0-2A064B8C186A}"/>
            </c:ext>
          </c:extLst>
        </c:ser>
        <c:ser>
          <c:idx val="6"/>
          <c:order val="6"/>
          <c:tx>
            <c:strRef>
              <c:f>'New_confirmed - Power law fit'!$N$6</c:f>
              <c:strCache>
                <c:ptCount val="1"/>
                <c:pt idx="0">
                  <c:v>ND_Upper CI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'New_confirmed - Power law fit'!$N$7:$N$70</c:f>
              <c:numCache>
                <c:formatCode>0</c:formatCode>
                <c:ptCount val="64"/>
                <c:pt idx="0">
                  <c:v>129.37721594467638</c:v>
                </c:pt>
                <c:pt idx="1">
                  <c:v>129.37746938634751</c:v>
                </c:pt>
                <c:pt idx="2">
                  <c:v>129.38102372560712</c:v>
                </c:pt>
                <c:pt idx="3">
                  <c:v>129.40192303725453</c:v>
                </c:pt>
                <c:pt idx="4">
                  <c:v>129.47879941986005</c:v>
                </c:pt>
                <c:pt idx="5">
                  <c:v>129.69024622407605</c:v>
                </c:pt>
                <c:pt idx="6">
                  <c:v>130.16777718194982</c:v>
                </c:pt>
                <c:pt idx="7">
                  <c:v>131.10320173521225</c:v>
                </c:pt>
                <c:pt idx="8">
                  <c:v>132.7487926353939</c:v>
                </c:pt>
                <c:pt idx="9">
                  <c:v>135.41009607256288</c:v>
                </c:pt>
                <c:pt idx="10">
                  <c:v>139.43236571820086</c:v>
                </c:pt>
                <c:pt idx="11">
                  <c:v>145.18231265540058</c:v>
                </c:pt>
                <c:pt idx="12">
                  <c:v>153.02718170275412</c:v>
                </c:pt>
                <c:pt idx="13">
                  <c:v>163.31316878098329</c:v>
                </c:pt>
                <c:pt idx="14">
                  <c:v>176.34497607006253</c:v>
                </c:pt>
                <c:pt idx="15">
                  <c:v>192.3679494545656</c:v>
                </c:pt>
                <c:pt idx="16">
                  <c:v>211.55382974257952</c:v>
                </c:pt>
                <c:pt idx="17">
                  <c:v>233.99073151941269</c:v>
                </c:pt>
                <c:pt idx="18">
                  <c:v>259.6775802147622</c:v>
                </c:pt>
                <c:pt idx="19">
                  <c:v>288.52291288067283</c:v>
                </c:pt>
                <c:pt idx="20">
                  <c:v>320.3476929497715</c:v>
                </c:pt>
                <c:pt idx="21">
                  <c:v>354.8916063273773</c:v>
                </c:pt>
                <c:pt idx="22">
                  <c:v>391.82219160691523</c:v>
                </c:pt>
                <c:pt idx="23">
                  <c:v>430.74610296579749</c:v>
                </c:pt>
                <c:pt idx="24">
                  <c:v>471.22180020425787</c:v>
                </c:pt>
                <c:pt idx="25">
                  <c:v>512.77299548588462</c:v>
                </c:pt>
                <c:pt idx="26">
                  <c:v>554.90224993636502</c:v>
                </c:pt>
                <c:pt idx="27">
                  <c:v>597.1041955863958</c:v>
                </c:pt>
                <c:pt idx="28">
                  <c:v>638.87795074159828</c:v>
                </c:pt>
                <c:pt idx="29">
                  <c:v>679.73839274336319</c:v>
                </c:pt>
                <c:pt idx="30">
                  <c:v>719.22604577022651</c:v>
                </c:pt>
                <c:pt idx="31">
                  <c:v>756.91542876302708</c:v>
                </c:pt>
                <c:pt idx="32">
                  <c:v>792.42178695954419</c:v>
                </c:pt>
                <c:pt idx="33">
                  <c:v>825.4061982133436</c:v>
                </c:pt>
                <c:pt idx="34">
                  <c:v>855.57910146985682</c:v>
                </c:pt>
                <c:pt idx="35">
                  <c:v>882.70233941745153</c:v>
                </c:pt>
                <c:pt idx="36">
                  <c:v>906.5898408989982</c:v>
                </c:pt>
                <c:pt idx="37">
                  <c:v>927.10709201850773</c:v>
                </c:pt>
                <c:pt idx="38">
                  <c:v>944.16955911461685</c:v>
                </c:pt>
                <c:pt idx="39">
                  <c:v>957.74023314187275</c:v>
                </c:pt>
                <c:pt idx="40">
                  <c:v>967.82646479498828</c:v>
                </c:pt>
                <c:pt idx="41">
                  <c:v>974.47625420440875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29A-42E0-ADE0-2A064B8C186A}"/>
            </c:ext>
          </c:extLst>
        </c:ser>
        <c:ser>
          <c:idx val="7"/>
          <c:order val="7"/>
          <c:tx>
            <c:strRef>
              <c:f>'New_confirmed - Power law fit'!$O$6</c:f>
              <c:strCache>
                <c:ptCount val="1"/>
                <c:pt idx="0">
                  <c:v>ND_Lower CI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'New_confirmed - Power law fit'!$O$7:$O$70</c:f>
              <c:numCache>
                <c:formatCode>0</c:formatCode>
                <c:ptCount val="6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0.92315282440793567</c:v>
                </c:pt>
                <c:pt idx="19">
                  <c:v>29.768485490318625</c:v>
                </c:pt>
                <c:pt idx="20">
                  <c:v>61.593265559417262</c:v>
                </c:pt>
                <c:pt idx="21">
                  <c:v>96.137178937023037</c:v>
                </c:pt>
                <c:pt idx="22">
                  <c:v>133.06776421656096</c:v>
                </c:pt>
                <c:pt idx="23">
                  <c:v>171.99167557544322</c:v>
                </c:pt>
                <c:pt idx="24">
                  <c:v>212.46737281390367</c:v>
                </c:pt>
                <c:pt idx="25">
                  <c:v>254.01856809553036</c:v>
                </c:pt>
                <c:pt idx="26">
                  <c:v>296.14782254601084</c:v>
                </c:pt>
                <c:pt idx="27">
                  <c:v>338.34976819604151</c:v>
                </c:pt>
                <c:pt idx="28">
                  <c:v>380.12352335124399</c:v>
                </c:pt>
                <c:pt idx="29">
                  <c:v>420.9839653530089</c:v>
                </c:pt>
                <c:pt idx="30">
                  <c:v>460.47161837987221</c:v>
                </c:pt>
                <c:pt idx="31">
                  <c:v>498.16100137267279</c:v>
                </c:pt>
                <c:pt idx="32">
                  <c:v>533.6673595691899</c:v>
                </c:pt>
                <c:pt idx="33">
                  <c:v>566.65177082298931</c:v>
                </c:pt>
                <c:pt idx="34">
                  <c:v>596.82467407950253</c:v>
                </c:pt>
                <c:pt idx="35">
                  <c:v>623.94791202709723</c:v>
                </c:pt>
                <c:pt idx="36">
                  <c:v>647.83541350864391</c:v>
                </c:pt>
                <c:pt idx="37">
                  <c:v>668.35266462815343</c:v>
                </c:pt>
                <c:pt idx="38">
                  <c:v>685.41513172426255</c:v>
                </c:pt>
                <c:pt idx="39">
                  <c:v>698.98580575151846</c:v>
                </c:pt>
                <c:pt idx="40">
                  <c:v>709.07203740463399</c:v>
                </c:pt>
                <c:pt idx="41">
                  <c:v>715.72182681405445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B29A-42E0-ADE0-2A064B8C18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2081744"/>
        <c:axId val="622082064"/>
      </c:scatterChart>
      <c:valAx>
        <c:axId val="622081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2082064"/>
        <c:crosses val="autoZero"/>
        <c:crossBetween val="midCat"/>
      </c:valAx>
      <c:valAx>
        <c:axId val="622082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2081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609600</xdr:colOff>
      <xdr:row>2</xdr:row>
      <xdr:rowOff>114300</xdr:rowOff>
    </xdr:from>
    <xdr:ext cx="1785257" cy="6629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CasellaDiTesto 5">
              <a:extLst>
                <a:ext uri="{FF2B5EF4-FFF2-40B4-BE49-F238E27FC236}">
                  <a16:creationId xmlns:a16="http://schemas.microsoft.com/office/drawing/2014/main" id="{3CC970C1-AB73-4C46-BEA1-4EE468342734}"/>
                </a:ext>
              </a:extLst>
            </xdr:cNvPr>
            <xdr:cNvSpPr txBox="1"/>
          </xdr:nvSpPr>
          <xdr:spPr>
            <a:xfrm>
              <a:off x="4844143" y="691243"/>
              <a:ext cx="1785257" cy="6629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𝑃</m:t>
                    </m:r>
                    <m:d>
                      <m:dPr>
                        <m:ctrlPr>
                          <a:rPr lang="it-IT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it-IT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  <m:r>
                          <a:rPr lang="it-IT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;</m:t>
                        </m:r>
                        <m:sSub>
                          <m:sSubPr>
                            <m:ctrlPr>
                              <a:rPr lang="it-IT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it-IT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𝑡</m:t>
                            </m:r>
                          </m:e>
                          <m:sub>
                            <m:r>
                              <a:rPr lang="it-IT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</m:sub>
                        </m:sSub>
                        <m:r>
                          <a:rPr lang="it-IT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it-IT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𝑤</m:t>
                        </m:r>
                      </m:e>
                    </m:d>
                    <m:r>
                      <a:rPr lang="it-IT" sz="1400" b="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it-IT" sz="1100" b="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it-IT" sz="11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it-IT" sz="11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𝑡</m:t>
                                </m:r>
                              </m:num>
                              <m:den>
                                <m:sSub>
                                  <m:sSubPr>
                                    <m:ctrlP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𝑡</m:t>
                                    </m:r>
                                  </m:e>
                                  <m:sub>
                                    <m: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0</m:t>
                                    </m:r>
                                  </m:sub>
                                </m:sSub>
                              </m:den>
                            </m:f>
                          </m:e>
                        </m:d>
                      </m:e>
                      <m:sup>
                        <m: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𝑤</m:t>
                        </m:r>
                      </m:sup>
                    </m:sSup>
                    <m:sSup>
                      <m:sSupPr>
                        <m:ctrlP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</m:t>
                        </m:r>
                      </m:e>
                      <m:sup>
                        <m: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 </m:t>
                        </m:r>
                        <m:box>
                          <m:boxPr>
                            <m:ctrlPr>
                              <a:rPr lang="it-IT" sz="1100" b="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boxPr>
                          <m:e>
                            <m:argPr>
                              <m:argSz m:val="-1"/>
                            </m:argPr>
                            <m:f>
                              <m:fPr>
                                <m:ctrlPr>
                                  <a:rPr lang="it-IT" sz="11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it-IT" sz="11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𝑡</m:t>
                                </m:r>
                              </m:num>
                              <m:den>
                                <m:sSub>
                                  <m:sSubPr>
                                    <m:ctrlP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𝑡</m:t>
                                    </m:r>
                                  </m:e>
                                  <m:sub>
                                    <m: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0</m:t>
                                    </m:r>
                                  </m:sub>
                                </m:sSub>
                              </m:den>
                            </m:f>
                          </m:e>
                        </m:box>
                      </m:sup>
                    </m:sSup>
                  </m:oMath>
                </m:oMathPara>
              </a14:m>
              <a:endParaRPr lang="it-IT" sz="1600">
                <a:solidFill>
                  <a:sysClr val="windowText" lastClr="00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6" name="CasellaDiTesto 5">
              <a:extLst>
                <a:ext uri="{FF2B5EF4-FFF2-40B4-BE49-F238E27FC236}">
                  <a16:creationId xmlns:a16="http://schemas.microsoft.com/office/drawing/2014/main" id="{3CC970C1-AB73-4C46-BEA1-4EE468342734}"/>
                </a:ext>
              </a:extLst>
            </xdr:cNvPr>
            <xdr:cNvSpPr txBox="1"/>
          </xdr:nvSpPr>
          <xdr:spPr>
            <a:xfrm>
              <a:off x="4844143" y="691243"/>
              <a:ext cx="1785257" cy="6629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it-I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𝑃(𝑡;𝑡_0,𝑤)</a:t>
              </a:r>
              <a:r>
                <a:rPr lang="it-IT" sz="1400" b="0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=</a:t>
              </a:r>
              <a:r>
                <a:rPr lang="it-IT" sz="1100" b="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(𝑡/𝑡_0 )^𝑤 𝑒^(− □(64&amp;𝑡/𝑡_0 ))</a:t>
              </a:r>
              <a:endParaRPr lang="it-IT" sz="1600">
                <a:solidFill>
                  <a:sysClr val="windowText" lastClr="00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twoCellAnchor>
    <xdr:from>
      <xdr:col>14</xdr:col>
      <xdr:colOff>7620</xdr:colOff>
      <xdr:row>5</xdr:row>
      <xdr:rowOff>0</xdr:rowOff>
    </xdr:from>
    <xdr:to>
      <xdr:col>25</xdr:col>
      <xdr:colOff>99060</xdr:colOff>
      <xdr:row>37</xdr:row>
      <xdr:rowOff>144780</xdr:rowOff>
    </xdr:to>
    <xdr:grpSp>
      <xdr:nvGrpSpPr>
        <xdr:cNvPr id="5" name="Gruppo 4">
          <a:extLst>
            <a:ext uri="{FF2B5EF4-FFF2-40B4-BE49-F238E27FC236}">
              <a16:creationId xmlns:a16="http://schemas.microsoft.com/office/drawing/2014/main" id="{BE070C06-0E16-4F9B-8209-E83DE4855BB5}"/>
            </a:ext>
          </a:extLst>
        </xdr:cNvPr>
        <xdr:cNvGrpSpPr/>
      </xdr:nvGrpSpPr>
      <xdr:grpSpPr>
        <a:xfrm>
          <a:off x="10022477" y="1284514"/>
          <a:ext cx="6938554" cy="6131923"/>
          <a:chOff x="6629400" y="1287780"/>
          <a:chExt cx="6941820" cy="5303521"/>
        </a:xfrm>
      </xdr:grpSpPr>
      <xdr:graphicFrame macro="">
        <xdr:nvGraphicFramePr>
          <xdr:cNvPr id="2" name="Grafico 1">
            <a:extLst>
              <a:ext uri="{FF2B5EF4-FFF2-40B4-BE49-F238E27FC236}">
                <a16:creationId xmlns:a16="http://schemas.microsoft.com/office/drawing/2014/main" id="{03212835-2CCD-487C-A7C3-4E3C532B9DF2}"/>
              </a:ext>
            </a:extLst>
          </xdr:cNvPr>
          <xdr:cNvGraphicFramePr/>
        </xdr:nvGraphicFramePr>
        <xdr:xfrm>
          <a:off x="6629400" y="1287780"/>
          <a:ext cx="6941820" cy="5303521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">
        <xdr:nvSpPr>
          <xdr:cNvPr id="7" name="CasellaDiTesto 6">
            <a:extLst>
              <a:ext uri="{FF2B5EF4-FFF2-40B4-BE49-F238E27FC236}">
                <a16:creationId xmlns:a16="http://schemas.microsoft.com/office/drawing/2014/main" id="{7E696076-8C22-4EC6-8C39-63B8E38294C1}"/>
              </a:ext>
            </a:extLst>
          </xdr:cNvPr>
          <xdr:cNvSpPr txBox="1"/>
        </xdr:nvSpPr>
        <xdr:spPr>
          <a:xfrm>
            <a:off x="7508828" y="3697344"/>
            <a:ext cx="1828800" cy="116817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it-IT" sz="1400" b="1" i="1" u="none" strike="noStrike">
                <a:solidFill>
                  <a:srgbClr val="0070C0"/>
                </a:solidFill>
                <a:effectLst/>
                <a:latin typeface="+mn-lt"/>
                <a:ea typeface="+mn-ea"/>
                <a:cs typeface="+mn-cs"/>
              </a:rPr>
              <a:t>Total cases detected</a:t>
            </a:r>
          </a:p>
          <a:p>
            <a:r>
              <a:rPr lang="it-IT" sz="1100" b="1" i="1" u="none" strike="noStrike">
                <a:solidFill>
                  <a:srgbClr val="0070C0"/>
                </a:solidFill>
                <a:effectLst/>
                <a:latin typeface="+mn-lt"/>
                <a:ea typeface="+mn-ea"/>
                <a:cs typeface="+mn-cs"/>
              </a:rPr>
              <a:t>K= 167230</a:t>
            </a:r>
          </a:p>
          <a:p>
            <a:r>
              <a:rPr lang="it-IT" sz="1100" b="1" i="1" u="none" strike="noStrike">
                <a:solidFill>
                  <a:srgbClr val="0070C0"/>
                </a:solidFill>
                <a:effectLst/>
                <a:latin typeface="+mn-lt"/>
                <a:ea typeface="+mn-ea"/>
                <a:cs typeface="+mn-cs"/>
              </a:rPr>
              <a:t>t</a:t>
            </a:r>
            <a:r>
              <a:rPr lang="it-IT" sz="1100" b="1" i="1" u="none" strike="noStrike" baseline="-25000">
                <a:solidFill>
                  <a:srgbClr val="0070C0"/>
                </a:solidFill>
                <a:effectLst/>
                <a:latin typeface="+mn-lt"/>
                <a:ea typeface="+mn-ea"/>
                <a:cs typeface="+mn-cs"/>
              </a:rPr>
              <a:t>0</a:t>
            </a:r>
            <a:r>
              <a:rPr lang="it-IT" sz="1100" b="1" i="1" u="none" strike="noStrike">
                <a:solidFill>
                  <a:srgbClr val="0070C0"/>
                </a:solidFill>
                <a:effectLst/>
                <a:latin typeface="+mn-lt"/>
                <a:ea typeface="+mn-ea"/>
                <a:cs typeface="+mn-cs"/>
              </a:rPr>
              <a:t>=</a:t>
            </a:r>
            <a:r>
              <a:rPr lang="it-IT" b="1">
                <a:solidFill>
                  <a:srgbClr val="0070C0"/>
                </a:solidFill>
              </a:rPr>
              <a:t> </a:t>
            </a:r>
            <a:r>
              <a:rPr lang="it-IT" sz="1100" b="1" i="0" u="none" strike="noStrike">
                <a:solidFill>
                  <a:srgbClr val="0070C0"/>
                </a:solidFill>
                <a:effectLst/>
                <a:latin typeface="+mn-lt"/>
                <a:ea typeface="+mn-ea"/>
                <a:cs typeface="+mn-cs"/>
              </a:rPr>
              <a:t>4.22</a:t>
            </a:r>
            <a:r>
              <a:rPr lang="it-IT" b="1">
                <a:solidFill>
                  <a:srgbClr val="0070C0"/>
                </a:solidFill>
              </a:rPr>
              <a:t> </a:t>
            </a:r>
          </a:p>
          <a:p>
            <a:r>
              <a:rPr lang="it-IT" sz="1100" b="1" i="1" u="none" strike="noStrike">
                <a:solidFill>
                  <a:srgbClr val="0070C0"/>
                </a:solidFill>
                <a:effectLst/>
                <a:latin typeface="+mn-lt"/>
                <a:ea typeface="+mn-ea"/>
                <a:cs typeface="+mn-cs"/>
              </a:rPr>
              <a:t>w=</a:t>
            </a:r>
            <a:r>
              <a:rPr lang="it-IT" b="1">
                <a:solidFill>
                  <a:srgbClr val="0070C0"/>
                </a:solidFill>
              </a:rPr>
              <a:t> </a:t>
            </a:r>
            <a:r>
              <a:rPr lang="it-IT" sz="1100" b="1" i="0" u="none" strike="noStrike">
                <a:solidFill>
                  <a:srgbClr val="0070C0"/>
                </a:solidFill>
                <a:effectLst/>
                <a:latin typeface="+mn-lt"/>
                <a:ea typeface="+mn-ea"/>
                <a:cs typeface="+mn-cs"/>
              </a:rPr>
              <a:t>7.99</a:t>
            </a:r>
            <a:r>
              <a:rPr lang="it-IT" b="1">
                <a:solidFill>
                  <a:srgbClr val="0070C0"/>
                </a:solidFill>
              </a:rPr>
              <a:t> </a:t>
            </a:r>
          </a:p>
          <a:p>
            <a:r>
              <a:rPr lang="it-IT" sz="1100" b="1" i="1">
                <a:solidFill>
                  <a:srgbClr val="0070C0"/>
                </a:solidFill>
              </a:rPr>
              <a:t>R</a:t>
            </a:r>
            <a:r>
              <a:rPr lang="it-IT" sz="1100" b="1" i="1" baseline="30000">
                <a:solidFill>
                  <a:srgbClr val="0070C0"/>
                </a:solidFill>
              </a:rPr>
              <a:t>2</a:t>
            </a:r>
            <a:r>
              <a:rPr lang="it-IT" sz="1100" b="1" baseline="0">
                <a:solidFill>
                  <a:srgbClr val="0070C0"/>
                </a:solidFill>
              </a:rPr>
              <a:t>= 0.9989</a:t>
            </a:r>
          </a:p>
          <a:p>
            <a:r>
              <a:rPr lang="it-IT" sz="1100" b="1" i="1" baseline="0">
                <a:solidFill>
                  <a:srgbClr val="0070C0"/>
                </a:solidFill>
              </a:rPr>
              <a:t>CI</a:t>
            </a:r>
            <a:r>
              <a:rPr lang="it-IT" sz="1100" b="1" baseline="0">
                <a:solidFill>
                  <a:srgbClr val="0070C0"/>
                </a:solidFill>
              </a:rPr>
              <a:t>= 2419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it-IT" sz="1100" b="1" i="0">
                <a:solidFill>
                  <a:srgbClr val="0070C0"/>
                </a:solidFill>
                <a:effectLst/>
                <a:latin typeface="+mn-lt"/>
                <a:ea typeface="+mn-ea"/>
                <a:cs typeface="+mn-cs"/>
              </a:rPr>
              <a:t>(day</a:t>
            </a:r>
            <a:r>
              <a:rPr lang="it-IT" sz="1100" b="1">
                <a:solidFill>
                  <a:srgbClr val="0070C0"/>
                </a:solidFill>
                <a:effectLst/>
                <a:latin typeface="+mn-lt"/>
                <a:ea typeface="+mn-ea"/>
                <a:cs typeface="+mn-cs"/>
              </a:rPr>
              <a:t> 1</a:t>
            </a:r>
            <a:r>
              <a:rPr lang="it-IT" sz="1100" b="1" baseline="0">
                <a:solidFill>
                  <a:srgbClr val="0070C0"/>
                </a:solidFill>
                <a:effectLst/>
                <a:latin typeface="+mn-lt"/>
                <a:ea typeface="+mn-ea"/>
                <a:cs typeface="+mn-cs"/>
              </a:rPr>
              <a:t> = Feb 20th)</a:t>
            </a:r>
            <a:endParaRPr lang="it-IT" b="1">
              <a:solidFill>
                <a:srgbClr val="0070C0"/>
              </a:solidFill>
              <a:effectLst/>
            </a:endParaRPr>
          </a:p>
          <a:p>
            <a:endParaRPr lang="it-IT" sz="1100" baseline="30000"/>
          </a:p>
        </xdr:txBody>
      </xdr:sp>
    </xdr:grpSp>
    <xdr:clientData/>
  </xdr:twoCellAnchor>
  <xdr:oneCellAnchor>
    <xdr:from>
      <xdr:col>15</xdr:col>
      <xdr:colOff>185057</xdr:colOff>
      <xdr:row>15</xdr:row>
      <xdr:rowOff>136076</xdr:rowOff>
    </xdr:from>
    <xdr:ext cx="3135086" cy="31024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CasellaDiTesto 7">
              <a:extLst>
                <a:ext uri="{FF2B5EF4-FFF2-40B4-BE49-F238E27FC236}">
                  <a16:creationId xmlns:a16="http://schemas.microsoft.com/office/drawing/2014/main" id="{E41171F6-92CD-40E0-8C04-B437DABCE7A4}"/>
                </a:ext>
              </a:extLst>
            </xdr:cNvPr>
            <xdr:cNvSpPr txBox="1"/>
          </xdr:nvSpPr>
          <xdr:spPr>
            <a:xfrm>
              <a:off x="10809514" y="3303819"/>
              <a:ext cx="3135086" cy="3102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it-IT" sz="1100"/>
                <a:t>y=</a:t>
              </a:r>
              <a14:m>
                <m:oMath xmlns:m="http://schemas.openxmlformats.org/officeDocument/2006/math">
                  <m:nary>
                    <m:naryPr>
                      <m:chr m:val="∑"/>
                      <m:ctrlPr>
                        <a:rPr lang="it-IT" sz="1100" i="1">
                          <a:latin typeface="Cambria Math" panose="02040503050406030204" pitchFamily="18" charset="0"/>
                        </a:rPr>
                      </m:ctrlPr>
                    </m:naryPr>
                    <m:sub>
                      <m:r>
                        <m:rPr>
                          <m:brk m:alnAt="23"/>
                        </m:rPr>
                        <a:rPr lang="it-IT" sz="1100" b="0" i="1">
                          <a:latin typeface="Cambria Math" panose="02040503050406030204" pitchFamily="18" charset="0"/>
                        </a:rPr>
                        <m:t>1</m:t>
                      </m:r>
                    </m:sub>
                    <m:sup>
                      <m:r>
                        <a:rPr lang="it-IT" sz="1100" b="0" i="1">
                          <a:latin typeface="Cambria Math" panose="02040503050406030204" pitchFamily="18" charset="0"/>
                        </a:rPr>
                        <m:t>𝑡</m:t>
                      </m:r>
                    </m:sup>
                    <m:e>
                      <m:r>
                        <a:rPr lang="it-IT" sz="1100" b="0" i="1">
                          <a:latin typeface="Cambria Math" panose="02040503050406030204" pitchFamily="18" charset="0"/>
                        </a:rPr>
                        <m:t>𝑃</m:t>
                      </m:r>
                      <m:d>
                        <m:dPr>
                          <m:ctrlPr>
                            <a:rPr lang="it-IT" sz="1100" b="0" i="1">
                              <a:latin typeface="Cambria Math" panose="02040503050406030204" pitchFamily="18" charset="0"/>
                            </a:rPr>
                          </m:ctrlPr>
                        </m:dPr>
                        <m:e>
                          <m:r>
                            <a:rPr lang="it-IT" sz="1100" b="0" i="1">
                              <a:latin typeface="Cambria Math" panose="02040503050406030204" pitchFamily="18" charset="0"/>
                            </a:rPr>
                            <m:t>𝑡</m:t>
                          </m:r>
                          <m:r>
                            <a:rPr lang="it-IT" sz="1100" b="0" i="1">
                              <a:latin typeface="Cambria Math" panose="02040503050406030204" pitchFamily="18" charset="0"/>
                            </a:rPr>
                            <m:t>;</m:t>
                          </m:r>
                          <m:sSub>
                            <m:sSubPr>
                              <m:ctrlPr>
                                <a:rPr lang="it-IT" sz="1100" b="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lang="it-IT" sz="1100" b="0" i="1">
                                  <a:latin typeface="Cambria Math" panose="02040503050406030204" pitchFamily="18" charset="0"/>
                                </a:rPr>
                                <m:t>𝑡</m:t>
                              </m:r>
                            </m:e>
                            <m:sub>
                              <m:r>
                                <a:rPr lang="it-IT" sz="11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sub>
                          </m:sSub>
                          <m:r>
                            <a:rPr lang="it-IT" sz="1100" b="0" i="1">
                              <a:latin typeface="Cambria Math" panose="02040503050406030204" pitchFamily="18" charset="0"/>
                            </a:rPr>
                            <m:t>,</m:t>
                          </m:r>
                          <m:r>
                            <a:rPr lang="it-IT" sz="1100" b="0" i="1">
                              <a:latin typeface="Cambria Math" panose="02040503050406030204" pitchFamily="18" charset="0"/>
                            </a:rPr>
                            <m:t>𝑤</m:t>
                          </m:r>
                        </m:e>
                      </m:d>
                    </m:e>
                  </m:nary>
                  <m:r>
                    <a:rPr lang="it-IT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≈</m:t>
                  </m:r>
                  <m:sSub>
                    <m:sSubPr>
                      <m:ctrlPr>
                        <a:rPr lang="it-IT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it-IT" sz="1100" b="0" i="1">
                          <a:latin typeface="Cambria Math" panose="02040503050406030204" pitchFamily="18" charset="0"/>
                        </a:rPr>
                        <m:t>𝑡</m:t>
                      </m:r>
                    </m:e>
                    <m:sub>
                      <m:r>
                        <a:rPr lang="it-IT" sz="1100" b="0" i="1">
                          <a:latin typeface="Cambria Math" panose="02040503050406030204" pitchFamily="18" charset="0"/>
                        </a:rPr>
                        <m:t>0</m:t>
                      </m:r>
                    </m:sub>
                  </m:sSub>
                  <m:d>
                    <m:dPr>
                      <m:begChr m:val="["/>
                      <m:endChr m:val="]"/>
                      <m:ctrlPr>
                        <a:rPr lang="it-IT" sz="1100" b="0" i="1">
                          <a:latin typeface="Cambria Math" panose="02040503050406030204" pitchFamily="18" charset="0"/>
                        </a:rPr>
                      </m:ctrlPr>
                    </m:dPr>
                    <m:e>
                      <m:r>
                        <m:rPr>
                          <m:sty m:val="p"/>
                        </m:rPr>
                        <a:rPr lang="el-GR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Γ</m:t>
                      </m:r>
                      <m:d>
                        <m:dPr>
                          <m:ctrlPr>
                            <a:rPr lang="el-GR" sz="11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</m:ctrlPr>
                        </m:dPr>
                        <m:e>
                          <m:r>
                            <a:rPr lang="it-IT" sz="11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𝑤</m:t>
                          </m:r>
                          <m:r>
                            <a:rPr lang="it-IT" sz="11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+1</m:t>
                          </m:r>
                        </m:e>
                      </m:d>
                      <m:r>
                        <a:rPr lang="it-IT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−</m:t>
                      </m:r>
                      <m:r>
                        <m:rPr>
                          <m:sty m:val="p"/>
                        </m:rPr>
                        <a:rPr lang="el-GR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Γ</m:t>
                      </m:r>
                      <m:d>
                        <m:dPr>
                          <m:ctrlPr>
                            <a:rPr lang="el-GR" sz="11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</m:ctrlPr>
                        </m:dPr>
                        <m:e>
                          <m:r>
                            <a:rPr lang="it-IT" sz="11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𝑤</m:t>
                          </m:r>
                          <m:r>
                            <a:rPr lang="it-IT" sz="11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+1,</m:t>
                          </m:r>
                          <m:f>
                            <m:fPr>
                              <m:ctrlPr>
                                <a:rPr lang="it-IT" sz="1100" b="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</m:ctrlPr>
                            </m:fPr>
                            <m:num>
                              <m:r>
                                <a:rPr lang="it-IT" sz="1100" b="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𝑡</m:t>
                              </m:r>
                            </m:num>
                            <m:den>
                              <m:sSub>
                                <m:sSubPr>
                                  <m:ctrlPr>
                                    <a:rPr lang="it-IT" sz="1100" b="0" i="1"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lang="it-IT" sz="1100" b="0" i="1"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</a:rPr>
                                    <m:t>𝑡</m:t>
                                  </m:r>
                                </m:e>
                                <m:sub>
                                  <m:r>
                                    <a:rPr lang="it-IT" sz="1100" b="0" i="1"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</a:rPr>
                                    <m:t>0</m:t>
                                  </m:r>
                                </m:sub>
                              </m:sSub>
                            </m:den>
                          </m:f>
                        </m:e>
                      </m:d>
                    </m:e>
                  </m:d>
                </m:oMath>
              </a14:m>
              <a:endParaRPr lang="it-IT" sz="1100"/>
            </a:p>
          </xdr:txBody>
        </xdr:sp>
      </mc:Choice>
      <mc:Fallback xmlns="">
        <xdr:sp macro="" textlink="">
          <xdr:nvSpPr>
            <xdr:cNvPr id="8" name="CasellaDiTesto 7">
              <a:extLst>
                <a:ext uri="{FF2B5EF4-FFF2-40B4-BE49-F238E27FC236}">
                  <a16:creationId xmlns:a16="http://schemas.microsoft.com/office/drawing/2014/main" id="{E41171F6-92CD-40E0-8C04-B437DABCE7A4}"/>
                </a:ext>
              </a:extLst>
            </xdr:cNvPr>
            <xdr:cNvSpPr txBox="1"/>
          </xdr:nvSpPr>
          <xdr:spPr>
            <a:xfrm>
              <a:off x="10809514" y="3303819"/>
              <a:ext cx="3135086" cy="3102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it-IT" sz="1100"/>
                <a:t>y=</a:t>
              </a:r>
              <a:r>
                <a:rPr lang="it-IT" sz="1100" i="0">
                  <a:latin typeface="Cambria Math" panose="02040503050406030204" pitchFamily="18" charset="0"/>
                </a:rPr>
                <a:t>∑</a:t>
              </a:r>
              <a:r>
                <a:rPr lang="it-IT" sz="1100" b="0" i="0">
                  <a:latin typeface="Cambria Math" panose="02040503050406030204" pitchFamily="18" charset="0"/>
                </a:rPr>
                <a:t>_1^𝑡▒𝑃(𝑡;𝑡_0,𝑤) </a:t>
              </a:r>
              <a:r>
                <a:rPr lang="it-IT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≈</a:t>
              </a:r>
              <a:r>
                <a:rPr lang="it-IT" sz="1100" b="0" i="0">
                  <a:latin typeface="Cambria Math" panose="02040503050406030204" pitchFamily="18" charset="0"/>
                </a:rPr>
                <a:t>𝑡_0 [</a:t>
              </a:r>
              <a:r>
                <a:rPr lang="el-G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Γ(</a:t>
              </a:r>
              <a:r>
                <a:rPr lang="it-IT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𝑤+1)−</a:t>
              </a:r>
              <a:r>
                <a:rPr lang="el-G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Γ(</a:t>
              </a:r>
              <a:r>
                <a:rPr lang="it-IT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𝑤+1,𝑡/𝑡_0 )]</a:t>
              </a:r>
              <a:endParaRPr lang="it-IT" sz="1100"/>
            </a:p>
          </xdr:txBody>
        </xdr:sp>
      </mc:Fallback>
    </mc:AlternateContent>
    <xdr:clientData/>
  </xdr:oneCellAnchor>
  <xdr:oneCellAnchor>
    <xdr:from>
      <xdr:col>15</xdr:col>
      <xdr:colOff>432164</xdr:colOff>
      <xdr:row>12</xdr:row>
      <xdr:rowOff>185061</xdr:rowOff>
    </xdr:from>
    <xdr:ext cx="1940922" cy="41365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CasellaDiTesto 8">
              <a:extLst>
                <a:ext uri="{FF2B5EF4-FFF2-40B4-BE49-F238E27FC236}">
                  <a16:creationId xmlns:a16="http://schemas.microsoft.com/office/drawing/2014/main" id="{A390F678-15DD-420F-A6FC-7C6C3ADC64E8}"/>
                </a:ext>
              </a:extLst>
            </xdr:cNvPr>
            <xdr:cNvSpPr txBox="1"/>
          </xdr:nvSpPr>
          <xdr:spPr>
            <a:xfrm>
              <a:off x="11056621" y="2775861"/>
              <a:ext cx="1940922" cy="41365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𝑃</m:t>
                    </m:r>
                    <m:d>
                      <m:dPr>
                        <m:ctrlPr>
                          <a:rPr lang="it-IT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it-IT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  <m:r>
                          <a:rPr lang="it-IT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;</m:t>
                        </m:r>
                        <m:sSub>
                          <m:sSubPr>
                            <m:ctrlPr>
                              <a:rPr lang="it-IT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it-IT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𝑡</m:t>
                            </m:r>
                          </m:e>
                          <m:sub>
                            <m:r>
                              <a:rPr lang="it-IT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</m:sub>
                        </m:sSub>
                        <m:r>
                          <a:rPr lang="it-IT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it-IT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𝑤</m:t>
                        </m:r>
                      </m:e>
                    </m:d>
                    <m:r>
                      <a:rPr lang="it-IT" sz="1400" b="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it-IT" sz="1100" b="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it-IT" sz="11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it-IT" sz="11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𝑡</m:t>
                                </m:r>
                              </m:num>
                              <m:den>
                                <m:sSub>
                                  <m:sSubPr>
                                    <m:ctrlP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𝑡</m:t>
                                    </m:r>
                                  </m:e>
                                  <m:sub>
                                    <m: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0</m:t>
                                    </m:r>
                                  </m:sub>
                                </m:sSub>
                              </m:den>
                            </m:f>
                          </m:e>
                        </m:d>
                      </m:e>
                      <m:sup>
                        <m: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𝑤</m:t>
                        </m:r>
                      </m:sup>
                    </m:sSup>
                    <m:sSup>
                      <m:sSupPr>
                        <m:ctrlP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</m:t>
                        </m:r>
                      </m:e>
                      <m:sup>
                        <m: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 </m:t>
                        </m:r>
                        <m:box>
                          <m:boxPr>
                            <m:ctrlPr>
                              <a:rPr lang="it-IT" sz="1100" b="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boxPr>
                          <m:e>
                            <m:argPr>
                              <m:argSz m:val="-1"/>
                            </m:argPr>
                            <m:f>
                              <m:fPr>
                                <m:ctrlPr>
                                  <a:rPr lang="it-IT" sz="11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it-IT" sz="11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𝑡</m:t>
                                </m:r>
                              </m:num>
                              <m:den>
                                <m:sSub>
                                  <m:sSubPr>
                                    <m:ctrlP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𝑡</m:t>
                                    </m:r>
                                  </m:e>
                                  <m:sub>
                                    <m: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0</m:t>
                                    </m:r>
                                  </m:sub>
                                </m:sSub>
                              </m:den>
                            </m:f>
                          </m:e>
                        </m:box>
                      </m:sup>
                    </m:sSup>
                  </m:oMath>
                </m:oMathPara>
              </a14:m>
              <a:endParaRPr lang="it-IT" sz="1600">
                <a:solidFill>
                  <a:sysClr val="windowText" lastClr="00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9" name="CasellaDiTesto 8">
              <a:extLst>
                <a:ext uri="{FF2B5EF4-FFF2-40B4-BE49-F238E27FC236}">
                  <a16:creationId xmlns:a16="http://schemas.microsoft.com/office/drawing/2014/main" id="{A390F678-15DD-420F-A6FC-7C6C3ADC64E8}"/>
                </a:ext>
              </a:extLst>
            </xdr:cNvPr>
            <xdr:cNvSpPr txBox="1"/>
          </xdr:nvSpPr>
          <xdr:spPr>
            <a:xfrm>
              <a:off x="11056621" y="2775861"/>
              <a:ext cx="1940922" cy="41365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it-I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𝑃(𝑡;𝑡_0,𝑤)</a:t>
              </a:r>
              <a:r>
                <a:rPr lang="it-IT" sz="1400" b="0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=</a:t>
              </a:r>
              <a:r>
                <a:rPr lang="it-IT" sz="1100" b="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(𝑡/𝑡_0 )^𝑤 𝑒^(− □(64&amp;𝑡/𝑡_0 ))</a:t>
              </a:r>
              <a:endParaRPr lang="it-IT" sz="1600">
                <a:solidFill>
                  <a:sysClr val="windowText" lastClr="00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0.6939</cdr:x>
      <cdr:y>0.46292</cdr:y>
    </cdr:from>
    <cdr:to>
      <cdr:x>0.95734</cdr:x>
      <cdr:y>0.67637</cdr:y>
    </cdr:to>
    <cdr:sp macro="" textlink="">
      <cdr:nvSpPr>
        <cdr:cNvPr id="2" name="CasellaDiTesto 6">
          <a:extLst xmlns:a="http://schemas.openxmlformats.org/drawingml/2006/main">
            <a:ext uri="{FF2B5EF4-FFF2-40B4-BE49-F238E27FC236}">
              <a16:creationId xmlns:a16="http://schemas.microsoft.com/office/drawing/2014/main" id="{7E696076-8C22-4EC6-8C39-63B8E38294C1}"/>
            </a:ext>
          </a:extLst>
        </cdr:cNvPr>
        <cdr:cNvSpPr txBox="1"/>
      </cdr:nvSpPr>
      <cdr:spPr>
        <a:xfrm xmlns:a="http://schemas.openxmlformats.org/drawingml/2006/main">
          <a:off x="4814663" y="2838591"/>
          <a:ext cx="1827892" cy="1308866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solidFill>
            <a:schemeClr val="lt1">
              <a:shade val="50000"/>
            </a:schemeClr>
          </a:solidFill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it-IT" sz="1400" b="1" i="1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Cumulative deaths</a:t>
          </a:r>
        </a:p>
        <a:p xmlns:a="http://schemas.openxmlformats.org/drawingml/2006/main">
          <a:r>
            <a:rPr lang="it-IT" sz="1100" b="1" i="1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K= 37579</a:t>
          </a:r>
        </a:p>
        <a:p xmlns:a="http://schemas.openxmlformats.org/drawingml/2006/main">
          <a:r>
            <a:rPr lang="it-IT" sz="1100" b="1" i="1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t</a:t>
          </a:r>
          <a:r>
            <a:rPr lang="it-IT" sz="1100" b="1" i="1" u="none" strike="noStrike" baseline="-25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it-IT" sz="1100" b="1" i="1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=</a:t>
          </a:r>
          <a:r>
            <a:rPr lang="it-IT" b="1">
              <a:solidFill>
                <a:srgbClr val="FF0000"/>
              </a:solidFill>
            </a:rPr>
            <a:t> </a:t>
          </a:r>
          <a:r>
            <a:rPr lang="it-IT" sz="1100" b="1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6.20</a:t>
          </a:r>
          <a:r>
            <a:rPr lang="it-IT" b="1">
              <a:solidFill>
                <a:srgbClr val="FF0000"/>
              </a:solidFill>
            </a:rPr>
            <a:t> </a:t>
          </a:r>
        </a:p>
        <a:p xmlns:a="http://schemas.openxmlformats.org/drawingml/2006/main">
          <a:r>
            <a:rPr lang="it-IT" sz="1100" b="1" i="1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w=</a:t>
          </a:r>
          <a:r>
            <a:rPr lang="it-IT" b="1">
              <a:solidFill>
                <a:srgbClr val="FF0000"/>
              </a:solidFill>
            </a:rPr>
            <a:t> </a:t>
          </a:r>
          <a:r>
            <a:rPr lang="it-IT" sz="1100" b="1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7.09</a:t>
          </a:r>
          <a:r>
            <a:rPr lang="it-IT" b="1">
              <a:solidFill>
                <a:srgbClr val="FF0000"/>
              </a:solidFill>
            </a:rPr>
            <a:t> </a:t>
          </a:r>
        </a:p>
        <a:p xmlns:a="http://schemas.openxmlformats.org/drawingml/2006/main">
          <a:r>
            <a:rPr lang="it-IT" sz="1100" b="1" i="1">
              <a:solidFill>
                <a:srgbClr val="FF0000"/>
              </a:solidFill>
            </a:rPr>
            <a:t>R</a:t>
          </a:r>
          <a:r>
            <a:rPr lang="it-IT" sz="1100" b="1" i="1" baseline="30000">
              <a:solidFill>
                <a:srgbClr val="FF0000"/>
              </a:solidFill>
            </a:rPr>
            <a:t>2</a:t>
          </a:r>
          <a:r>
            <a:rPr lang="it-IT" sz="1100" b="1" baseline="0">
              <a:solidFill>
                <a:srgbClr val="FF0000"/>
              </a:solidFill>
            </a:rPr>
            <a:t>= 0.9997</a:t>
          </a:r>
        </a:p>
        <a:p xmlns:a="http://schemas.openxmlformats.org/drawingml/2006/main">
          <a:r>
            <a:rPr lang="it-IT" sz="1100" b="1" i="1" baseline="0">
              <a:solidFill>
                <a:srgbClr val="FF0000"/>
              </a:solidFill>
            </a:rPr>
            <a:t>CI</a:t>
          </a:r>
          <a:r>
            <a:rPr lang="it-IT" sz="1100" b="1" baseline="0">
              <a:solidFill>
                <a:srgbClr val="FF0000"/>
              </a:solidFill>
            </a:rPr>
            <a:t>= 147</a:t>
          </a:r>
        </a:p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1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(day</a:t>
          </a:r>
          <a:r>
            <a:rPr lang="it-IT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1</a:t>
          </a:r>
          <a:r>
            <a:rPr lang="it-IT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= Feb 20th)</a:t>
          </a:r>
          <a:endParaRPr lang="it-IT" b="1">
            <a:solidFill>
              <a:srgbClr val="FF0000"/>
            </a:solidFill>
            <a:effectLst/>
          </a:endParaRPr>
        </a:p>
        <a:p xmlns:a="http://schemas.openxmlformats.org/drawingml/2006/main">
          <a:endParaRPr lang="it-IT" sz="1100" baseline="30000"/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7620</xdr:colOff>
      <xdr:row>5</xdr:row>
      <xdr:rowOff>0</xdr:rowOff>
    </xdr:from>
    <xdr:to>
      <xdr:col>29</xdr:col>
      <xdr:colOff>99060</xdr:colOff>
      <xdr:row>37</xdr:row>
      <xdr:rowOff>144780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F5082D72-C1F7-4963-A285-6EBE98D385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6</xdr:col>
      <xdr:colOff>740229</xdr:colOff>
      <xdr:row>2</xdr:row>
      <xdr:rowOff>152400</xdr:rowOff>
    </xdr:from>
    <xdr:ext cx="1981199" cy="41365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CasellaDiTesto 12">
              <a:extLst>
                <a:ext uri="{FF2B5EF4-FFF2-40B4-BE49-F238E27FC236}">
                  <a16:creationId xmlns:a16="http://schemas.microsoft.com/office/drawing/2014/main" id="{D51ED4DB-D98F-4607-88B8-B2A5F5A5E99B}"/>
                </a:ext>
              </a:extLst>
            </xdr:cNvPr>
            <xdr:cNvSpPr txBox="1"/>
          </xdr:nvSpPr>
          <xdr:spPr>
            <a:xfrm>
              <a:off x="5355772" y="729343"/>
              <a:ext cx="1981199" cy="41365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𝑦</m:t>
                    </m:r>
                    <m:r>
                      <a:rPr lang="it-IT" sz="1400" b="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it-IT" sz="1100" b="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it-IT" sz="11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it-IT" sz="11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𝑡</m:t>
                                </m:r>
                              </m:num>
                              <m:den>
                                <m:sSub>
                                  <m:sSubPr>
                                    <m:ctrlP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𝑡</m:t>
                                    </m:r>
                                  </m:e>
                                  <m:sub>
                                    <m: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0</m:t>
                                    </m:r>
                                  </m:sub>
                                </m:sSub>
                              </m:den>
                            </m:f>
                          </m:e>
                        </m:d>
                      </m:e>
                      <m:sup>
                        <m: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𝑤</m:t>
                        </m:r>
                      </m:sup>
                    </m:sSup>
                    <m:sSup>
                      <m:sSupPr>
                        <m:ctrlP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</m:t>
                        </m:r>
                      </m:e>
                      <m:sup>
                        <m: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 </m:t>
                        </m:r>
                        <m:box>
                          <m:boxPr>
                            <m:ctrlPr>
                              <a:rPr lang="it-IT" sz="1100" b="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boxPr>
                          <m:e>
                            <m:argPr>
                              <m:argSz m:val="-1"/>
                            </m:argPr>
                            <m:f>
                              <m:fPr>
                                <m:ctrlPr>
                                  <a:rPr lang="it-IT" sz="11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it-IT" sz="11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𝑡</m:t>
                                </m:r>
                              </m:num>
                              <m:den>
                                <m:sSub>
                                  <m:sSubPr>
                                    <m:ctrlP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𝑡</m:t>
                                    </m:r>
                                  </m:e>
                                  <m:sub>
                                    <m: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0</m:t>
                                    </m:r>
                                  </m:sub>
                                </m:sSub>
                              </m:den>
                            </m:f>
                          </m:e>
                        </m:box>
                      </m:sup>
                    </m:sSup>
                  </m:oMath>
                </m:oMathPara>
              </a14:m>
              <a:endParaRPr lang="it-IT" sz="1600">
                <a:solidFill>
                  <a:sysClr val="windowText" lastClr="00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13" name="CasellaDiTesto 12">
              <a:extLst>
                <a:ext uri="{FF2B5EF4-FFF2-40B4-BE49-F238E27FC236}">
                  <a16:creationId xmlns:a16="http://schemas.microsoft.com/office/drawing/2014/main" id="{D51ED4DB-D98F-4607-88B8-B2A5F5A5E99B}"/>
                </a:ext>
              </a:extLst>
            </xdr:cNvPr>
            <xdr:cNvSpPr txBox="1"/>
          </xdr:nvSpPr>
          <xdr:spPr>
            <a:xfrm>
              <a:off x="5355772" y="729343"/>
              <a:ext cx="1981199" cy="41365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it-I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𝑦</a:t>
              </a:r>
              <a:r>
                <a:rPr lang="it-IT" sz="1400" b="0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=</a:t>
              </a:r>
              <a:r>
                <a:rPr lang="it-IT" sz="1100" b="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(𝑡/𝑡_0 )^𝑤 𝑒^(− □(64&amp;𝑡/𝑡_0 ))</a:t>
              </a:r>
              <a:endParaRPr lang="it-IT" sz="1600">
                <a:solidFill>
                  <a:sysClr val="windowText" lastClr="00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oneCellAnchor>
    <xdr:from>
      <xdr:col>20</xdr:col>
      <xdr:colOff>250372</xdr:colOff>
      <xdr:row>11</xdr:row>
      <xdr:rowOff>54429</xdr:rowOff>
    </xdr:from>
    <xdr:ext cx="1981199" cy="41365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CasellaDiTesto 13">
              <a:extLst>
                <a:ext uri="{FF2B5EF4-FFF2-40B4-BE49-F238E27FC236}">
                  <a16:creationId xmlns:a16="http://schemas.microsoft.com/office/drawing/2014/main" id="{CDABA8D7-058F-4FA1-868B-347C0B1C3351}"/>
                </a:ext>
              </a:extLst>
            </xdr:cNvPr>
            <xdr:cNvSpPr txBox="1"/>
          </xdr:nvSpPr>
          <xdr:spPr>
            <a:xfrm>
              <a:off x="14684829" y="2460172"/>
              <a:ext cx="1981199" cy="41365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𝑦</m:t>
                    </m:r>
                    <m:r>
                      <a:rPr lang="it-IT" sz="1400" b="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it-IT" sz="1100" b="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it-IT" sz="11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it-IT" sz="11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𝑡</m:t>
                                </m:r>
                              </m:num>
                              <m:den>
                                <m:sSub>
                                  <m:sSubPr>
                                    <m:ctrlP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𝑡</m:t>
                                    </m:r>
                                  </m:e>
                                  <m:sub>
                                    <m: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0</m:t>
                                    </m:r>
                                  </m:sub>
                                </m:sSub>
                              </m:den>
                            </m:f>
                          </m:e>
                        </m:d>
                      </m:e>
                      <m:sup>
                        <m: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𝑤</m:t>
                        </m:r>
                      </m:sup>
                    </m:sSup>
                    <m:sSup>
                      <m:sSupPr>
                        <m:ctrlP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</m:t>
                        </m:r>
                      </m:e>
                      <m:sup>
                        <m: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 </m:t>
                        </m:r>
                        <m:box>
                          <m:boxPr>
                            <m:ctrlPr>
                              <a:rPr lang="it-IT" sz="1100" b="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boxPr>
                          <m:e>
                            <m:argPr>
                              <m:argSz m:val="-1"/>
                            </m:argPr>
                            <m:f>
                              <m:fPr>
                                <m:ctrlPr>
                                  <a:rPr lang="it-IT" sz="11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it-IT" sz="11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𝑡</m:t>
                                </m:r>
                              </m:num>
                              <m:den>
                                <m:sSub>
                                  <m:sSubPr>
                                    <m:ctrlP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𝑡</m:t>
                                    </m:r>
                                  </m:e>
                                  <m:sub>
                                    <m: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0</m:t>
                                    </m:r>
                                  </m:sub>
                                </m:sSub>
                              </m:den>
                            </m:f>
                          </m:e>
                        </m:box>
                      </m:sup>
                    </m:sSup>
                  </m:oMath>
                </m:oMathPara>
              </a14:m>
              <a:endParaRPr lang="it-IT" sz="1600">
                <a:solidFill>
                  <a:sysClr val="windowText" lastClr="00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14" name="CasellaDiTesto 13">
              <a:extLst>
                <a:ext uri="{FF2B5EF4-FFF2-40B4-BE49-F238E27FC236}">
                  <a16:creationId xmlns:a16="http://schemas.microsoft.com/office/drawing/2014/main" id="{CDABA8D7-058F-4FA1-868B-347C0B1C3351}"/>
                </a:ext>
              </a:extLst>
            </xdr:cNvPr>
            <xdr:cNvSpPr txBox="1"/>
          </xdr:nvSpPr>
          <xdr:spPr>
            <a:xfrm>
              <a:off x="14684829" y="2460172"/>
              <a:ext cx="1981199" cy="41365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it-I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𝑦</a:t>
              </a:r>
              <a:r>
                <a:rPr lang="it-IT" sz="1400" b="0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=</a:t>
              </a:r>
              <a:r>
                <a:rPr lang="it-IT" sz="1100" b="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(𝑡/𝑡_0 )^𝑤 𝑒^(− □(64&amp;𝑡/𝑡_0 ))</a:t>
              </a:r>
              <a:endParaRPr lang="it-IT" sz="1600">
                <a:solidFill>
                  <a:sysClr val="windowText" lastClr="00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twoCellAnchor>
    <xdr:from>
      <xdr:col>18</xdr:col>
      <xdr:colOff>468086</xdr:colOff>
      <xdr:row>16</xdr:row>
      <xdr:rowOff>108857</xdr:rowOff>
    </xdr:from>
    <xdr:to>
      <xdr:col>21</xdr:col>
      <xdr:colOff>467226</xdr:colOff>
      <xdr:row>24</xdr:row>
      <xdr:rowOff>807</xdr:rowOff>
    </xdr:to>
    <xdr:sp macro="" textlink="">
      <xdr:nvSpPr>
        <xdr:cNvPr id="15" name="CasellaDiTesto 14">
          <a:extLst>
            <a:ext uri="{FF2B5EF4-FFF2-40B4-BE49-F238E27FC236}">
              <a16:creationId xmlns:a16="http://schemas.microsoft.com/office/drawing/2014/main" id="{ECEDAA15-C068-479E-B2FB-BC15E3292245}"/>
            </a:ext>
          </a:extLst>
        </xdr:cNvPr>
        <xdr:cNvSpPr txBox="1"/>
      </xdr:nvSpPr>
      <xdr:spPr>
        <a:xfrm>
          <a:off x="13683343" y="3461657"/>
          <a:ext cx="1827940" cy="140506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400" b="1" i="1" u="none" strike="noStrike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New cases detected</a:t>
          </a:r>
        </a:p>
        <a:p>
          <a:r>
            <a:rPr lang="it-IT" sz="1100" b="1" i="1" u="none" strike="noStrike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Peak value=</a:t>
          </a:r>
          <a:r>
            <a:rPr lang="it-IT" b="1">
              <a:solidFill>
                <a:srgbClr val="0070C0"/>
              </a:solidFill>
            </a:rPr>
            <a:t> </a:t>
          </a:r>
          <a:r>
            <a:rPr lang="it-IT" sz="1100" b="1" i="0" u="none" strike="noStrike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5488</a:t>
          </a:r>
          <a:r>
            <a:rPr lang="it-IT" b="1">
              <a:solidFill>
                <a:srgbClr val="0070C0"/>
              </a:solidFill>
            </a:rPr>
            <a:t> </a:t>
          </a:r>
        </a:p>
        <a:p>
          <a:r>
            <a:rPr lang="it-IT" sz="1100" b="1" i="1" u="none" strike="noStrike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t</a:t>
          </a:r>
          <a:r>
            <a:rPr lang="it-IT" sz="1100" b="1" i="1" u="none" strike="noStrike" baseline="-2500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it-IT" sz="1100" b="1" i="1" u="none" strike="noStrike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=</a:t>
          </a:r>
          <a:r>
            <a:rPr lang="it-IT" b="1">
              <a:solidFill>
                <a:srgbClr val="0070C0"/>
              </a:solidFill>
            </a:rPr>
            <a:t> </a:t>
          </a:r>
          <a:r>
            <a:rPr lang="it-IT" sz="1100" b="1" i="0" u="none" strike="noStrike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4.37</a:t>
          </a:r>
          <a:endParaRPr lang="it-IT" b="1">
            <a:solidFill>
              <a:srgbClr val="0070C0"/>
            </a:solidFill>
          </a:endParaRPr>
        </a:p>
        <a:p>
          <a:r>
            <a:rPr lang="it-IT" sz="1100" b="1" i="1" u="none" strike="noStrike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w=</a:t>
          </a:r>
          <a:r>
            <a:rPr lang="it-IT" b="1">
              <a:solidFill>
                <a:srgbClr val="0070C0"/>
              </a:solidFill>
            </a:rPr>
            <a:t> </a:t>
          </a:r>
          <a:r>
            <a:rPr lang="it-IT" sz="1100" b="1" i="0" u="none" strike="noStrike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7.99</a:t>
          </a:r>
          <a:r>
            <a:rPr lang="it-IT" b="1">
              <a:solidFill>
                <a:srgbClr val="0070C0"/>
              </a:solidFill>
            </a:rPr>
            <a:t> </a:t>
          </a:r>
        </a:p>
        <a:p>
          <a:r>
            <a:rPr lang="it-IT" sz="1100" b="1" i="1">
              <a:solidFill>
                <a:srgbClr val="0070C0"/>
              </a:solidFill>
            </a:rPr>
            <a:t>R</a:t>
          </a:r>
          <a:r>
            <a:rPr lang="it-IT" sz="1100" b="1" i="1" baseline="30000">
              <a:solidFill>
                <a:srgbClr val="0070C0"/>
              </a:solidFill>
            </a:rPr>
            <a:t>2</a:t>
          </a:r>
          <a:r>
            <a:rPr lang="it-IT" sz="1100" b="1" baseline="0">
              <a:solidFill>
                <a:srgbClr val="0070C0"/>
              </a:solidFill>
            </a:rPr>
            <a:t>= 0.9545</a:t>
          </a:r>
        </a:p>
        <a:p>
          <a:r>
            <a:rPr lang="it-IT" sz="1100" b="1" i="1" baseline="0">
              <a:solidFill>
                <a:srgbClr val="0070C0"/>
              </a:solidFill>
            </a:rPr>
            <a:t>CI</a:t>
          </a:r>
          <a:r>
            <a:rPr lang="it-IT" sz="1100" b="1" baseline="0">
              <a:solidFill>
                <a:srgbClr val="0070C0"/>
              </a:solidFill>
            </a:rPr>
            <a:t>= 991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1" i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(day</a:t>
          </a:r>
          <a:r>
            <a:rPr lang="it-IT" sz="1100" b="1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 1</a:t>
          </a:r>
          <a:r>
            <a:rPr lang="it-IT" sz="1100" b="1" baseline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 = Feb 20th)</a:t>
          </a:r>
          <a:endParaRPr lang="it-IT" b="1">
            <a:solidFill>
              <a:srgbClr val="0070C0"/>
            </a:solidFill>
            <a:effectLst/>
          </a:endParaRPr>
        </a:p>
        <a:p>
          <a:endParaRPr lang="it-IT" sz="1100" baseline="30000"/>
        </a:p>
      </xdr:txBody>
    </xdr:sp>
    <xdr:clientData/>
  </xdr:twoCellAnchor>
  <xdr:twoCellAnchor>
    <xdr:from>
      <xdr:col>25</xdr:col>
      <xdr:colOff>261257</xdr:colOff>
      <xdr:row>21</xdr:row>
      <xdr:rowOff>65314</xdr:rowOff>
    </xdr:from>
    <xdr:to>
      <xdr:col>28</xdr:col>
      <xdr:colOff>260397</xdr:colOff>
      <xdr:row>28</xdr:row>
      <xdr:rowOff>97971</xdr:rowOff>
    </xdr:to>
    <xdr:sp macro="" textlink="">
      <xdr:nvSpPr>
        <xdr:cNvPr id="6" name="CasellaDiTesto 5">
          <a:extLst>
            <a:ext uri="{FF2B5EF4-FFF2-40B4-BE49-F238E27FC236}">
              <a16:creationId xmlns:a16="http://schemas.microsoft.com/office/drawing/2014/main" id="{85F4D146-173D-4403-9F37-59A053CC9E63}"/>
            </a:ext>
          </a:extLst>
        </xdr:cNvPr>
        <xdr:cNvSpPr txBox="1"/>
      </xdr:nvSpPr>
      <xdr:spPr>
        <a:xfrm>
          <a:off x="17885228" y="4354285"/>
          <a:ext cx="1827940" cy="134982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400" b="1" i="1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Daily</a:t>
          </a:r>
          <a:r>
            <a:rPr lang="it-IT" sz="1400" b="1" i="1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new deaths</a:t>
          </a:r>
          <a:endParaRPr lang="it-IT" sz="1400" b="1" i="1" u="none" strike="noStrike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r>
            <a:rPr lang="it-IT" sz="1100" b="1" i="1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Peak value=</a:t>
          </a:r>
          <a:r>
            <a:rPr lang="it-IT" b="1">
              <a:solidFill>
                <a:srgbClr val="FF0000"/>
              </a:solidFill>
            </a:rPr>
            <a:t> </a:t>
          </a:r>
          <a:r>
            <a:rPr lang="it-IT" sz="1100" b="1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849</a:t>
          </a:r>
          <a:r>
            <a:rPr lang="it-IT" b="1">
              <a:solidFill>
                <a:srgbClr val="FF0000"/>
              </a:solidFill>
            </a:rPr>
            <a:t> </a:t>
          </a:r>
        </a:p>
        <a:p>
          <a:r>
            <a:rPr lang="it-IT" sz="1100" b="1" i="1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t</a:t>
          </a:r>
          <a:r>
            <a:rPr lang="it-IT" sz="1100" b="1" i="1" u="none" strike="noStrike" baseline="-25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it-IT" sz="1100" b="1" i="1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=</a:t>
          </a:r>
          <a:r>
            <a:rPr lang="it-IT" b="1">
              <a:solidFill>
                <a:srgbClr val="FF0000"/>
              </a:solidFill>
            </a:rPr>
            <a:t> </a:t>
          </a:r>
          <a:r>
            <a:rPr lang="it-IT" sz="1100" b="1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6.16</a:t>
          </a:r>
          <a:endParaRPr lang="it-IT" b="1">
            <a:solidFill>
              <a:srgbClr val="FF0000"/>
            </a:solidFill>
          </a:endParaRPr>
        </a:p>
        <a:p>
          <a:r>
            <a:rPr lang="it-IT" sz="1100" b="1" i="1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w=</a:t>
          </a:r>
          <a:r>
            <a:rPr lang="it-IT" b="1">
              <a:solidFill>
                <a:srgbClr val="FF0000"/>
              </a:solidFill>
            </a:rPr>
            <a:t> </a:t>
          </a:r>
          <a:r>
            <a:rPr lang="it-IT" sz="1100" b="1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7.06</a:t>
          </a:r>
          <a:r>
            <a:rPr lang="it-IT" b="1">
              <a:solidFill>
                <a:srgbClr val="FF0000"/>
              </a:solidFill>
            </a:rPr>
            <a:t> </a:t>
          </a:r>
        </a:p>
        <a:p>
          <a:r>
            <a:rPr lang="it-IT" sz="1100" b="1" i="1">
              <a:solidFill>
                <a:srgbClr val="FF0000"/>
              </a:solidFill>
            </a:rPr>
            <a:t>R</a:t>
          </a:r>
          <a:r>
            <a:rPr lang="it-IT" sz="1100" b="1" i="1" baseline="30000">
              <a:solidFill>
                <a:srgbClr val="FF0000"/>
              </a:solidFill>
            </a:rPr>
            <a:t>2</a:t>
          </a:r>
          <a:r>
            <a:rPr lang="it-IT" sz="1100" b="1" baseline="0">
              <a:solidFill>
                <a:srgbClr val="FF0000"/>
              </a:solidFill>
            </a:rPr>
            <a:t>= 0.9623</a:t>
          </a:r>
        </a:p>
        <a:p>
          <a:r>
            <a:rPr lang="it-IT" sz="1100" b="1" i="1" baseline="0">
              <a:solidFill>
                <a:srgbClr val="FF0000"/>
              </a:solidFill>
            </a:rPr>
            <a:t>CI</a:t>
          </a:r>
          <a:r>
            <a:rPr lang="it-IT" sz="1100" b="1" baseline="0">
              <a:solidFill>
                <a:srgbClr val="FF0000"/>
              </a:solidFill>
            </a:rPr>
            <a:t>= 129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1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(day</a:t>
          </a:r>
          <a:r>
            <a:rPr lang="it-IT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1</a:t>
          </a:r>
          <a:r>
            <a:rPr lang="it-IT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= Feb 20th)</a:t>
          </a:r>
          <a:endParaRPr lang="it-IT" b="1">
            <a:solidFill>
              <a:srgbClr val="FF0000"/>
            </a:solidFill>
            <a:effectLst/>
          </a:endParaRPr>
        </a:p>
        <a:p>
          <a:endParaRPr lang="it-IT" sz="1100" baseline="30000"/>
        </a:p>
      </xdr:txBody>
    </xdr:sp>
    <xdr:clientData/>
  </xdr:twoCellAnchor>
  <xdr:twoCellAnchor>
    <xdr:from>
      <xdr:col>18</xdr:col>
      <xdr:colOff>457200</xdr:colOff>
      <xdr:row>15</xdr:row>
      <xdr:rowOff>21772</xdr:rowOff>
    </xdr:from>
    <xdr:to>
      <xdr:col>24</xdr:col>
      <xdr:colOff>228600</xdr:colOff>
      <xdr:row>15</xdr:row>
      <xdr:rowOff>43544</xdr:rowOff>
    </xdr:to>
    <xdr:cxnSp macro="">
      <xdr:nvCxnSpPr>
        <xdr:cNvPr id="4" name="Connettore diritto 3">
          <a:extLst>
            <a:ext uri="{FF2B5EF4-FFF2-40B4-BE49-F238E27FC236}">
              <a16:creationId xmlns:a16="http://schemas.microsoft.com/office/drawing/2014/main" id="{836618B2-B830-40A6-8774-ED9E4AFDDF7D}"/>
            </a:ext>
          </a:extLst>
        </xdr:cNvPr>
        <xdr:cNvCxnSpPr/>
      </xdr:nvCxnSpPr>
      <xdr:spPr>
        <a:xfrm flipV="1">
          <a:off x="13672457" y="3189515"/>
          <a:ext cx="3570514" cy="2177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457189</xdr:colOff>
      <xdr:row>28</xdr:row>
      <xdr:rowOff>163286</xdr:rowOff>
    </xdr:from>
    <xdr:to>
      <xdr:col>25</xdr:col>
      <xdr:colOff>337458</xdr:colOff>
      <xdr:row>28</xdr:row>
      <xdr:rowOff>174175</xdr:rowOff>
    </xdr:to>
    <xdr:cxnSp macro="">
      <xdr:nvCxnSpPr>
        <xdr:cNvPr id="9" name="Connettore diritto 8">
          <a:extLst>
            <a:ext uri="{FF2B5EF4-FFF2-40B4-BE49-F238E27FC236}">
              <a16:creationId xmlns:a16="http://schemas.microsoft.com/office/drawing/2014/main" id="{D0546A43-C9CC-4D68-8CF5-1BC82D2EFA6A}"/>
            </a:ext>
          </a:extLst>
        </xdr:cNvPr>
        <xdr:cNvCxnSpPr/>
      </xdr:nvCxnSpPr>
      <xdr:spPr>
        <a:xfrm flipV="1">
          <a:off x="13672446" y="5769429"/>
          <a:ext cx="4288983" cy="10889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19</xdr:col>
      <xdr:colOff>272143</xdr:colOff>
      <xdr:row>14</xdr:row>
      <xdr:rowOff>48986</xdr:rowOff>
    </xdr:from>
    <xdr:ext cx="48250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CasellaDiTesto 7">
              <a:extLst>
                <a:ext uri="{FF2B5EF4-FFF2-40B4-BE49-F238E27FC236}">
                  <a16:creationId xmlns:a16="http://schemas.microsoft.com/office/drawing/2014/main" id="{5895920E-01C1-4B98-B2D1-CF203D6510D8}"/>
                </a:ext>
              </a:extLst>
            </xdr:cNvPr>
            <xdr:cNvSpPr txBox="1"/>
          </xdr:nvSpPr>
          <xdr:spPr>
            <a:xfrm>
              <a:off x="14097000" y="3031672"/>
              <a:ext cx="48250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it-IT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it-IT" sz="1100" b="0" i="1">
                            <a:latin typeface="Cambria Math" panose="02040503050406030204" pitchFamily="18" charset="0"/>
                          </a:rPr>
                          <m:t>𝑤</m:t>
                        </m:r>
                      </m:e>
                      <m:sup>
                        <m:r>
                          <a:rPr lang="it-IT" sz="1100" b="0" i="1">
                            <a:latin typeface="Cambria Math" panose="02040503050406030204" pitchFamily="18" charset="0"/>
                          </a:rPr>
                          <m:t>𝑤</m:t>
                        </m:r>
                      </m:sup>
                    </m:sSup>
                    <m:sSup>
                      <m:sSupPr>
                        <m:ctrlPr>
                          <a:rPr lang="it-IT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it-IT" sz="1100" b="0" i="1">
                            <a:latin typeface="Cambria Math" panose="02040503050406030204" pitchFamily="18" charset="0"/>
                          </a:rPr>
                          <m:t>𝑒</m:t>
                        </m:r>
                      </m:e>
                      <m:sup>
                        <m:r>
                          <a:rPr lang="it-IT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it-IT" sz="1100" b="0" i="1">
                            <a:latin typeface="Cambria Math" panose="02040503050406030204" pitchFamily="18" charset="0"/>
                          </a:rPr>
                          <m:t>𝑤</m:t>
                        </m:r>
                      </m:sup>
                    </m:sSup>
                  </m:oMath>
                </m:oMathPara>
              </a14:m>
              <a:endParaRPr lang="it-IT" sz="1100"/>
            </a:p>
          </xdr:txBody>
        </xdr:sp>
      </mc:Choice>
      <mc:Fallback xmlns="">
        <xdr:sp macro="" textlink="">
          <xdr:nvSpPr>
            <xdr:cNvPr id="8" name="CasellaDiTesto 7">
              <a:extLst>
                <a:ext uri="{FF2B5EF4-FFF2-40B4-BE49-F238E27FC236}">
                  <a16:creationId xmlns:a16="http://schemas.microsoft.com/office/drawing/2014/main" id="{5895920E-01C1-4B98-B2D1-CF203D6510D8}"/>
                </a:ext>
              </a:extLst>
            </xdr:cNvPr>
            <xdr:cNvSpPr txBox="1"/>
          </xdr:nvSpPr>
          <xdr:spPr>
            <a:xfrm>
              <a:off x="14097000" y="3031672"/>
              <a:ext cx="48250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it-IT" sz="1100" b="0" i="0">
                  <a:latin typeface="Cambria Math" panose="02040503050406030204" pitchFamily="18" charset="0"/>
                </a:rPr>
                <a:t>𝑤^𝑤 𝑒^(−𝑤)</a:t>
              </a:r>
              <a:endParaRPr lang="it-IT" sz="1100"/>
            </a:p>
          </xdr:txBody>
        </xdr:sp>
      </mc:Fallback>
    </mc:AlternateContent>
    <xdr:clientData/>
  </xdr:oneCellAnchor>
  <xdr:twoCellAnchor>
    <xdr:from>
      <xdr:col>23</xdr:col>
      <xdr:colOff>402776</xdr:colOff>
      <xdr:row>14</xdr:row>
      <xdr:rowOff>65320</xdr:rowOff>
    </xdr:from>
    <xdr:to>
      <xdr:col>23</xdr:col>
      <xdr:colOff>402778</xdr:colOff>
      <xdr:row>31</xdr:row>
      <xdr:rowOff>76206</xdr:rowOff>
    </xdr:to>
    <xdr:cxnSp macro="">
      <xdr:nvCxnSpPr>
        <xdr:cNvPr id="11" name="Connettore diritto 10">
          <a:extLst>
            <a:ext uri="{FF2B5EF4-FFF2-40B4-BE49-F238E27FC236}">
              <a16:creationId xmlns:a16="http://schemas.microsoft.com/office/drawing/2014/main" id="{DDFC7A15-B69B-4CD7-B81E-FAC3BF21CE85}"/>
            </a:ext>
          </a:extLst>
        </xdr:cNvPr>
        <xdr:cNvCxnSpPr/>
      </xdr:nvCxnSpPr>
      <xdr:spPr>
        <a:xfrm>
          <a:off x="16807547" y="3048006"/>
          <a:ext cx="2" cy="318951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23</xdr:col>
      <xdr:colOff>304801</xdr:colOff>
      <xdr:row>31</xdr:row>
      <xdr:rowOff>125186</xdr:rowOff>
    </xdr:from>
    <xdr:ext cx="25917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CasellaDiTesto 16">
              <a:extLst>
                <a:ext uri="{FF2B5EF4-FFF2-40B4-BE49-F238E27FC236}">
                  <a16:creationId xmlns:a16="http://schemas.microsoft.com/office/drawing/2014/main" id="{AD809589-4D0F-4389-B226-C88339652BEA}"/>
                </a:ext>
              </a:extLst>
            </xdr:cNvPr>
            <xdr:cNvSpPr txBox="1"/>
          </xdr:nvSpPr>
          <xdr:spPr>
            <a:xfrm>
              <a:off x="16709572" y="6286500"/>
              <a:ext cx="25917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1100" b="0" i="1">
                        <a:latin typeface="Cambria Math" panose="02040503050406030204" pitchFamily="18" charset="0"/>
                      </a:rPr>
                      <m:t>𝑤</m:t>
                    </m:r>
                    <m:sSub>
                      <m:sSubPr>
                        <m:ctrlPr>
                          <a:rPr lang="it-IT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it-IT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</m:oMath>
                </m:oMathPara>
              </a14:m>
              <a:endParaRPr lang="it-IT" sz="1100"/>
            </a:p>
          </xdr:txBody>
        </xdr:sp>
      </mc:Choice>
      <mc:Fallback xmlns="">
        <xdr:sp macro="" textlink="">
          <xdr:nvSpPr>
            <xdr:cNvPr id="17" name="CasellaDiTesto 16">
              <a:extLst>
                <a:ext uri="{FF2B5EF4-FFF2-40B4-BE49-F238E27FC236}">
                  <a16:creationId xmlns:a16="http://schemas.microsoft.com/office/drawing/2014/main" id="{AD809589-4D0F-4389-B226-C88339652BEA}"/>
                </a:ext>
              </a:extLst>
            </xdr:cNvPr>
            <xdr:cNvSpPr txBox="1"/>
          </xdr:nvSpPr>
          <xdr:spPr>
            <a:xfrm>
              <a:off x="16709572" y="6286500"/>
              <a:ext cx="25917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it-IT" sz="1100" b="0" i="0">
                  <a:latin typeface="Cambria Math" panose="02040503050406030204" pitchFamily="18" charset="0"/>
                </a:rPr>
                <a:t>𝑤𝑡_0</a:t>
              </a:r>
              <a:endParaRPr lang="it-IT" sz="1100"/>
            </a:p>
          </xdr:txBody>
        </xdr:sp>
      </mc:Fallback>
    </mc:AlternateContent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Pier Franco Nali" id="{46504131-ADD3-4530-BCC7-16E4FED1C2C4}" userId="1f297b06b5980845" providerId="Windows Live"/>
</personList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8" xr16:uid="{C6F43282-B674-4784-8686-F2035C7A1AE8}" autoFormatId="16" applyNumberFormats="0" applyBorderFormats="0" applyFontFormats="0" applyPatternFormats="0" applyAlignmentFormats="0" applyWidthHeightFormats="0">
  <queryTableRefresh nextId="16">
    <queryTableFields count="15">
      <queryTableField id="1" name="data" tableColumnId="1"/>
      <queryTableField id="2" name="stato" tableColumnId="2"/>
      <queryTableField id="3" name="ricoverati_con_sintomi" tableColumnId="3"/>
      <queryTableField id="4" name="terapia_intensiva" tableColumnId="4"/>
      <queryTableField id="5" name="totale_ospedalizzati" tableColumnId="5"/>
      <queryTableField id="6" name="isolamento_domiciliare" tableColumnId="6"/>
      <queryTableField id="7" name="totale_positivi" tableColumnId="7"/>
      <queryTableField id="8" name="variazione_totale_positivi" tableColumnId="8"/>
      <queryTableField id="9" name="nuovi_positivi" tableColumnId="9"/>
      <queryTableField id="10" name="dimessi_guariti" tableColumnId="10"/>
      <queryTableField id="11" name="deceduti" tableColumnId="11"/>
      <queryTableField id="12" name="totale_casi" tableColumnId="12"/>
      <queryTableField id="13" name="tamponi" tableColumnId="13"/>
      <queryTableField id="14" name="note_it" tableColumnId="14"/>
      <queryTableField id="15" name="note_en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A59D82-5043-4877-A71E-47017D5BEBEC}" name="dpc_covid19_ita_andamento_nazionale__8" displayName="dpc_covid19_ita_andamento_nazionale__8" ref="A1:O39" tableType="queryTable" totalsRowShown="0">
  <autoFilter ref="A1:O39" xr:uid="{585C8A93-1E61-447A-BFA1-CBAD2F369C2C}"/>
  <tableColumns count="15">
    <tableColumn id="1" xr3:uid="{89AC5C3E-B3BF-4789-A368-8CE8A0A18199}" uniqueName="1" name="data" queryTableFieldId="1" dataDxfId="3"/>
    <tableColumn id="2" xr3:uid="{E0495A67-8083-47BA-B8EF-AC09A4AA1AED}" uniqueName="2" name="stato" queryTableFieldId="2" dataDxfId="2"/>
    <tableColumn id="3" xr3:uid="{1437AA6C-9D48-420D-9F20-0B2F1ABB7C76}" uniqueName="3" name="ricoverati_con_sintomi" queryTableFieldId="3"/>
    <tableColumn id="4" xr3:uid="{ED210980-03ED-45DE-8355-F1481076D885}" uniqueName="4" name="terapia_intensiva" queryTableFieldId="4"/>
    <tableColumn id="5" xr3:uid="{9EE2C770-05C5-4B88-BE4B-1C9993CF2F1C}" uniqueName="5" name="totale_ospedalizzati" queryTableFieldId="5"/>
    <tableColumn id="6" xr3:uid="{AE227A4D-6681-4558-BD0F-B69F7A3C2271}" uniqueName="6" name="isolamento_domiciliare" queryTableFieldId="6"/>
    <tableColumn id="7" xr3:uid="{3DF10501-D98F-4592-AA11-1FFC9F3270C1}" uniqueName="7" name="totale_positivi" queryTableFieldId="7"/>
    <tableColumn id="8" xr3:uid="{3DDC6618-FE4D-4500-9219-C8FAEDFD2EA1}" uniqueName="8" name="variazione_totale_positivi" queryTableFieldId="8"/>
    <tableColumn id="9" xr3:uid="{FE8F11A8-A084-404A-9980-F1AB999263BA}" uniqueName="9" name="nuovi_positivi" queryTableFieldId="9"/>
    <tableColumn id="10" xr3:uid="{D72B38E9-0B16-444C-9647-58F6B5CD2D31}" uniqueName="10" name="dimessi_guariti" queryTableFieldId="10"/>
    <tableColumn id="11" xr3:uid="{69770D2C-7B59-4EAD-A7CD-AFE9FACAAEC0}" uniqueName="11" name="deceduti" queryTableFieldId="11"/>
    <tableColumn id="12" xr3:uid="{218FC5CC-7EC1-4568-9A94-5A56A89B441D}" uniqueName="12" name="totale_casi" queryTableFieldId="12"/>
    <tableColumn id="13" xr3:uid="{3C339D34-898E-4BFA-BC76-5F3B2B696EAD}" uniqueName="13" name="tamponi" queryTableFieldId="13"/>
    <tableColumn id="14" xr3:uid="{66E9AA5C-E250-4A09-BAEF-74FDDF70583F}" uniqueName="14" name="note_it" queryTableFieldId="14" dataDxfId="1"/>
    <tableColumn id="15" xr3:uid="{48D285DA-5CFF-4CA3-B250-3EB265920596}" uniqueName="15" name="note_en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1" dT="2020-03-21T22:11:56.31" personId="{46504131-ADD3-4530-BCC7-16E4FED1C2C4}" id="{6AE41525-C545-4B83-8686-2D973E356B51}">
    <text>red zone</text>
  </threadedComment>
  <threadedComment ref="B17" dT="2020-03-21T22:12:51.46" personId="{46504131-ADD3-4530-BCC7-16E4FED1C2C4}" id="{D1C5CD7B-740D-43CC-A2B1-661E9701F950}">
    <text>partial lockdown (north)</text>
  </threadedComment>
  <threadedComment ref="B21" dT="2020-03-21T22:13:52.19" personId="{46504131-ADD3-4530-BCC7-16E4FED1C2C4}" id="{D6513010-1C40-479E-8D93-3E5E664A5DD3}">
    <text>school closure (Italy)</text>
  </threadedComment>
  <threadedComment ref="B24" dT="2020-03-21T22:14:24.84" personId="{46504131-ADD3-4530-BCC7-16E4FED1C2C4}" id="{D716A400-1BA0-4A74-B84E-CB03860A1D57}">
    <text>lockdown (north)</text>
  </threadedComment>
  <threadedComment ref="B26" dT="2020-03-21T22:14:52.14" personId="{46504131-ADD3-4530-BCC7-16E4FED1C2C4}" id="{7162E970-0C82-40C0-9D82-4DB3CD06F48A}">
    <text>partial lockdown (Italy)</text>
  </threadedComment>
  <threadedComment ref="B28" dT="2020-03-21T22:15:16.77" personId="{46504131-ADD3-4530-BCC7-16E4FED1C2C4}" id="{ABA66A1D-C810-456B-991F-51AB6F2F5F4A}">
    <text>lockdown (Italy)</text>
  </threadedComment>
  <threadedComment ref="B39" dT="2020-03-23T21:41:16.67" personId="{46504131-ADD3-4530-BCC7-16E4FED1C2C4}" id="{8DD349DE-7478-43D5-9443-337E52D93429}">
    <text>reinforced lockdown (Italy)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11" dT="2020-03-21T22:11:56.31" personId="{46504131-ADD3-4530-BCC7-16E4FED1C2C4}" id="{5FD8839A-74E9-44C2-B5F2-F977D0EA3D98}">
    <text>red zone</text>
  </threadedComment>
  <threadedComment ref="B17" dT="2020-03-21T22:12:51.46" personId="{46504131-ADD3-4530-BCC7-16E4FED1C2C4}" id="{95B83D2D-5EDB-4C8F-91A8-36D622D74B5B}">
    <text>partial lockdown (north)</text>
  </threadedComment>
  <threadedComment ref="B21" dT="2020-03-21T22:13:52.19" personId="{46504131-ADD3-4530-BCC7-16E4FED1C2C4}" id="{FB6547ED-429A-49D7-8367-DE2107BFB931}">
    <text>school closure (Italy)</text>
  </threadedComment>
  <threadedComment ref="B24" dT="2020-03-21T22:14:24.84" personId="{46504131-ADD3-4530-BCC7-16E4FED1C2C4}" id="{18DCC697-BA7F-479A-8641-1D7FCDC0672D}">
    <text>lockdown (north)</text>
  </threadedComment>
  <threadedComment ref="B26" dT="2020-03-21T22:14:52.14" personId="{46504131-ADD3-4530-BCC7-16E4FED1C2C4}" id="{5FB23112-C2D9-44D1-9DAD-0448A5341B10}">
    <text>partial lockdown (Italy)</text>
  </threadedComment>
  <threadedComment ref="B28" dT="2020-03-21T22:15:16.77" personId="{46504131-ADD3-4530-BCC7-16E4FED1C2C4}" id="{90A59D2F-F1E2-4415-85BD-E03CA55CB6FA}">
    <text>lockdown (Italy)</text>
  </threadedComment>
  <threadedComment ref="B39" dT="2020-03-23T21:41:16.67" personId="{46504131-ADD3-4530-BCC7-16E4FED1C2C4}" id="{0E1A0D26-B3B0-42D1-A5BA-750B79DBB49F}">
    <text>reinforced lockdown (Italy)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3.xml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3CF35-3B7D-42E1-B4D0-DDB86726833D}">
  <dimension ref="A1:O39"/>
  <sheetViews>
    <sheetView topLeftCell="A19" workbookViewId="0"/>
  </sheetViews>
  <sheetFormatPr defaultRowHeight="14.4" x14ac:dyDescent="0.3"/>
  <cols>
    <col min="1" max="1" width="15.6640625" bestFit="1" customWidth="1"/>
    <col min="2" max="2" width="7.44140625" bestFit="1" customWidth="1"/>
    <col min="3" max="3" width="22.6640625" bestFit="1" customWidth="1"/>
    <col min="4" max="4" width="17.77734375" bestFit="1" customWidth="1"/>
    <col min="5" max="5" width="20" bestFit="1" customWidth="1"/>
    <col min="6" max="6" width="23" bestFit="1" customWidth="1"/>
    <col min="7" max="7" width="15.109375" bestFit="1" customWidth="1"/>
    <col min="8" max="8" width="25" bestFit="1" customWidth="1"/>
    <col min="9" max="9" width="15" bestFit="1" customWidth="1"/>
    <col min="10" max="10" width="15.88671875" bestFit="1" customWidth="1"/>
    <col min="11" max="11" width="10.5546875" bestFit="1" customWidth="1"/>
    <col min="12" max="12" width="12.21875" bestFit="1" customWidth="1"/>
    <col min="13" max="13" width="10.33203125" bestFit="1" customWidth="1"/>
    <col min="14" max="14" width="19.5546875" bestFit="1" customWidth="1"/>
    <col min="15" max="15" width="21.109375" bestFit="1" customWidth="1"/>
  </cols>
  <sheetData>
    <row r="1" spans="1:15" x14ac:dyDescent="0.3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50</v>
      </c>
      <c r="H1" t="s">
        <v>51</v>
      </c>
      <c r="I1" t="s">
        <v>52</v>
      </c>
      <c r="J1" t="s">
        <v>18</v>
      </c>
      <c r="K1" t="s">
        <v>19</v>
      </c>
      <c r="L1" t="s">
        <v>20</v>
      </c>
      <c r="M1" t="s">
        <v>21</v>
      </c>
      <c r="N1" t="s">
        <v>27</v>
      </c>
      <c r="O1" t="s">
        <v>28</v>
      </c>
    </row>
    <row r="2" spans="1:15" x14ac:dyDescent="0.3">
      <c r="A2" s="18">
        <v>43885.75</v>
      </c>
      <c r="B2" s="17" t="s">
        <v>22</v>
      </c>
      <c r="C2" s="2">
        <v>101</v>
      </c>
      <c r="D2" s="2">
        <v>26</v>
      </c>
      <c r="E2" s="2">
        <v>127</v>
      </c>
      <c r="F2" s="2">
        <v>94</v>
      </c>
      <c r="G2" s="2">
        <v>221</v>
      </c>
      <c r="H2" s="2">
        <v>0</v>
      </c>
      <c r="I2" s="2">
        <v>221</v>
      </c>
      <c r="J2" s="2">
        <v>1</v>
      </c>
      <c r="K2" s="2">
        <v>7</v>
      </c>
      <c r="L2" s="2">
        <v>229</v>
      </c>
      <c r="M2" s="2">
        <v>4324</v>
      </c>
      <c r="N2" s="17" t="s">
        <v>29</v>
      </c>
      <c r="O2" s="17" t="s">
        <v>29</v>
      </c>
    </row>
    <row r="3" spans="1:15" x14ac:dyDescent="0.3">
      <c r="A3" s="18">
        <v>43886.75</v>
      </c>
      <c r="B3" s="17" t="s">
        <v>22</v>
      </c>
      <c r="C3" s="2">
        <v>114</v>
      </c>
      <c r="D3" s="2">
        <v>35</v>
      </c>
      <c r="E3" s="2">
        <v>150</v>
      </c>
      <c r="F3" s="2">
        <v>162</v>
      </c>
      <c r="G3" s="2">
        <v>311</v>
      </c>
      <c r="H3" s="2">
        <v>90</v>
      </c>
      <c r="I3" s="2">
        <v>93</v>
      </c>
      <c r="J3" s="2">
        <v>1</v>
      </c>
      <c r="K3" s="2">
        <v>10</v>
      </c>
      <c r="L3" s="2">
        <v>322</v>
      </c>
      <c r="M3" s="2">
        <v>8623</v>
      </c>
      <c r="N3" s="17" t="s">
        <v>29</v>
      </c>
      <c r="O3" s="17" t="s">
        <v>29</v>
      </c>
    </row>
    <row r="4" spans="1:15" x14ac:dyDescent="0.3">
      <c r="A4" s="18">
        <v>43887.75</v>
      </c>
      <c r="B4" s="17" t="s">
        <v>22</v>
      </c>
      <c r="C4" s="2">
        <v>128</v>
      </c>
      <c r="D4" s="2">
        <v>36</v>
      </c>
      <c r="E4" s="2">
        <v>164</v>
      </c>
      <c r="F4" s="2">
        <v>221</v>
      </c>
      <c r="G4" s="2">
        <v>385</v>
      </c>
      <c r="H4" s="2">
        <v>74</v>
      </c>
      <c r="I4" s="2">
        <v>78</v>
      </c>
      <c r="J4" s="2">
        <v>3</v>
      </c>
      <c r="K4" s="2">
        <v>12</v>
      </c>
      <c r="L4" s="2">
        <v>400</v>
      </c>
      <c r="M4" s="2">
        <v>9587</v>
      </c>
      <c r="N4" s="17" t="s">
        <v>29</v>
      </c>
      <c r="O4" s="17" t="s">
        <v>29</v>
      </c>
    </row>
    <row r="5" spans="1:15" x14ac:dyDescent="0.3">
      <c r="A5" s="18">
        <v>43888.75</v>
      </c>
      <c r="B5" s="17" t="s">
        <v>22</v>
      </c>
      <c r="C5" s="2">
        <v>248</v>
      </c>
      <c r="D5" s="2">
        <v>56</v>
      </c>
      <c r="E5" s="2">
        <v>304</v>
      </c>
      <c r="F5" s="2">
        <v>284</v>
      </c>
      <c r="G5" s="2">
        <v>588</v>
      </c>
      <c r="H5" s="2">
        <v>203</v>
      </c>
      <c r="I5" s="2">
        <v>250</v>
      </c>
      <c r="J5" s="2">
        <v>45</v>
      </c>
      <c r="K5" s="2">
        <v>17</v>
      </c>
      <c r="L5" s="2">
        <v>650</v>
      </c>
      <c r="M5" s="2">
        <v>12014</v>
      </c>
      <c r="N5" s="17" t="s">
        <v>29</v>
      </c>
      <c r="O5" s="17" t="s">
        <v>29</v>
      </c>
    </row>
    <row r="6" spans="1:15" x14ac:dyDescent="0.3">
      <c r="A6" s="18">
        <v>43889.75</v>
      </c>
      <c r="B6" s="17" t="s">
        <v>22</v>
      </c>
      <c r="C6" s="2">
        <v>345</v>
      </c>
      <c r="D6" s="2">
        <v>64</v>
      </c>
      <c r="E6" s="2">
        <v>409</v>
      </c>
      <c r="F6" s="2">
        <v>412</v>
      </c>
      <c r="G6" s="2">
        <v>821</v>
      </c>
      <c r="H6" s="2">
        <v>233</v>
      </c>
      <c r="I6" s="2">
        <v>238</v>
      </c>
      <c r="J6" s="2">
        <v>46</v>
      </c>
      <c r="K6" s="2">
        <v>21</v>
      </c>
      <c r="L6" s="2">
        <v>888</v>
      </c>
      <c r="M6" s="2">
        <v>15695</v>
      </c>
      <c r="N6" s="17" t="s">
        <v>29</v>
      </c>
      <c r="O6" s="17" t="s">
        <v>29</v>
      </c>
    </row>
    <row r="7" spans="1:15" x14ac:dyDescent="0.3">
      <c r="A7" s="18">
        <v>43890.75</v>
      </c>
      <c r="B7" s="17" t="s">
        <v>22</v>
      </c>
      <c r="C7" s="2">
        <v>401</v>
      </c>
      <c r="D7" s="2">
        <v>105</v>
      </c>
      <c r="E7" s="2">
        <v>506</v>
      </c>
      <c r="F7" s="2">
        <v>543</v>
      </c>
      <c r="G7" s="2">
        <v>1049</v>
      </c>
      <c r="H7" s="2">
        <v>228</v>
      </c>
      <c r="I7" s="2">
        <v>240</v>
      </c>
      <c r="J7" s="2">
        <v>50</v>
      </c>
      <c r="K7" s="2">
        <v>29</v>
      </c>
      <c r="L7" s="2">
        <v>1128</v>
      </c>
      <c r="M7" s="2">
        <v>18661</v>
      </c>
      <c r="N7" s="17" t="s">
        <v>29</v>
      </c>
      <c r="O7" s="17" t="s">
        <v>29</v>
      </c>
    </row>
    <row r="8" spans="1:15" x14ac:dyDescent="0.3">
      <c r="A8" s="18">
        <v>43891.75</v>
      </c>
      <c r="B8" s="17" t="s">
        <v>22</v>
      </c>
      <c r="C8" s="2">
        <v>639</v>
      </c>
      <c r="D8" s="2">
        <v>140</v>
      </c>
      <c r="E8" s="2">
        <v>779</v>
      </c>
      <c r="F8" s="2">
        <v>798</v>
      </c>
      <c r="G8" s="2">
        <v>1577</v>
      </c>
      <c r="H8" s="2">
        <v>528</v>
      </c>
      <c r="I8" s="2">
        <v>566</v>
      </c>
      <c r="J8" s="2">
        <v>83</v>
      </c>
      <c r="K8" s="2">
        <v>34</v>
      </c>
      <c r="L8" s="2">
        <v>1694</v>
      </c>
      <c r="M8" s="2">
        <v>21127</v>
      </c>
      <c r="N8" s="17" t="s">
        <v>29</v>
      </c>
      <c r="O8" s="17" t="s">
        <v>29</v>
      </c>
    </row>
    <row r="9" spans="1:15" x14ac:dyDescent="0.3">
      <c r="A9" s="18">
        <v>43892.75</v>
      </c>
      <c r="B9" s="17" t="s">
        <v>22</v>
      </c>
      <c r="C9" s="2">
        <v>742</v>
      </c>
      <c r="D9" s="2">
        <v>166</v>
      </c>
      <c r="E9" s="2">
        <v>908</v>
      </c>
      <c r="F9" s="2">
        <v>927</v>
      </c>
      <c r="G9" s="2">
        <v>1835</v>
      </c>
      <c r="H9" s="2">
        <v>258</v>
      </c>
      <c r="I9" s="2">
        <v>342</v>
      </c>
      <c r="J9" s="2">
        <v>149</v>
      </c>
      <c r="K9" s="2">
        <v>52</v>
      </c>
      <c r="L9" s="2">
        <v>2036</v>
      </c>
      <c r="M9" s="2">
        <v>23345</v>
      </c>
      <c r="N9" s="17" t="s">
        <v>29</v>
      </c>
      <c r="O9" s="17" t="s">
        <v>29</v>
      </c>
    </row>
    <row r="10" spans="1:15" x14ac:dyDescent="0.3">
      <c r="A10" s="18">
        <v>43893.75</v>
      </c>
      <c r="B10" s="17" t="s">
        <v>22</v>
      </c>
      <c r="C10" s="2">
        <v>1034</v>
      </c>
      <c r="D10" s="2">
        <v>229</v>
      </c>
      <c r="E10" s="2">
        <v>1263</v>
      </c>
      <c r="F10" s="2">
        <v>1000</v>
      </c>
      <c r="G10" s="2">
        <v>2263</v>
      </c>
      <c r="H10" s="2">
        <v>428</v>
      </c>
      <c r="I10" s="2">
        <v>466</v>
      </c>
      <c r="J10" s="2">
        <v>160</v>
      </c>
      <c r="K10" s="2">
        <v>79</v>
      </c>
      <c r="L10" s="2">
        <v>2502</v>
      </c>
      <c r="M10" s="2">
        <v>25856</v>
      </c>
      <c r="N10" s="17" t="s">
        <v>29</v>
      </c>
      <c r="O10" s="17" t="s">
        <v>29</v>
      </c>
    </row>
    <row r="11" spans="1:15" x14ac:dyDescent="0.3">
      <c r="A11" s="18">
        <v>43894.75</v>
      </c>
      <c r="B11" s="17" t="s">
        <v>22</v>
      </c>
      <c r="C11" s="2">
        <v>1346</v>
      </c>
      <c r="D11" s="2">
        <v>295</v>
      </c>
      <c r="E11" s="2">
        <v>1641</v>
      </c>
      <c r="F11" s="2">
        <v>1065</v>
      </c>
      <c r="G11" s="2">
        <v>2706</v>
      </c>
      <c r="H11" s="2">
        <v>443</v>
      </c>
      <c r="I11" s="2">
        <v>587</v>
      </c>
      <c r="J11" s="2">
        <v>276</v>
      </c>
      <c r="K11" s="2">
        <v>107</v>
      </c>
      <c r="L11" s="2">
        <v>3089</v>
      </c>
      <c r="M11" s="2">
        <v>29837</v>
      </c>
      <c r="N11" s="17" t="s">
        <v>29</v>
      </c>
      <c r="O11" s="17" t="s">
        <v>29</v>
      </c>
    </row>
    <row r="12" spans="1:15" x14ac:dyDescent="0.3">
      <c r="A12" s="18">
        <v>43895.75</v>
      </c>
      <c r="B12" s="17" t="s">
        <v>22</v>
      </c>
      <c r="C12" s="2">
        <v>1790</v>
      </c>
      <c r="D12" s="2">
        <v>351</v>
      </c>
      <c r="E12" s="2">
        <v>2141</v>
      </c>
      <c r="F12" s="2">
        <v>1155</v>
      </c>
      <c r="G12" s="2">
        <v>3296</v>
      </c>
      <c r="H12" s="2">
        <v>590</v>
      </c>
      <c r="I12" s="2">
        <v>769</v>
      </c>
      <c r="J12" s="2">
        <v>414</v>
      </c>
      <c r="K12" s="2">
        <v>148</v>
      </c>
      <c r="L12" s="2">
        <v>3858</v>
      </c>
      <c r="M12" s="2">
        <v>32362</v>
      </c>
      <c r="N12" s="17" t="s">
        <v>29</v>
      </c>
      <c r="O12" s="17" t="s">
        <v>29</v>
      </c>
    </row>
    <row r="13" spans="1:15" x14ac:dyDescent="0.3">
      <c r="A13" s="18">
        <v>43896.75</v>
      </c>
      <c r="B13" s="17" t="s">
        <v>22</v>
      </c>
      <c r="C13" s="2">
        <v>2394</v>
      </c>
      <c r="D13" s="2">
        <v>462</v>
      </c>
      <c r="E13" s="2">
        <v>2856</v>
      </c>
      <c r="F13" s="2">
        <v>1060</v>
      </c>
      <c r="G13" s="2">
        <v>3916</v>
      </c>
      <c r="H13" s="2">
        <v>620</v>
      </c>
      <c r="I13" s="2">
        <v>778</v>
      </c>
      <c r="J13" s="2">
        <v>523</v>
      </c>
      <c r="K13" s="2">
        <v>197</v>
      </c>
      <c r="L13" s="2">
        <v>4636</v>
      </c>
      <c r="M13" s="2">
        <v>36359</v>
      </c>
      <c r="N13" s="17" t="s">
        <v>29</v>
      </c>
      <c r="O13" s="17" t="s">
        <v>29</v>
      </c>
    </row>
    <row r="14" spans="1:15" x14ac:dyDescent="0.3">
      <c r="A14" s="18">
        <v>43897.75</v>
      </c>
      <c r="B14" s="17" t="s">
        <v>22</v>
      </c>
      <c r="C14" s="2">
        <v>2651</v>
      </c>
      <c r="D14" s="2">
        <v>567</v>
      </c>
      <c r="E14" s="2">
        <v>3218</v>
      </c>
      <c r="F14" s="2">
        <v>1843</v>
      </c>
      <c r="G14" s="2">
        <v>5061</v>
      </c>
      <c r="H14" s="2">
        <v>1145</v>
      </c>
      <c r="I14" s="2">
        <v>1247</v>
      </c>
      <c r="J14" s="2">
        <v>589</v>
      </c>
      <c r="K14" s="2">
        <v>233</v>
      </c>
      <c r="L14" s="2">
        <v>5883</v>
      </c>
      <c r="M14" s="2">
        <v>42062</v>
      </c>
      <c r="N14" s="17" t="s">
        <v>30</v>
      </c>
      <c r="O14" s="17" t="s">
        <v>31</v>
      </c>
    </row>
    <row r="15" spans="1:15" x14ac:dyDescent="0.3">
      <c r="A15" s="18">
        <v>43898.75</v>
      </c>
      <c r="B15" s="17" t="s">
        <v>22</v>
      </c>
      <c r="C15" s="2">
        <v>3557</v>
      </c>
      <c r="D15" s="2">
        <v>650</v>
      </c>
      <c r="E15" s="2">
        <v>4207</v>
      </c>
      <c r="F15" s="2">
        <v>2180</v>
      </c>
      <c r="G15" s="2">
        <v>6387</v>
      </c>
      <c r="H15" s="2">
        <v>1326</v>
      </c>
      <c r="I15" s="2">
        <v>1492</v>
      </c>
      <c r="J15" s="2">
        <v>622</v>
      </c>
      <c r="K15" s="2">
        <v>366</v>
      </c>
      <c r="L15" s="2">
        <v>7375</v>
      </c>
      <c r="M15" s="2">
        <v>49937</v>
      </c>
      <c r="N15" s="17" t="s">
        <v>29</v>
      </c>
      <c r="O15" s="17" t="s">
        <v>29</v>
      </c>
    </row>
    <row r="16" spans="1:15" x14ac:dyDescent="0.3">
      <c r="A16" s="18">
        <v>43899.75</v>
      </c>
      <c r="B16" s="17" t="s">
        <v>22</v>
      </c>
      <c r="C16" s="2">
        <v>4316</v>
      </c>
      <c r="D16" s="2">
        <v>733</v>
      </c>
      <c r="E16" s="2">
        <v>5049</v>
      </c>
      <c r="F16" s="2">
        <v>2936</v>
      </c>
      <c r="G16" s="2">
        <v>7985</v>
      </c>
      <c r="H16" s="2">
        <v>1598</v>
      </c>
      <c r="I16" s="2">
        <v>1797</v>
      </c>
      <c r="J16" s="2">
        <v>724</v>
      </c>
      <c r="K16" s="2">
        <v>463</v>
      </c>
      <c r="L16" s="2">
        <v>9172</v>
      </c>
      <c r="M16" s="2">
        <v>53826</v>
      </c>
      <c r="N16" s="17" t="s">
        <v>29</v>
      </c>
      <c r="O16" s="17" t="s">
        <v>29</v>
      </c>
    </row>
    <row r="17" spans="1:15" x14ac:dyDescent="0.3">
      <c r="A17" s="18">
        <v>43900.75</v>
      </c>
      <c r="B17" s="17" t="s">
        <v>22</v>
      </c>
      <c r="C17" s="2">
        <v>5038</v>
      </c>
      <c r="D17" s="2">
        <v>877</v>
      </c>
      <c r="E17" s="2">
        <v>5915</v>
      </c>
      <c r="F17" s="2">
        <v>2599</v>
      </c>
      <c r="G17" s="2">
        <v>8514</v>
      </c>
      <c r="H17" s="2">
        <v>529</v>
      </c>
      <c r="I17" s="2">
        <v>977</v>
      </c>
      <c r="J17" s="2">
        <v>1004</v>
      </c>
      <c r="K17" s="2">
        <v>631</v>
      </c>
      <c r="L17" s="2">
        <v>10149</v>
      </c>
      <c r="M17" s="2">
        <v>60761</v>
      </c>
      <c r="N17" s="17" t="s">
        <v>32</v>
      </c>
      <c r="O17" s="17" t="s">
        <v>33</v>
      </c>
    </row>
    <row r="18" spans="1:15" x14ac:dyDescent="0.3">
      <c r="A18" s="18">
        <v>43901.708333333336</v>
      </c>
      <c r="B18" s="17" t="s">
        <v>22</v>
      </c>
      <c r="C18" s="2">
        <v>5838</v>
      </c>
      <c r="D18" s="2">
        <v>1028</v>
      </c>
      <c r="E18" s="2">
        <v>6866</v>
      </c>
      <c r="F18" s="2">
        <v>3724</v>
      </c>
      <c r="G18" s="2">
        <v>10590</v>
      </c>
      <c r="H18" s="2">
        <v>2076</v>
      </c>
      <c r="I18" s="2">
        <v>2313</v>
      </c>
      <c r="J18" s="2">
        <v>1045</v>
      </c>
      <c r="K18" s="2">
        <v>827</v>
      </c>
      <c r="L18" s="2">
        <v>12462</v>
      </c>
      <c r="M18" s="2">
        <v>73154</v>
      </c>
      <c r="N18" s="17" t="s">
        <v>34</v>
      </c>
      <c r="O18" s="17" t="s">
        <v>35</v>
      </c>
    </row>
    <row r="19" spans="1:15" x14ac:dyDescent="0.3">
      <c r="A19" s="18">
        <v>43902.708333333336</v>
      </c>
      <c r="B19" s="17" t="s">
        <v>22</v>
      </c>
      <c r="C19" s="2">
        <v>6650</v>
      </c>
      <c r="D19" s="2">
        <v>1153</v>
      </c>
      <c r="E19" s="2">
        <v>7803</v>
      </c>
      <c r="F19" s="2">
        <v>5036</v>
      </c>
      <c r="G19" s="2">
        <v>12839</v>
      </c>
      <c r="H19" s="2">
        <v>2249</v>
      </c>
      <c r="I19" s="2">
        <v>2651</v>
      </c>
      <c r="J19" s="2">
        <v>1258</v>
      </c>
      <c r="K19" s="2">
        <v>1016</v>
      </c>
      <c r="L19" s="2">
        <v>15113</v>
      </c>
      <c r="M19" s="2">
        <v>86011</v>
      </c>
      <c r="N19" s="17" t="s">
        <v>29</v>
      </c>
      <c r="O19" s="17" t="s">
        <v>29</v>
      </c>
    </row>
    <row r="20" spans="1:15" x14ac:dyDescent="0.3">
      <c r="A20" s="18">
        <v>43903.708333333336</v>
      </c>
      <c r="B20" s="17" t="s">
        <v>22</v>
      </c>
      <c r="C20" s="2">
        <v>7426</v>
      </c>
      <c r="D20" s="2">
        <v>1328</v>
      </c>
      <c r="E20" s="2">
        <v>8754</v>
      </c>
      <c r="F20" s="2">
        <v>6201</v>
      </c>
      <c r="G20" s="2">
        <v>14955</v>
      </c>
      <c r="H20" s="2">
        <v>2116</v>
      </c>
      <c r="I20" s="2">
        <v>2547</v>
      </c>
      <c r="J20" s="2">
        <v>1439</v>
      </c>
      <c r="K20" s="2">
        <v>1266</v>
      </c>
      <c r="L20" s="2">
        <v>17660</v>
      </c>
      <c r="M20" s="2">
        <v>97488</v>
      </c>
      <c r="N20" s="17" t="s">
        <v>29</v>
      </c>
      <c r="O20" s="17" t="s">
        <v>29</v>
      </c>
    </row>
    <row r="21" spans="1:15" x14ac:dyDescent="0.3">
      <c r="A21" s="18">
        <v>43904.708333333336</v>
      </c>
      <c r="B21" s="17" t="s">
        <v>22</v>
      </c>
      <c r="C21" s="2">
        <v>8372</v>
      </c>
      <c r="D21" s="2">
        <v>1518</v>
      </c>
      <c r="E21" s="2">
        <v>9890</v>
      </c>
      <c r="F21" s="2">
        <v>7860</v>
      </c>
      <c r="G21" s="2">
        <v>17750</v>
      </c>
      <c r="H21" s="2">
        <v>2795</v>
      </c>
      <c r="I21" s="2">
        <v>3497</v>
      </c>
      <c r="J21" s="2">
        <v>1966</v>
      </c>
      <c r="K21" s="2">
        <v>1441</v>
      </c>
      <c r="L21" s="2">
        <v>21157</v>
      </c>
      <c r="M21" s="2">
        <v>109170</v>
      </c>
      <c r="N21" s="17" t="s">
        <v>29</v>
      </c>
      <c r="O21" s="17" t="s">
        <v>29</v>
      </c>
    </row>
    <row r="22" spans="1:15" x14ac:dyDescent="0.3">
      <c r="A22" s="18">
        <v>43905.708333333336</v>
      </c>
      <c r="B22" s="17" t="s">
        <v>22</v>
      </c>
      <c r="C22" s="2">
        <v>9663</v>
      </c>
      <c r="D22" s="2">
        <v>1672</v>
      </c>
      <c r="E22" s="2">
        <v>11335</v>
      </c>
      <c r="F22" s="2">
        <v>9268</v>
      </c>
      <c r="G22" s="2">
        <v>20603</v>
      </c>
      <c r="H22" s="2">
        <v>2853</v>
      </c>
      <c r="I22" s="2">
        <v>3590</v>
      </c>
      <c r="J22" s="2">
        <v>2335</v>
      </c>
      <c r="K22" s="2">
        <v>1809</v>
      </c>
      <c r="L22" s="2">
        <v>24747</v>
      </c>
      <c r="M22" s="2">
        <v>124899</v>
      </c>
      <c r="N22" s="17" t="s">
        <v>29</v>
      </c>
      <c r="O22" s="17" t="s">
        <v>29</v>
      </c>
    </row>
    <row r="23" spans="1:15" x14ac:dyDescent="0.3">
      <c r="A23" s="18">
        <v>43906.708333333336</v>
      </c>
      <c r="B23" s="17" t="s">
        <v>22</v>
      </c>
      <c r="C23" s="2">
        <v>11025</v>
      </c>
      <c r="D23" s="2">
        <v>1851</v>
      </c>
      <c r="E23" s="2">
        <v>12876</v>
      </c>
      <c r="F23" s="2">
        <v>10197</v>
      </c>
      <c r="G23" s="2">
        <v>23073</v>
      </c>
      <c r="H23" s="2">
        <v>2470</v>
      </c>
      <c r="I23" s="2">
        <v>3233</v>
      </c>
      <c r="J23" s="2">
        <v>2749</v>
      </c>
      <c r="K23" s="2">
        <v>2158</v>
      </c>
      <c r="L23" s="2">
        <v>27980</v>
      </c>
      <c r="M23" s="2">
        <v>137962</v>
      </c>
      <c r="N23" s="17" t="s">
        <v>36</v>
      </c>
      <c r="O23" s="17" t="s">
        <v>37</v>
      </c>
    </row>
    <row r="24" spans="1:15" x14ac:dyDescent="0.3">
      <c r="A24" s="18">
        <v>43907.708333333336</v>
      </c>
      <c r="B24" s="17" t="s">
        <v>22</v>
      </c>
      <c r="C24" s="2">
        <v>12894</v>
      </c>
      <c r="D24" s="2">
        <v>2060</v>
      </c>
      <c r="E24" s="2">
        <v>14954</v>
      </c>
      <c r="F24" s="2">
        <v>11108</v>
      </c>
      <c r="G24" s="2">
        <v>26062</v>
      </c>
      <c r="H24" s="2">
        <v>2989</v>
      </c>
      <c r="I24" s="2">
        <v>3526</v>
      </c>
      <c r="J24" s="2">
        <v>2941</v>
      </c>
      <c r="K24" s="2">
        <v>2503</v>
      </c>
      <c r="L24" s="2">
        <v>31506</v>
      </c>
      <c r="M24" s="2">
        <v>148657</v>
      </c>
      <c r="N24" s="17" t="s">
        <v>38</v>
      </c>
      <c r="O24" s="17" t="s">
        <v>39</v>
      </c>
    </row>
    <row r="25" spans="1:15" x14ac:dyDescent="0.3">
      <c r="A25" s="18">
        <v>43908.708333333336</v>
      </c>
      <c r="B25" s="17" t="s">
        <v>22</v>
      </c>
      <c r="C25" s="2">
        <v>14363</v>
      </c>
      <c r="D25" s="2">
        <v>2257</v>
      </c>
      <c r="E25" s="2">
        <v>16620</v>
      </c>
      <c r="F25" s="2">
        <v>12090</v>
      </c>
      <c r="G25" s="2">
        <v>28710</v>
      </c>
      <c r="H25" s="2">
        <v>2648</v>
      </c>
      <c r="I25" s="2">
        <v>4207</v>
      </c>
      <c r="J25" s="2">
        <v>4025</v>
      </c>
      <c r="K25" s="2">
        <v>2978</v>
      </c>
      <c r="L25" s="2">
        <v>35713</v>
      </c>
      <c r="M25" s="2">
        <v>165541</v>
      </c>
      <c r="N25" s="17" t="s">
        <v>40</v>
      </c>
      <c r="O25" s="17" t="s">
        <v>41</v>
      </c>
    </row>
    <row r="26" spans="1:15" x14ac:dyDescent="0.3">
      <c r="A26" s="18">
        <v>43909.708333333336</v>
      </c>
      <c r="B26" s="17" t="s">
        <v>22</v>
      </c>
      <c r="C26" s="2">
        <v>15757</v>
      </c>
      <c r="D26" s="2">
        <v>2498</v>
      </c>
      <c r="E26" s="2">
        <v>18255</v>
      </c>
      <c r="F26" s="2">
        <v>14935</v>
      </c>
      <c r="G26" s="2">
        <v>33190</v>
      </c>
      <c r="H26" s="2">
        <v>4480</v>
      </c>
      <c r="I26" s="2">
        <v>5322</v>
      </c>
      <c r="J26" s="2">
        <v>4440</v>
      </c>
      <c r="K26" s="2">
        <v>3405</v>
      </c>
      <c r="L26" s="2">
        <v>41035</v>
      </c>
      <c r="M26" s="2">
        <v>182777</v>
      </c>
      <c r="N26" s="17" t="s">
        <v>29</v>
      </c>
      <c r="O26" s="17" t="s">
        <v>29</v>
      </c>
    </row>
    <row r="27" spans="1:15" x14ac:dyDescent="0.3">
      <c r="A27" s="18">
        <v>43910.708333333336</v>
      </c>
      <c r="B27" s="17" t="s">
        <v>22</v>
      </c>
      <c r="C27" s="2">
        <v>16020</v>
      </c>
      <c r="D27" s="2">
        <v>2655</v>
      </c>
      <c r="E27" s="2">
        <v>18675</v>
      </c>
      <c r="F27" s="2">
        <v>19185</v>
      </c>
      <c r="G27" s="2">
        <v>37860</v>
      </c>
      <c r="H27" s="2">
        <v>4670</v>
      </c>
      <c r="I27" s="2">
        <v>5986</v>
      </c>
      <c r="J27" s="2">
        <v>5129</v>
      </c>
      <c r="K27" s="2">
        <v>4032</v>
      </c>
      <c r="L27" s="2">
        <v>47021</v>
      </c>
      <c r="M27" s="2">
        <v>206886</v>
      </c>
      <c r="N27" s="17" t="s">
        <v>29</v>
      </c>
      <c r="O27" s="17" t="s">
        <v>29</v>
      </c>
    </row>
    <row r="28" spans="1:15" x14ac:dyDescent="0.3">
      <c r="A28" s="18">
        <v>43911.708333333336</v>
      </c>
      <c r="B28" s="17" t="s">
        <v>22</v>
      </c>
      <c r="C28" s="2">
        <v>17708</v>
      </c>
      <c r="D28" s="2">
        <v>2857</v>
      </c>
      <c r="E28" s="2">
        <v>20565</v>
      </c>
      <c r="F28" s="2">
        <v>22116</v>
      </c>
      <c r="G28" s="2">
        <v>42681</v>
      </c>
      <c r="H28" s="2">
        <v>4821</v>
      </c>
      <c r="I28" s="2">
        <v>6557</v>
      </c>
      <c r="J28" s="2">
        <v>6072</v>
      </c>
      <c r="K28" s="2">
        <v>4825</v>
      </c>
      <c r="L28" s="2">
        <v>53578</v>
      </c>
      <c r="M28" s="2">
        <v>233222</v>
      </c>
      <c r="N28" s="17" t="s">
        <v>29</v>
      </c>
      <c r="O28" s="17" t="s">
        <v>29</v>
      </c>
    </row>
    <row r="29" spans="1:15" x14ac:dyDescent="0.3">
      <c r="A29" s="18">
        <v>43912.708333333336</v>
      </c>
      <c r="B29" s="17" t="s">
        <v>22</v>
      </c>
      <c r="C29" s="2">
        <v>19846</v>
      </c>
      <c r="D29" s="2">
        <v>3009</v>
      </c>
      <c r="E29" s="2">
        <v>22855</v>
      </c>
      <c r="F29" s="2">
        <v>23783</v>
      </c>
      <c r="G29" s="2">
        <v>46638</v>
      </c>
      <c r="H29" s="2">
        <v>3957</v>
      </c>
      <c r="I29" s="2">
        <v>5560</v>
      </c>
      <c r="J29" s="2">
        <v>7024</v>
      </c>
      <c r="K29" s="2">
        <v>5476</v>
      </c>
      <c r="L29" s="2">
        <v>59138</v>
      </c>
      <c r="M29" s="2">
        <v>258402</v>
      </c>
      <c r="N29" s="17" t="s">
        <v>29</v>
      </c>
      <c r="O29" s="17" t="s">
        <v>29</v>
      </c>
    </row>
    <row r="30" spans="1:15" x14ac:dyDescent="0.3">
      <c r="A30" s="18">
        <v>43913.708333333336</v>
      </c>
      <c r="B30" s="17" t="s">
        <v>22</v>
      </c>
      <c r="C30" s="2">
        <v>20692</v>
      </c>
      <c r="D30" s="2">
        <v>3204</v>
      </c>
      <c r="E30" s="2">
        <v>23896</v>
      </c>
      <c r="F30" s="2">
        <v>26522</v>
      </c>
      <c r="G30" s="2">
        <v>50418</v>
      </c>
      <c r="H30" s="2">
        <v>3780</v>
      </c>
      <c r="I30" s="2">
        <v>4789</v>
      </c>
      <c r="J30" s="2">
        <v>7432</v>
      </c>
      <c r="K30" s="2">
        <v>6077</v>
      </c>
      <c r="L30" s="2">
        <v>63927</v>
      </c>
      <c r="M30" s="2">
        <v>275468</v>
      </c>
      <c r="N30" s="17" t="s">
        <v>29</v>
      </c>
      <c r="O30" s="17" t="s">
        <v>29</v>
      </c>
    </row>
    <row r="31" spans="1:15" x14ac:dyDescent="0.3">
      <c r="A31" s="18">
        <v>43914.708333333336</v>
      </c>
      <c r="B31" s="17" t="s">
        <v>22</v>
      </c>
      <c r="C31" s="2">
        <v>21937</v>
      </c>
      <c r="D31" s="2">
        <v>3396</v>
      </c>
      <c r="E31" s="2">
        <v>25333</v>
      </c>
      <c r="F31" s="2">
        <v>28697</v>
      </c>
      <c r="G31" s="2">
        <v>54030</v>
      </c>
      <c r="H31" s="2">
        <v>3612</v>
      </c>
      <c r="I31" s="2">
        <v>5249</v>
      </c>
      <c r="J31" s="2">
        <v>8326</v>
      </c>
      <c r="K31" s="2">
        <v>6820</v>
      </c>
      <c r="L31" s="2">
        <v>69176</v>
      </c>
      <c r="M31" s="2">
        <v>296964</v>
      </c>
      <c r="N31" s="17" t="s">
        <v>29</v>
      </c>
      <c r="O31" s="17" t="s">
        <v>29</v>
      </c>
    </row>
    <row r="32" spans="1:15" x14ac:dyDescent="0.3">
      <c r="A32" s="18">
        <v>43915.708333333336</v>
      </c>
      <c r="B32" s="17" t="s">
        <v>22</v>
      </c>
      <c r="C32" s="2">
        <v>23112</v>
      </c>
      <c r="D32" s="2">
        <v>3489</v>
      </c>
      <c r="E32" s="2">
        <v>26601</v>
      </c>
      <c r="F32" s="2">
        <v>30920</v>
      </c>
      <c r="G32" s="2">
        <v>57521</v>
      </c>
      <c r="H32" s="2">
        <v>3491</v>
      </c>
      <c r="I32" s="2">
        <v>5210</v>
      </c>
      <c r="J32" s="2">
        <v>9362</v>
      </c>
      <c r="K32" s="2">
        <v>7503</v>
      </c>
      <c r="L32" s="2">
        <v>74386</v>
      </c>
      <c r="M32" s="2">
        <v>324445</v>
      </c>
      <c r="N32" s="17" t="s">
        <v>29</v>
      </c>
      <c r="O32" s="17" t="s">
        <v>29</v>
      </c>
    </row>
    <row r="33" spans="1:15" x14ac:dyDescent="0.3">
      <c r="A33" s="18">
        <v>43916.708333333336</v>
      </c>
      <c r="B33" s="17" t="s">
        <v>22</v>
      </c>
      <c r="C33" s="2">
        <v>24753</v>
      </c>
      <c r="D33" s="2">
        <v>3612</v>
      </c>
      <c r="E33" s="2">
        <v>28365</v>
      </c>
      <c r="F33" s="2">
        <v>33648</v>
      </c>
      <c r="G33" s="2">
        <v>62013</v>
      </c>
      <c r="H33" s="2">
        <v>4492</v>
      </c>
      <c r="I33" s="2">
        <v>6153</v>
      </c>
      <c r="J33" s="2">
        <v>10361</v>
      </c>
      <c r="K33" s="2">
        <v>8165</v>
      </c>
      <c r="L33" s="2">
        <v>80539</v>
      </c>
      <c r="M33" s="2">
        <v>361060</v>
      </c>
      <c r="N33" s="17" t="s">
        <v>42</v>
      </c>
      <c r="O33" s="17" t="s">
        <v>43</v>
      </c>
    </row>
    <row r="34" spans="1:15" x14ac:dyDescent="0.3">
      <c r="A34" s="18">
        <v>43917.708333333336</v>
      </c>
      <c r="B34" s="17" t="s">
        <v>22</v>
      </c>
      <c r="C34" s="2">
        <v>26029</v>
      </c>
      <c r="D34" s="2">
        <v>3732</v>
      </c>
      <c r="E34" s="2">
        <v>29761</v>
      </c>
      <c r="F34" s="2">
        <v>36653</v>
      </c>
      <c r="G34" s="2">
        <v>66414</v>
      </c>
      <c r="H34" s="2">
        <v>4401</v>
      </c>
      <c r="I34" s="2">
        <v>5959</v>
      </c>
      <c r="J34" s="2">
        <v>10950</v>
      </c>
      <c r="K34" s="2">
        <v>9134</v>
      </c>
      <c r="L34" s="2">
        <v>86498</v>
      </c>
      <c r="M34" s="2">
        <v>394079</v>
      </c>
      <c r="N34" s="17" t="s">
        <v>29</v>
      </c>
      <c r="O34" s="17" t="s">
        <v>29</v>
      </c>
    </row>
    <row r="35" spans="1:15" x14ac:dyDescent="0.3">
      <c r="A35" s="18">
        <v>43918.708333333336</v>
      </c>
      <c r="B35" s="17" t="s">
        <v>22</v>
      </c>
      <c r="C35" s="2">
        <v>26676</v>
      </c>
      <c r="D35" s="2">
        <v>3856</v>
      </c>
      <c r="E35" s="2">
        <v>30532</v>
      </c>
      <c r="F35" s="2">
        <v>39533</v>
      </c>
      <c r="G35" s="2">
        <v>70065</v>
      </c>
      <c r="H35" s="2">
        <v>3651</v>
      </c>
      <c r="I35" s="2">
        <v>5974</v>
      </c>
      <c r="J35" s="2">
        <v>12384</v>
      </c>
      <c r="K35" s="2">
        <v>10023</v>
      </c>
      <c r="L35" s="2">
        <v>92472</v>
      </c>
      <c r="M35" s="2">
        <v>429526</v>
      </c>
      <c r="N35" s="17" t="s">
        <v>29</v>
      </c>
      <c r="O35" s="17" t="s">
        <v>29</v>
      </c>
    </row>
    <row r="36" spans="1:15" x14ac:dyDescent="0.3">
      <c r="A36" s="18">
        <v>43919.708333333336</v>
      </c>
      <c r="B36" s="17" t="s">
        <v>22</v>
      </c>
      <c r="C36" s="2">
        <v>27386</v>
      </c>
      <c r="D36" s="2">
        <v>3906</v>
      </c>
      <c r="E36" s="2">
        <v>31292</v>
      </c>
      <c r="F36" s="2">
        <v>42588</v>
      </c>
      <c r="G36" s="2">
        <v>73880</v>
      </c>
      <c r="H36" s="2">
        <v>3815</v>
      </c>
      <c r="I36" s="2">
        <v>5217</v>
      </c>
      <c r="J36" s="2">
        <v>13030</v>
      </c>
      <c r="K36" s="2">
        <v>10779</v>
      </c>
      <c r="L36" s="2">
        <v>97689</v>
      </c>
      <c r="M36" s="2">
        <v>454030</v>
      </c>
      <c r="N36" s="17" t="s">
        <v>47</v>
      </c>
      <c r="O36" s="17" t="s">
        <v>48</v>
      </c>
    </row>
    <row r="37" spans="1:15" x14ac:dyDescent="0.3">
      <c r="A37" s="18">
        <v>43920.708333333336</v>
      </c>
      <c r="B37" s="17" t="s">
        <v>22</v>
      </c>
      <c r="C37" s="2">
        <v>27795</v>
      </c>
      <c r="D37" s="2">
        <v>3981</v>
      </c>
      <c r="E37" s="2">
        <v>31776</v>
      </c>
      <c r="F37" s="2">
        <v>43752</v>
      </c>
      <c r="G37" s="2">
        <v>75528</v>
      </c>
      <c r="H37" s="2">
        <v>1648</v>
      </c>
      <c r="I37" s="2">
        <v>4050</v>
      </c>
      <c r="J37" s="2">
        <v>14620</v>
      </c>
      <c r="K37" s="2">
        <v>11591</v>
      </c>
      <c r="L37" s="2">
        <v>101739</v>
      </c>
      <c r="M37" s="2">
        <v>477359</v>
      </c>
      <c r="N37" s="17" t="s">
        <v>29</v>
      </c>
      <c r="O37" s="17" t="s">
        <v>29</v>
      </c>
    </row>
    <row r="38" spans="1:15" x14ac:dyDescent="0.3">
      <c r="A38" s="18">
        <v>43921.708333333336</v>
      </c>
      <c r="B38" s="17" t="s">
        <v>22</v>
      </c>
      <c r="C38" s="2">
        <v>28192</v>
      </c>
      <c r="D38" s="2">
        <v>4023</v>
      </c>
      <c r="E38" s="2">
        <v>32215</v>
      </c>
      <c r="F38" s="2">
        <v>45420</v>
      </c>
      <c r="G38" s="2">
        <v>77635</v>
      </c>
      <c r="H38" s="2">
        <v>2107</v>
      </c>
      <c r="I38" s="2">
        <v>4053</v>
      </c>
      <c r="J38" s="2">
        <v>15729</v>
      </c>
      <c r="K38" s="2">
        <v>12428</v>
      </c>
      <c r="L38" s="2">
        <v>105792</v>
      </c>
      <c r="M38" s="2">
        <v>506968</v>
      </c>
      <c r="N38" s="17" t="s">
        <v>29</v>
      </c>
      <c r="O38" s="17" t="s">
        <v>29</v>
      </c>
    </row>
    <row r="39" spans="1:15" x14ac:dyDescent="0.3">
      <c r="A39" s="18">
        <v>43922.708333333336</v>
      </c>
      <c r="B39" s="17" t="s">
        <v>22</v>
      </c>
      <c r="C39" s="2">
        <v>28403</v>
      </c>
      <c r="D39" s="2">
        <v>4035</v>
      </c>
      <c r="E39" s="2">
        <v>32438</v>
      </c>
      <c r="F39" s="2">
        <v>48134</v>
      </c>
      <c r="G39" s="2">
        <v>80572</v>
      </c>
      <c r="H39" s="2">
        <v>2937</v>
      </c>
      <c r="I39" s="2">
        <v>4782</v>
      </c>
      <c r="J39" s="2">
        <v>16847</v>
      </c>
      <c r="K39" s="2">
        <v>13155</v>
      </c>
      <c r="L39" s="2">
        <v>110574</v>
      </c>
      <c r="M39" s="2">
        <v>541423</v>
      </c>
      <c r="N39" s="17" t="s">
        <v>29</v>
      </c>
      <c r="O39" s="17" t="s">
        <v>29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F5467-0F8B-406C-BDFD-F0DB074DB755}">
  <dimension ref="B2:R265"/>
  <sheetViews>
    <sheetView zoomScale="70" zoomScaleNormal="70" workbookViewId="0">
      <selection activeCell="B5" sqref="B5"/>
    </sheetView>
  </sheetViews>
  <sheetFormatPr defaultRowHeight="14.4" x14ac:dyDescent="0.3"/>
  <cols>
    <col min="1" max="1" width="2.77734375" style="2" customWidth="1"/>
    <col min="2" max="2" width="8.88671875" style="2"/>
    <col min="3" max="3" width="6.5546875" style="2" customWidth="1"/>
    <col min="4" max="4" width="16.88671875" style="2" customWidth="1"/>
    <col min="5" max="5" width="15.44140625" style="2" customWidth="1"/>
    <col min="6" max="6" width="11.33203125" style="2" customWidth="1"/>
    <col min="7" max="7" width="11.109375" style="2" customWidth="1"/>
    <col min="8" max="8" width="10.88671875" style="2" bestFit="1" customWidth="1"/>
    <col min="9" max="9" width="15.44140625" style="2" customWidth="1"/>
    <col min="10" max="10" width="11.33203125" style="2" customWidth="1"/>
    <col min="11" max="11" width="11.109375" style="2" customWidth="1"/>
    <col min="12" max="12" width="1.77734375" style="2" customWidth="1"/>
    <col min="13" max="13" width="11.21875" style="2" customWidth="1"/>
    <col min="14" max="14" width="11.44140625" style="2" bestFit="1" customWidth="1"/>
    <col min="15" max="18" width="8.88671875" style="2"/>
    <col min="19" max="19" width="11" style="2" bestFit="1" customWidth="1"/>
    <col min="20" max="16384" width="8.88671875" style="2"/>
  </cols>
  <sheetData>
    <row r="2" spans="2:18" ht="31.2" x14ac:dyDescent="0.6">
      <c r="B2" s="11" t="s">
        <v>11</v>
      </c>
    </row>
    <row r="3" spans="2:18" ht="17.399999999999999" customHeight="1" x14ac:dyDescent="0.6">
      <c r="B3" s="12"/>
      <c r="C3" s="13"/>
      <c r="D3" s="13"/>
      <c r="E3" s="13"/>
      <c r="F3" s="13"/>
      <c r="H3" s="13"/>
      <c r="I3" s="13"/>
      <c r="J3" s="13"/>
      <c r="O3" s="20" t="s">
        <v>0</v>
      </c>
      <c r="P3" s="19" t="s">
        <v>70</v>
      </c>
      <c r="Q3" s="34"/>
      <c r="R3" s="16"/>
    </row>
    <row r="4" spans="2:18" ht="20.399999999999999" x14ac:dyDescent="0.35">
      <c r="B4" s="15" t="s">
        <v>49</v>
      </c>
      <c r="C4" s="14"/>
      <c r="D4" s="13"/>
      <c r="E4" s="13"/>
      <c r="F4" s="13"/>
      <c r="H4" s="13"/>
      <c r="I4" s="13"/>
      <c r="J4" s="13"/>
      <c r="O4" s="20" t="s">
        <v>23</v>
      </c>
      <c r="P4" s="19" t="s">
        <v>73</v>
      </c>
      <c r="Q4" s="16"/>
      <c r="R4" s="16"/>
    </row>
    <row r="5" spans="2:18" ht="18" x14ac:dyDescent="0.35">
      <c r="B5" s="28" t="s">
        <v>58</v>
      </c>
      <c r="C5" s="13"/>
      <c r="D5" s="13"/>
      <c r="E5" s="13"/>
      <c r="F5" s="13"/>
      <c r="H5" s="13"/>
      <c r="I5" s="13"/>
      <c r="J5" s="13"/>
      <c r="O5" s="20" t="s">
        <v>1</v>
      </c>
      <c r="P5" s="19" t="s">
        <v>73</v>
      </c>
      <c r="Q5" s="16"/>
      <c r="R5" s="16"/>
    </row>
    <row r="6" spans="2:18" x14ac:dyDescent="0.3">
      <c r="B6" s="4" t="s">
        <v>8</v>
      </c>
      <c r="C6" s="4" t="s">
        <v>9</v>
      </c>
      <c r="D6" s="4" t="s">
        <v>10</v>
      </c>
      <c r="E6" s="8" t="s">
        <v>54</v>
      </c>
      <c r="F6" s="8" t="s">
        <v>44</v>
      </c>
      <c r="G6" s="8" t="s">
        <v>45</v>
      </c>
      <c r="H6" s="4" t="s">
        <v>53</v>
      </c>
      <c r="I6" s="8" t="s">
        <v>55</v>
      </c>
      <c r="J6" s="8" t="s">
        <v>56</v>
      </c>
      <c r="K6" s="8" t="s">
        <v>57</v>
      </c>
      <c r="L6" s="8"/>
      <c r="M6" s="29" t="s">
        <v>46</v>
      </c>
      <c r="N6" s="3"/>
      <c r="O6" s="3"/>
    </row>
    <row r="7" spans="2:18" x14ac:dyDescent="0.3">
      <c r="B7" s="25">
        <v>43881</v>
      </c>
      <c r="C7" s="26">
        <v>1</v>
      </c>
      <c r="D7" s="27">
        <v>3</v>
      </c>
      <c r="E7" s="8">
        <f t="shared" ref="E7:E38" si="0">t0*_xlfn.GAMMA.DIST($C7/t0,w+1,1,1)*_xlfn.GAMMA(w+1)</f>
        <v>9.0480196388339536E-7</v>
      </c>
      <c r="F7" s="10">
        <f>E7+CI</f>
        <v>2419.0180403120189</v>
      </c>
      <c r="G7" s="10">
        <f>MAX(E7-CI,0)</f>
        <v>0</v>
      </c>
      <c r="H7" s="26">
        <v>0</v>
      </c>
      <c r="I7" s="8">
        <f t="shared" ref="I7:I38" si="1">t0h*_xlfn.GAMMA.DIST($C7/t0h,wh+1,1,1)*_xlfn.GAMMA(wh+1)</f>
        <v>2.572247279186208E-7</v>
      </c>
      <c r="J7" s="10">
        <f t="shared" ref="J7:J46" si="2">I7+CIh</f>
        <v>147.41376443877732</v>
      </c>
      <c r="K7" s="10">
        <f t="shared" ref="K7:K46" si="3">MAX(I7-CIh,0)</f>
        <v>0</v>
      </c>
      <c r="L7" s="8"/>
      <c r="M7" s="39"/>
      <c r="N7" s="39"/>
      <c r="O7" s="3"/>
    </row>
    <row r="8" spans="2:18" ht="15.6" x14ac:dyDescent="0.35">
      <c r="B8" s="25">
        <v>43882</v>
      </c>
      <c r="C8" s="26">
        <v>2</v>
      </c>
      <c r="D8" s="27">
        <v>20</v>
      </c>
      <c r="E8" s="8">
        <f t="shared" si="0"/>
        <v>3.724668150061863E-4</v>
      </c>
      <c r="F8" s="10">
        <f>E8+CI</f>
        <v>2419.0184118740317</v>
      </c>
      <c r="G8" s="10">
        <f>MAX(E8-CI,0)</f>
        <v>0</v>
      </c>
      <c r="H8" s="26">
        <v>1</v>
      </c>
      <c r="I8" s="8">
        <f t="shared" si="1"/>
        <v>6.0790709022093782E-5</v>
      </c>
      <c r="J8" s="10">
        <f t="shared" si="2"/>
        <v>147.41382497226161</v>
      </c>
      <c r="K8" s="10">
        <f t="shared" si="3"/>
        <v>0</v>
      </c>
      <c r="L8" s="8"/>
      <c r="M8" s="21" t="s">
        <v>24</v>
      </c>
      <c r="N8" s="30">
        <v>4.2195046529961209</v>
      </c>
      <c r="O8" s="3"/>
    </row>
    <row r="9" spans="2:18" x14ac:dyDescent="0.3">
      <c r="B9" s="25">
        <v>43883</v>
      </c>
      <c r="C9" s="26">
        <v>3</v>
      </c>
      <c r="D9" s="27">
        <v>62</v>
      </c>
      <c r="E9" s="8">
        <f t="shared" si="0"/>
        <v>1.1544890356527523E-2</v>
      </c>
      <c r="F9" s="10">
        <f>E9+CI</f>
        <v>2419.0295842975734</v>
      </c>
      <c r="G9" s="10">
        <f>MAX(E9-CI,0)</f>
        <v>0</v>
      </c>
      <c r="H9" s="26">
        <v>2</v>
      </c>
      <c r="I9" s="8">
        <f t="shared" si="1"/>
        <v>1.4014350463993723E-3</v>
      </c>
      <c r="J9" s="10">
        <f t="shared" si="2"/>
        <v>147.41516561659898</v>
      </c>
      <c r="K9" s="10">
        <f t="shared" si="3"/>
        <v>0</v>
      </c>
      <c r="L9" s="8"/>
      <c r="M9" s="21" t="s">
        <v>1</v>
      </c>
      <c r="N9" s="30">
        <v>7.9919656312836951</v>
      </c>
      <c r="O9" s="3"/>
    </row>
    <row r="10" spans="2:18" x14ac:dyDescent="0.3">
      <c r="B10" s="25">
        <v>43884</v>
      </c>
      <c r="C10" s="26">
        <v>4</v>
      </c>
      <c r="D10" s="27">
        <v>155</v>
      </c>
      <c r="E10" s="8">
        <f t="shared" si="0"/>
        <v>0.12415100728276238</v>
      </c>
      <c r="F10" s="10">
        <f>E10+CI</f>
        <v>2419.1421904144995</v>
      </c>
      <c r="G10" s="10">
        <f>MAX(E10-CI,0)</f>
        <v>0</v>
      </c>
      <c r="H10" s="26">
        <v>3</v>
      </c>
      <c r="I10" s="8">
        <f t="shared" si="1"/>
        <v>1.246066293575138E-2</v>
      </c>
      <c r="J10" s="10">
        <f t="shared" si="2"/>
        <v>147.42622484448833</v>
      </c>
      <c r="K10" s="10">
        <f t="shared" si="3"/>
        <v>0</v>
      </c>
      <c r="L10" s="8"/>
      <c r="M10" s="5" t="s">
        <v>2</v>
      </c>
      <c r="N10" s="1">
        <f>AVERAGE(D7:D48)</f>
        <v>31527.452380952382</v>
      </c>
      <c r="O10" s="3"/>
    </row>
    <row r="11" spans="2:18" x14ac:dyDescent="0.3">
      <c r="B11" s="22">
        <v>43885</v>
      </c>
      <c r="C11" s="4">
        <v>5</v>
      </c>
      <c r="D11" s="10">
        <f>'dpc-covid19-ita-andamento-naz'!L2</f>
        <v>229</v>
      </c>
      <c r="E11" s="8">
        <f t="shared" si="0"/>
        <v>0.74766057420581422</v>
      </c>
      <c r="F11" s="10">
        <f t="shared" ref="F11:F33" si="4">E11+CI</f>
        <v>2419.7656999814226</v>
      </c>
      <c r="G11" s="10">
        <f t="shared" ref="G11:G37" si="5">MAX(E11-CI,0)</f>
        <v>0</v>
      </c>
      <c r="H11" s="10">
        <f>'dpc-covid19-ita-andamento-naz'!K2</f>
        <v>7</v>
      </c>
      <c r="I11" s="8">
        <f t="shared" si="1"/>
        <v>6.5742098788081224E-2</v>
      </c>
      <c r="J11" s="10">
        <f t="shared" si="2"/>
        <v>147.47950628034067</v>
      </c>
      <c r="K11" s="10">
        <f t="shared" si="3"/>
        <v>0</v>
      </c>
      <c r="L11" s="1"/>
      <c r="M11" s="5" t="s">
        <v>3</v>
      </c>
      <c r="N11" s="1">
        <f>COUNT(D7:D48)-COUNT(N7:N9)</f>
        <v>40</v>
      </c>
    </row>
    <row r="12" spans="2:18" x14ac:dyDescent="0.3">
      <c r="B12" s="9">
        <v>43886</v>
      </c>
      <c r="C12" s="4">
        <v>6</v>
      </c>
      <c r="D12" s="10">
        <f>'dpc-covid19-ita-andamento-naz'!L3</f>
        <v>322</v>
      </c>
      <c r="E12" s="8">
        <f t="shared" si="0"/>
        <v>3.1208781779866261</v>
      </c>
      <c r="F12" s="10">
        <f t="shared" si="4"/>
        <v>2422.1389175852032</v>
      </c>
      <c r="G12" s="10">
        <f t="shared" si="5"/>
        <v>0</v>
      </c>
      <c r="H12" s="10">
        <f>'dpc-covid19-ita-andamento-naz'!K3</f>
        <v>10</v>
      </c>
      <c r="I12" s="8">
        <f t="shared" si="1"/>
        <v>0.24935721789008039</v>
      </c>
      <c r="J12" s="10">
        <f t="shared" si="2"/>
        <v>147.66312139944267</v>
      </c>
      <c r="K12" s="10">
        <f t="shared" si="3"/>
        <v>0</v>
      </c>
      <c r="L12" s="1"/>
      <c r="M12" s="5" t="s">
        <v>4</v>
      </c>
      <c r="N12" s="6" cm="1">
        <f t="array" ref="N12">SQRT(SUM((D7:D48-E7:E48)^2)/df)</f>
        <v>1196.8964893687805</v>
      </c>
    </row>
    <row r="13" spans="2:18" ht="16.2" x14ac:dyDescent="0.3">
      <c r="B13" s="9">
        <v>43887</v>
      </c>
      <c r="C13" s="4">
        <v>7</v>
      </c>
      <c r="D13" s="10">
        <f>'dpc-covid19-ita-andamento-naz'!L4</f>
        <v>400</v>
      </c>
      <c r="E13" s="8">
        <f t="shared" si="0"/>
        <v>10.117649514221963</v>
      </c>
      <c r="F13" s="10">
        <f t="shared" si="4"/>
        <v>2429.1356889214385</v>
      </c>
      <c r="G13" s="10">
        <f t="shared" si="5"/>
        <v>0</v>
      </c>
      <c r="H13" s="10">
        <f>'dpc-covid19-ita-andamento-naz'!K4</f>
        <v>12</v>
      </c>
      <c r="I13" s="8">
        <f t="shared" si="1"/>
        <v>0.75324224301882403</v>
      </c>
      <c r="J13" s="10">
        <f t="shared" si="2"/>
        <v>148.16700642457141</v>
      </c>
      <c r="K13" s="10">
        <f t="shared" si="3"/>
        <v>0</v>
      </c>
      <c r="L13" s="1"/>
      <c r="M13" s="5" t="s">
        <v>5</v>
      </c>
      <c r="N13" s="7" cm="1">
        <f t="array" ref="N13">1-SUM((D7:D48-E7:E48)^2)/SUM((D7:D48-Mean_of_y)^2)</f>
        <v>0.99893682653476745</v>
      </c>
    </row>
    <row r="14" spans="2:18" x14ac:dyDescent="0.3">
      <c r="B14" s="9">
        <v>43888</v>
      </c>
      <c r="C14" s="4">
        <v>8</v>
      </c>
      <c r="D14" s="10">
        <f>'dpc-covid19-ita-andamento-naz'!L5</f>
        <v>650</v>
      </c>
      <c r="E14" s="8">
        <f t="shared" si="0"/>
        <v>27.265351341556475</v>
      </c>
      <c r="F14" s="10">
        <f t="shared" si="4"/>
        <v>2446.2833907487734</v>
      </c>
      <c r="G14" s="10">
        <f t="shared" si="5"/>
        <v>0</v>
      </c>
      <c r="H14" s="10">
        <f>'dpc-covid19-ita-andamento-naz'!K5</f>
        <v>17</v>
      </c>
      <c r="I14" s="8">
        <f t="shared" si="1"/>
        <v>1.9262854820073898</v>
      </c>
      <c r="J14" s="10">
        <f t="shared" si="2"/>
        <v>149.34004966355997</v>
      </c>
      <c r="K14" s="10">
        <f t="shared" si="3"/>
        <v>0</v>
      </c>
      <c r="L14" s="1"/>
      <c r="M14" s="5" t="s">
        <v>6</v>
      </c>
      <c r="N14" s="7">
        <f>TINV(0.05,df)</f>
        <v>2.0210753903062737</v>
      </c>
    </row>
    <row r="15" spans="2:18" x14ac:dyDescent="0.3">
      <c r="B15" s="9">
        <v>43889</v>
      </c>
      <c r="C15" s="4">
        <v>9</v>
      </c>
      <c r="D15" s="10">
        <f>'dpc-covid19-ita-andamento-naz'!L6</f>
        <v>888</v>
      </c>
      <c r="E15" s="8">
        <f t="shared" si="0"/>
        <v>63.811840708227002</v>
      </c>
      <c r="F15" s="10">
        <f t="shared" si="4"/>
        <v>2482.8298801154438</v>
      </c>
      <c r="G15" s="10">
        <f t="shared" si="5"/>
        <v>0</v>
      </c>
      <c r="H15" s="10">
        <f>'dpc-covid19-ita-andamento-naz'!K6</f>
        <v>21</v>
      </c>
      <c r="I15" s="8">
        <f t="shared" si="1"/>
        <v>4.3380959107234558</v>
      </c>
      <c r="J15" s="10">
        <f t="shared" si="2"/>
        <v>151.75186009227605</v>
      </c>
      <c r="K15" s="10">
        <f t="shared" si="3"/>
        <v>0</v>
      </c>
      <c r="L15" s="1"/>
      <c r="M15" s="5" t="s">
        <v>7</v>
      </c>
      <c r="N15" s="1">
        <f>Critical_t*SE_of_y</f>
        <v>2419.0180394072167</v>
      </c>
    </row>
    <row r="16" spans="2:18" x14ac:dyDescent="0.3">
      <c r="B16" s="9">
        <v>43890</v>
      </c>
      <c r="C16" s="4">
        <v>10</v>
      </c>
      <c r="D16" s="10">
        <f>'dpc-covid19-ita-andamento-naz'!L7</f>
        <v>1128</v>
      </c>
      <c r="E16" s="8">
        <f t="shared" si="0"/>
        <v>133.64313669797852</v>
      </c>
      <c r="F16" s="10">
        <f t="shared" si="4"/>
        <v>2552.6611761051954</v>
      </c>
      <c r="G16" s="10">
        <f t="shared" si="5"/>
        <v>0</v>
      </c>
      <c r="H16" s="10">
        <f>'dpc-covid19-ita-andamento-naz'!K7</f>
        <v>29</v>
      </c>
      <c r="I16" s="8">
        <f t="shared" si="1"/>
        <v>8.8381240747518603</v>
      </c>
      <c r="J16" s="10">
        <f t="shared" si="2"/>
        <v>156.25188825630443</v>
      </c>
      <c r="K16" s="10">
        <f t="shared" si="3"/>
        <v>0</v>
      </c>
      <c r="L16" s="1"/>
      <c r="M16" s="35" t="s">
        <v>69</v>
      </c>
      <c r="N16" s="36">
        <f>t0*_xlfn.GAMMA(w+1)</f>
        <v>167230.05765339092</v>
      </c>
    </row>
    <row r="17" spans="2:14" x14ac:dyDescent="0.3">
      <c r="B17" s="22">
        <v>43891</v>
      </c>
      <c r="C17" s="4">
        <v>11</v>
      </c>
      <c r="D17" s="10">
        <f>'dpc-covid19-ita-andamento-naz'!L8</f>
        <v>1694</v>
      </c>
      <c r="E17" s="8">
        <f t="shared" si="0"/>
        <v>255.87031217941995</v>
      </c>
      <c r="F17" s="10">
        <f t="shared" si="4"/>
        <v>2674.8883515866369</v>
      </c>
      <c r="G17" s="10">
        <f t="shared" si="5"/>
        <v>0</v>
      </c>
      <c r="H17" s="10">
        <f>'dpc-covid19-ita-andamento-naz'!K8</f>
        <v>34</v>
      </c>
      <c r="I17" s="8">
        <f t="shared" si="1"/>
        <v>16.605134316822628</v>
      </c>
      <c r="J17" s="10">
        <f t="shared" si="2"/>
        <v>164.01889849837522</v>
      </c>
      <c r="K17" s="10">
        <f t="shared" si="3"/>
        <v>0</v>
      </c>
      <c r="L17" s="1"/>
      <c r="M17" s="23" t="s">
        <v>53</v>
      </c>
      <c r="N17" s="3"/>
    </row>
    <row r="18" spans="2:14" x14ac:dyDescent="0.3">
      <c r="B18" s="9">
        <v>43892</v>
      </c>
      <c r="C18" s="4">
        <v>12</v>
      </c>
      <c r="D18" s="10">
        <f>'dpc-covid19-ita-andamento-naz'!L9</f>
        <v>2036</v>
      </c>
      <c r="E18" s="8">
        <f t="shared" si="0"/>
        <v>454.95682639902401</v>
      </c>
      <c r="F18" s="10">
        <f t="shared" si="4"/>
        <v>2873.9748658062408</v>
      </c>
      <c r="G18" s="10">
        <f t="shared" si="5"/>
        <v>0</v>
      </c>
      <c r="H18" s="10">
        <f>'dpc-covid19-ita-andamento-naz'!K9</f>
        <v>52</v>
      </c>
      <c r="I18" s="8">
        <f t="shared" si="1"/>
        <v>29.181263023264027</v>
      </c>
      <c r="J18" s="10">
        <f t="shared" si="2"/>
        <v>176.5950272048166</v>
      </c>
      <c r="K18" s="10">
        <f t="shared" si="3"/>
        <v>0</v>
      </c>
      <c r="L18" s="1"/>
      <c r="M18" s="40"/>
      <c r="N18" s="40"/>
    </row>
    <row r="19" spans="2:14" ht="15.6" x14ac:dyDescent="0.35">
      <c r="B19" s="9">
        <v>43893</v>
      </c>
      <c r="C19" s="4">
        <v>13</v>
      </c>
      <c r="D19" s="10">
        <f>'dpc-covid19-ita-andamento-naz'!L10</f>
        <v>2502</v>
      </c>
      <c r="E19" s="8">
        <f t="shared" si="0"/>
        <v>760.32871397379995</v>
      </c>
      <c r="F19" s="10">
        <f t="shared" si="4"/>
        <v>3179.3467533810167</v>
      </c>
      <c r="G19" s="10">
        <f t="shared" si="5"/>
        <v>0</v>
      </c>
      <c r="H19" s="10">
        <f>'dpc-covid19-ita-andamento-naz'!K10</f>
        <v>79</v>
      </c>
      <c r="I19" s="8">
        <f t="shared" si="1"/>
        <v>48.486686301486067</v>
      </c>
      <c r="J19" s="10">
        <f t="shared" si="2"/>
        <v>195.90045048303864</v>
      </c>
      <c r="K19" s="10">
        <f t="shared" si="3"/>
        <v>0</v>
      </c>
      <c r="L19" s="1"/>
      <c r="M19" s="21" t="s">
        <v>24</v>
      </c>
      <c r="N19" s="30">
        <v>6.2007914712737389</v>
      </c>
    </row>
    <row r="20" spans="2:14" x14ac:dyDescent="0.3">
      <c r="B20" s="9">
        <v>43894</v>
      </c>
      <c r="C20" s="4">
        <v>14</v>
      </c>
      <c r="D20" s="10">
        <f>'dpc-covid19-ita-andamento-naz'!L11</f>
        <v>3089</v>
      </c>
      <c r="E20" s="8">
        <f t="shared" si="0"/>
        <v>1205.4827283981756</v>
      </c>
      <c r="F20" s="10">
        <f t="shared" si="4"/>
        <v>3624.5007678053926</v>
      </c>
      <c r="G20" s="10">
        <f t="shared" si="5"/>
        <v>0</v>
      </c>
      <c r="H20" s="10">
        <f>'dpc-covid19-ita-andamento-naz'!K11</f>
        <v>107</v>
      </c>
      <c r="I20" s="8">
        <f t="shared" si="1"/>
        <v>76.812911481569671</v>
      </c>
      <c r="J20" s="10">
        <f t="shared" si="2"/>
        <v>224.22667566312225</v>
      </c>
      <c r="K20" s="10">
        <f t="shared" si="3"/>
        <v>0</v>
      </c>
      <c r="L20" s="1"/>
      <c r="M20" s="21" t="s">
        <v>1</v>
      </c>
      <c r="N20" s="30">
        <v>7.0911928299905682</v>
      </c>
    </row>
    <row r="21" spans="2:14" x14ac:dyDescent="0.3">
      <c r="B21" s="22">
        <v>43895</v>
      </c>
      <c r="C21" s="4">
        <v>15</v>
      </c>
      <c r="D21" s="10">
        <f>'dpc-covid19-ita-andamento-naz'!L12</f>
        <v>3858</v>
      </c>
      <c r="E21" s="8">
        <f t="shared" si="0"/>
        <v>1826.6691879737648</v>
      </c>
      <c r="F21" s="10">
        <f t="shared" si="4"/>
        <v>4245.6872273809813</v>
      </c>
      <c r="G21" s="10">
        <f t="shared" si="5"/>
        <v>0</v>
      </c>
      <c r="H21" s="10">
        <f>'dpc-covid19-ita-andamento-naz'!K12</f>
        <v>148</v>
      </c>
      <c r="I21" s="8">
        <f t="shared" si="1"/>
        <v>116.79462777539671</v>
      </c>
      <c r="J21" s="10">
        <f t="shared" si="2"/>
        <v>264.2083919569493</v>
      </c>
      <c r="K21" s="10">
        <f t="shared" si="3"/>
        <v>0</v>
      </c>
      <c r="L21" s="1"/>
      <c r="M21" s="2" t="s">
        <v>2</v>
      </c>
      <c r="N21" s="1">
        <f>AVERAGE(H7:H48)</f>
        <v>3091.0238095238096</v>
      </c>
    </row>
    <row r="22" spans="2:14" x14ac:dyDescent="0.3">
      <c r="B22" s="9">
        <v>43896</v>
      </c>
      <c r="C22" s="4">
        <v>16</v>
      </c>
      <c r="D22" s="10">
        <f>'dpc-covid19-ita-andamento-naz'!L13</f>
        <v>4636</v>
      </c>
      <c r="E22" s="8">
        <f t="shared" si="0"/>
        <v>2661.2696809179938</v>
      </c>
      <c r="F22" s="10">
        <f t="shared" si="4"/>
        <v>5080.2877203252101</v>
      </c>
      <c r="G22" s="10">
        <f t="shared" si="5"/>
        <v>242.25164151077706</v>
      </c>
      <c r="H22" s="10">
        <f>'dpc-covid19-ita-andamento-naz'!K13</f>
        <v>197</v>
      </c>
      <c r="I22" s="8">
        <f t="shared" si="1"/>
        <v>171.36171620694472</v>
      </c>
      <c r="J22" s="10">
        <f t="shared" si="2"/>
        <v>318.77548038849727</v>
      </c>
      <c r="K22" s="10">
        <f t="shared" si="3"/>
        <v>23.947952025392141</v>
      </c>
      <c r="L22" s="1"/>
      <c r="M22" s="2" t="s">
        <v>3</v>
      </c>
      <c r="N22" s="1">
        <f>COUNT(H7:H48)-COUNT(N18:N20)</f>
        <v>40</v>
      </c>
    </row>
    <row r="23" spans="2:14" x14ac:dyDescent="0.3">
      <c r="B23" s="9">
        <v>43897</v>
      </c>
      <c r="C23" s="4">
        <v>17</v>
      </c>
      <c r="D23" s="10">
        <f>'dpc-covid19-ita-andamento-naz'!L14</f>
        <v>5883</v>
      </c>
      <c r="E23" s="8">
        <f t="shared" si="0"/>
        <v>3746.0125702262262</v>
      </c>
      <c r="F23" s="10">
        <f t="shared" si="4"/>
        <v>6165.0306096334425</v>
      </c>
      <c r="G23" s="10">
        <f t="shared" si="5"/>
        <v>1326.9945308190095</v>
      </c>
      <c r="H23" s="10">
        <f>'dpc-covid19-ita-andamento-naz'!K14</f>
        <v>233</v>
      </c>
      <c r="I23" s="8">
        <f t="shared" si="1"/>
        <v>243.67432049233975</v>
      </c>
      <c r="J23" s="10">
        <f t="shared" si="2"/>
        <v>391.08808467389235</v>
      </c>
      <c r="K23" s="10">
        <f t="shared" si="3"/>
        <v>96.260556310787166</v>
      </c>
      <c r="L23" s="1"/>
      <c r="M23" s="2" t="s">
        <v>4</v>
      </c>
      <c r="N23" s="6" cm="1">
        <f t="array" ref="N23">SQRT(SUM((H7:H48-I7:I48)^2)/dfh)</f>
        <v>72.938280723517934</v>
      </c>
    </row>
    <row r="24" spans="2:14" ht="16.2" x14ac:dyDescent="0.3">
      <c r="B24" s="22">
        <v>43898</v>
      </c>
      <c r="C24" s="4">
        <v>18</v>
      </c>
      <c r="D24" s="10">
        <f>'dpc-covid19-ita-andamento-naz'!L15</f>
        <v>7375</v>
      </c>
      <c r="E24" s="8">
        <f t="shared" si="0"/>
        <v>5115.172658627469</v>
      </c>
      <c r="F24" s="10">
        <f t="shared" si="4"/>
        <v>7534.1906980346857</v>
      </c>
      <c r="G24" s="10">
        <f t="shared" si="5"/>
        <v>2696.1546192202522</v>
      </c>
      <c r="H24" s="10">
        <f>'dpc-covid19-ita-andamento-naz'!K15</f>
        <v>366</v>
      </c>
      <c r="I24" s="8">
        <f t="shared" si="1"/>
        <v>337.04477678542924</v>
      </c>
      <c r="J24" s="10">
        <f t="shared" si="2"/>
        <v>484.45854096698179</v>
      </c>
      <c r="K24" s="10">
        <f t="shared" si="3"/>
        <v>189.63101260387666</v>
      </c>
      <c r="L24" s="1"/>
      <c r="M24" s="2" t="s">
        <v>5</v>
      </c>
      <c r="N24" s="7" cm="1">
        <f t="array" ref="N24">1-SUM((H7:H48-I7:I48)^2)/SUM((H7:H48-Mean_of_yh)^2)</f>
        <v>0.99968591279255092</v>
      </c>
    </row>
    <row r="25" spans="2:14" x14ac:dyDescent="0.3">
      <c r="B25" s="9">
        <v>43899</v>
      </c>
      <c r="C25" s="4">
        <v>19</v>
      </c>
      <c r="D25" s="10">
        <f>'dpc-covid19-ita-andamento-naz'!L16</f>
        <v>9172</v>
      </c>
      <c r="E25" s="8">
        <f t="shared" si="0"/>
        <v>6798.888987498116</v>
      </c>
      <c r="F25" s="10">
        <f t="shared" si="4"/>
        <v>9217.9070269053336</v>
      </c>
      <c r="G25" s="10">
        <f t="shared" si="5"/>
        <v>4379.8709480908992</v>
      </c>
      <c r="H25" s="10">
        <f>'dpc-covid19-ita-andamento-naz'!K16</f>
        <v>463</v>
      </c>
      <c r="I25" s="8">
        <f t="shared" si="1"/>
        <v>454.85069768454974</v>
      </c>
      <c r="J25" s="10">
        <f t="shared" si="2"/>
        <v>602.26446186610235</v>
      </c>
      <c r="K25" s="10">
        <f t="shared" si="3"/>
        <v>307.43693350299714</v>
      </c>
      <c r="L25" s="1"/>
      <c r="M25" s="2" t="s">
        <v>6</v>
      </c>
      <c r="N25" s="7">
        <f>TINV(0.05,dfh)</f>
        <v>2.0210753903062737</v>
      </c>
    </row>
    <row r="26" spans="2:14" x14ac:dyDescent="0.3">
      <c r="B26" s="22">
        <v>43900</v>
      </c>
      <c r="C26" s="4">
        <v>20</v>
      </c>
      <c r="D26" s="10">
        <f>'dpc-covid19-ita-andamento-naz'!L17</f>
        <v>10149</v>
      </c>
      <c r="E26" s="8">
        <f t="shared" si="0"/>
        <v>8821.7111896107017</v>
      </c>
      <c r="F26" s="10">
        <f t="shared" si="4"/>
        <v>11240.729229017918</v>
      </c>
      <c r="G26" s="10">
        <f t="shared" si="5"/>
        <v>6402.6931502034849</v>
      </c>
      <c r="H26" s="10">
        <f>'dpc-covid19-ita-andamento-naz'!K17</f>
        <v>631</v>
      </c>
      <c r="I26" s="8">
        <f t="shared" si="1"/>
        <v>600.44364428990082</v>
      </c>
      <c r="J26" s="10">
        <f t="shared" si="2"/>
        <v>747.85740847145337</v>
      </c>
      <c r="K26" s="10">
        <f t="shared" si="3"/>
        <v>453.02988010834827</v>
      </c>
      <c r="L26" s="1"/>
      <c r="M26" s="2" t="s">
        <v>7</v>
      </c>
      <c r="N26" s="1">
        <f>Critical_th*SE_of_yh</f>
        <v>147.41376418155258</v>
      </c>
    </row>
    <row r="27" spans="2:14" x14ac:dyDescent="0.3">
      <c r="B27" s="9">
        <v>43901</v>
      </c>
      <c r="C27" s="4">
        <v>21</v>
      </c>
      <c r="D27" s="10">
        <f>'dpc-covid19-ita-andamento-naz'!L18</f>
        <v>12462</v>
      </c>
      <c r="E27" s="8">
        <f t="shared" si="0"/>
        <v>11201.454871158108</v>
      </c>
      <c r="F27" s="10">
        <f t="shared" si="4"/>
        <v>13620.472910565324</v>
      </c>
      <c r="G27" s="10">
        <f t="shared" si="5"/>
        <v>8782.4368317508925</v>
      </c>
      <c r="H27" s="10">
        <f>'dpc-covid19-ita-andamento-naz'!K18</f>
        <v>827</v>
      </c>
      <c r="I27" s="8">
        <f t="shared" si="1"/>
        <v>777.05765872014081</v>
      </c>
      <c r="J27" s="10">
        <f t="shared" si="2"/>
        <v>924.47142290169336</v>
      </c>
      <c r="K27" s="10">
        <f t="shared" si="3"/>
        <v>629.64389453858826</v>
      </c>
      <c r="L27" s="1"/>
      <c r="M27" s="37" t="s">
        <v>69</v>
      </c>
      <c r="N27" s="38">
        <f>t0h*_xlfn.GAMMA(wh+1)</f>
        <v>37579.039771564327</v>
      </c>
    </row>
    <row r="28" spans="2:14" x14ac:dyDescent="0.3">
      <c r="B28" s="22">
        <v>43902</v>
      </c>
      <c r="C28" s="4">
        <v>22</v>
      </c>
      <c r="D28" s="10">
        <f>'dpc-covid19-ita-andamento-naz'!L19</f>
        <v>15113</v>
      </c>
      <c r="E28" s="8">
        <f t="shared" si="0"/>
        <v>13948.414443874794</v>
      </c>
      <c r="F28" s="10">
        <f t="shared" si="4"/>
        <v>16367.432483282009</v>
      </c>
      <c r="G28" s="10">
        <f t="shared" si="5"/>
        <v>11529.396404467578</v>
      </c>
      <c r="H28" s="10">
        <f>'dpc-covid19-ita-andamento-naz'!K19</f>
        <v>1016</v>
      </c>
      <c r="I28" s="8">
        <f t="shared" si="1"/>
        <v>987.72153652825807</v>
      </c>
      <c r="J28" s="10">
        <f t="shared" si="2"/>
        <v>1135.1353007098107</v>
      </c>
      <c r="K28" s="10">
        <f t="shared" si="3"/>
        <v>840.30777234670552</v>
      </c>
      <c r="L28" s="1"/>
      <c r="M28" s="5"/>
    </row>
    <row r="29" spans="2:14" x14ac:dyDescent="0.3">
      <c r="B29" s="9">
        <v>43903</v>
      </c>
      <c r="C29" s="4">
        <v>23</v>
      </c>
      <c r="D29" s="10">
        <f>'dpc-covid19-ita-andamento-naz'!L20</f>
        <v>17660</v>
      </c>
      <c r="E29" s="8">
        <f t="shared" si="0"/>
        <v>17064.951091201725</v>
      </c>
      <c r="F29" s="10">
        <f t="shared" si="4"/>
        <v>19483.969130608941</v>
      </c>
      <c r="G29" s="10">
        <f t="shared" si="5"/>
        <v>14645.933051794509</v>
      </c>
      <c r="H29" s="10">
        <f>'dpc-covid19-ita-andamento-naz'!K20</f>
        <v>1266</v>
      </c>
      <c r="I29" s="8">
        <f t="shared" si="1"/>
        <v>1235.1781629353334</v>
      </c>
      <c r="J29" s="10">
        <f t="shared" si="2"/>
        <v>1382.5919271168859</v>
      </c>
      <c r="K29" s="10">
        <f t="shared" si="3"/>
        <v>1087.7643987537808</v>
      </c>
      <c r="L29" s="1"/>
      <c r="M29" s="5"/>
    </row>
    <row r="30" spans="2:14" x14ac:dyDescent="0.3">
      <c r="B30" s="9">
        <v>43904</v>
      </c>
      <c r="C30" s="4">
        <v>24</v>
      </c>
      <c r="D30" s="10">
        <f>'dpc-covid19-ita-andamento-naz'!L21</f>
        <v>21157</v>
      </c>
      <c r="E30" s="8">
        <f t="shared" si="0"/>
        <v>20545.446575936119</v>
      </c>
      <c r="F30" s="10">
        <f t="shared" si="4"/>
        <v>22964.464615343335</v>
      </c>
      <c r="G30" s="10">
        <f t="shared" si="5"/>
        <v>18126.428536528903</v>
      </c>
      <c r="H30" s="10">
        <f>'dpc-covid19-ita-andamento-naz'!K21</f>
        <v>1441</v>
      </c>
      <c r="I30" s="8">
        <f t="shared" si="1"/>
        <v>1521.813583068978</v>
      </c>
      <c r="J30" s="10">
        <f t="shared" si="2"/>
        <v>1669.2273472505306</v>
      </c>
      <c r="K30" s="10">
        <f t="shared" si="3"/>
        <v>1374.3998188874255</v>
      </c>
      <c r="L30" s="1"/>
      <c r="M30" s="5"/>
    </row>
    <row r="31" spans="2:14" x14ac:dyDescent="0.3">
      <c r="B31" s="9">
        <v>43905</v>
      </c>
      <c r="C31" s="4">
        <v>25</v>
      </c>
      <c r="D31" s="10">
        <f>'dpc-covid19-ita-andamento-naz'!L22</f>
        <v>24747</v>
      </c>
      <c r="E31" s="8">
        <f t="shared" si="0"/>
        <v>24376.591863011941</v>
      </c>
      <c r="F31" s="10">
        <f t="shared" si="4"/>
        <v>26795.609902419157</v>
      </c>
      <c r="G31" s="10">
        <f t="shared" si="5"/>
        <v>21957.573823604725</v>
      </c>
      <c r="H31" s="10">
        <f>'dpc-covid19-ita-andamento-naz'!K22</f>
        <v>1809</v>
      </c>
      <c r="I31" s="8">
        <f t="shared" si="1"/>
        <v>1849.5977806601588</v>
      </c>
      <c r="J31" s="10">
        <f t="shared" si="2"/>
        <v>1997.0115448417114</v>
      </c>
      <c r="K31" s="10">
        <f t="shared" si="3"/>
        <v>1702.1840164786063</v>
      </c>
      <c r="L31" s="1"/>
      <c r="M31" s="5"/>
    </row>
    <row r="32" spans="2:14" x14ac:dyDescent="0.3">
      <c r="B32" s="9">
        <v>43906</v>
      </c>
      <c r="C32" s="4">
        <v>26</v>
      </c>
      <c r="D32" s="10">
        <f>'dpc-covid19-ita-andamento-naz'!L23</f>
        <v>27980</v>
      </c>
      <c r="E32" s="8">
        <f t="shared" si="0"/>
        <v>28537.96368530011</v>
      </c>
      <c r="F32" s="10">
        <f t="shared" si="4"/>
        <v>30956.981724707326</v>
      </c>
      <c r="G32" s="10">
        <f t="shared" si="5"/>
        <v>26118.945645892894</v>
      </c>
      <c r="H32" s="10">
        <f>'dpc-covid19-ita-andamento-naz'!K23</f>
        <v>2158</v>
      </c>
      <c r="I32" s="8">
        <f t="shared" si="1"/>
        <v>2220.0384482177874</v>
      </c>
      <c r="J32" s="10">
        <f t="shared" si="2"/>
        <v>2367.4522123993402</v>
      </c>
      <c r="K32" s="10">
        <f t="shared" si="3"/>
        <v>2072.6246840362346</v>
      </c>
      <c r="L32" s="1"/>
      <c r="M32" s="5"/>
    </row>
    <row r="33" spans="2:17" x14ac:dyDescent="0.3">
      <c r="B33" s="9">
        <v>43907</v>
      </c>
      <c r="C33" s="4">
        <v>27</v>
      </c>
      <c r="D33" s="10">
        <f>'dpc-covid19-ita-andamento-naz'!L24</f>
        <v>31506</v>
      </c>
      <c r="E33" s="8">
        <f t="shared" si="0"/>
        <v>33002.832203596772</v>
      </c>
      <c r="F33" s="10">
        <f t="shared" si="4"/>
        <v>35421.850243003988</v>
      </c>
      <c r="G33" s="10">
        <f t="shared" si="5"/>
        <v>30583.814164189556</v>
      </c>
      <c r="H33" s="10">
        <f>'dpc-covid19-ita-andamento-naz'!K24</f>
        <v>2503</v>
      </c>
      <c r="I33" s="8">
        <f t="shared" si="1"/>
        <v>2634.1483804330096</v>
      </c>
      <c r="J33" s="10">
        <f t="shared" si="2"/>
        <v>2781.5621446145624</v>
      </c>
      <c r="K33" s="10">
        <f t="shared" si="3"/>
        <v>2486.7346162514568</v>
      </c>
      <c r="L33" s="1"/>
      <c r="N33" s="1"/>
    </row>
    <row r="34" spans="2:17" x14ac:dyDescent="0.3">
      <c r="B34" s="9">
        <v>43908</v>
      </c>
      <c r="C34" s="4">
        <v>28</v>
      </c>
      <c r="D34" s="10">
        <f>'dpc-covid19-ita-andamento-naz'!L25</f>
        <v>35713</v>
      </c>
      <c r="E34" s="8">
        <f t="shared" si="0"/>
        <v>37739.138306883113</v>
      </c>
      <c r="F34" s="10">
        <f t="shared" ref="F34:F48" si="6">E34+CI</f>
        <v>40158.156346290329</v>
      </c>
      <c r="G34" s="10">
        <f t="shared" si="5"/>
        <v>35320.120267475897</v>
      </c>
      <c r="H34" s="10">
        <f>'dpc-covid19-ita-andamento-naz'!K25</f>
        <v>2978</v>
      </c>
      <c r="I34" s="8">
        <f t="shared" si="1"/>
        <v>3092.4265372599752</v>
      </c>
      <c r="J34" s="10">
        <f t="shared" si="2"/>
        <v>3239.840301441528</v>
      </c>
      <c r="K34" s="10">
        <f t="shared" si="3"/>
        <v>2945.0127730784225</v>
      </c>
      <c r="N34" s="6"/>
      <c r="Q34" s="1"/>
    </row>
    <row r="35" spans="2:17" x14ac:dyDescent="0.3">
      <c r="B35" s="9">
        <v>43909</v>
      </c>
      <c r="C35" s="4">
        <v>29</v>
      </c>
      <c r="D35" s="10">
        <f>'dpc-covid19-ita-andamento-naz'!L26</f>
        <v>41035</v>
      </c>
      <c r="E35" s="8">
        <f t="shared" si="0"/>
        <v>42710.579064727492</v>
      </c>
      <c r="F35" s="10">
        <f t="shared" si="6"/>
        <v>45129.597104134707</v>
      </c>
      <c r="G35" s="10">
        <f t="shared" si="5"/>
        <v>40291.561025320276</v>
      </c>
      <c r="H35" s="10">
        <f>'dpc-covid19-ita-andamento-naz'!K26</f>
        <v>3405</v>
      </c>
      <c r="I35" s="8">
        <f t="shared" si="1"/>
        <v>3594.8523204344328</v>
      </c>
      <c r="J35" s="10">
        <f t="shared" si="2"/>
        <v>3742.2660846159856</v>
      </c>
      <c r="K35" s="10">
        <f t="shared" si="3"/>
        <v>3447.4385562528801</v>
      </c>
      <c r="N35" s="7"/>
    </row>
    <row r="36" spans="2:17" x14ac:dyDescent="0.3">
      <c r="B36" s="9">
        <v>43910</v>
      </c>
      <c r="C36" s="4">
        <v>30</v>
      </c>
      <c r="D36" s="10">
        <f>'dpc-covid19-ita-andamento-naz'!L27</f>
        <v>47021</v>
      </c>
      <c r="E36" s="8">
        <f t="shared" si="0"/>
        <v>47877.743426238179</v>
      </c>
      <c r="F36" s="10">
        <f t="shared" si="6"/>
        <v>50296.761465645395</v>
      </c>
      <c r="G36" s="10">
        <f t="shared" si="5"/>
        <v>45458.725386830964</v>
      </c>
      <c r="H36" s="10">
        <f>'dpc-covid19-ita-andamento-naz'!K27</f>
        <v>4032</v>
      </c>
      <c r="I36" s="8">
        <f t="shared" si="1"/>
        <v>4140.8921959088348</v>
      </c>
      <c r="J36" s="10">
        <f t="shared" si="2"/>
        <v>4288.3059600903871</v>
      </c>
      <c r="K36" s="10">
        <f t="shared" si="3"/>
        <v>3993.478431727282</v>
      </c>
      <c r="N36" s="7"/>
    </row>
    <row r="37" spans="2:17" x14ac:dyDescent="0.3">
      <c r="B37" s="9">
        <v>43911</v>
      </c>
      <c r="C37" s="4">
        <v>31</v>
      </c>
      <c r="D37" s="10">
        <f>'dpc-covid19-ita-andamento-naz'!L28</f>
        <v>53578</v>
      </c>
      <c r="E37" s="8">
        <f t="shared" si="0"/>
        <v>53199.246470456557</v>
      </c>
      <c r="F37" s="10">
        <f t="shared" si="6"/>
        <v>55618.264509863773</v>
      </c>
      <c r="G37" s="10">
        <f t="shared" si="5"/>
        <v>50780.228431049341</v>
      </c>
      <c r="H37" s="10">
        <f>'dpc-covid19-ita-andamento-naz'!K28</f>
        <v>4825</v>
      </c>
      <c r="I37" s="8">
        <f t="shared" si="1"/>
        <v>4729.5174771177453</v>
      </c>
      <c r="J37" s="10">
        <f t="shared" si="2"/>
        <v>4876.9312412992977</v>
      </c>
      <c r="K37" s="10">
        <f t="shared" si="3"/>
        <v>4582.103712936193</v>
      </c>
      <c r="N37" s="1"/>
    </row>
    <row r="38" spans="2:17" x14ac:dyDescent="0.3">
      <c r="B38" s="9">
        <v>43912</v>
      </c>
      <c r="C38" s="4">
        <v>32</v>
      </c>
      <c r="D38" s="10">
        <f>'dpc-covid19-ita-andamento-naz'!L29</f>
        <v>59138</v>
      </c>
      <c r="E38" s="8">
        <f t="shared" si="0"/>
        <v>58632.81841441345</v>
      </c>
      <c r="F38" s="10">
        <f t="shared" si="6"/>
        <v>61051.836453820666</v>
      </c>
      <c r="G38" s="10">
        <f t="shared" ref="G38:G48" si="7">MAX(E38-CI,0)</f>
        <v>56213.800375006234</v>
      </c>
      <c r="H38" s="10">
        <f>'dpc-covid19-ita-andamento-naz'!K29</f>
        <v>5476</v>
      </c>
      <c r="I38" s="8">
        <f t="shared" si="1"/>
        <v>5359.2318574018782</v>
      </c>
      <c r="J38" s="10">
        <f t="shared" si="2"/>
        <v>5506.6456215834305</v>
      </c>
      <c r="K38" s="10">
        <f t="shared" si="3"/>
        <v>5211.8180932203259</v>
      </c>
    </row>
    <row r="39" spans="2:17" x14ac:dyDescent="0.3">
      <c r="B39" s="22">
        <v>43913</v>
      </c>
      <c r="C39" s="4">
        <v>33</v>
      </c>
      <c r="D39" s="10">
        <f>'dpc-covid19-ita-andamento-naz'!L30</f>
        <v>63927</v>
      </c>
      <c r="E39" s="8">
        <f t="shared" ref="E39:E70" si="8">t0*_xlfn.GAMMA.DIST($C39/t0,w+1,1,1)*_xlfn.GAMMA(w+1)</f>
        <v>64136.313348587173</v>
      </c>
      <c r="F39" s="10">
        <f t="shared" si="6"/>
        <v>66555.331387994389</v>
      </c>
      <c r="G39" s="10">
        <f t="shared" si="7"/>
        <v>61717.295309179957</v>
      </c>
      <c r="H39" s="10">
        <f>'dpc-covid19-ita-andamento-naz'!K30</f>
        <v>6077</v>
      </c>
      <c r="I39" s="8">
        <f t="shared" ref="I39:I70" si="9">t0h*_xlfn.GAMMA.DIST($C39/t0h,wh+1,1,1)*_xlfn.GAMMA(wh+1)</f>
        <v>6028.1071378527749</v>
      </c>
      <c r="J39" s="10">
        <f t="shared" si="2"/>
        <v>6175.5209020343273</v>
      </c>
      <c r="K39" s="10">
        <f t="shared" si="3"/>
        <v>5880.6933736712226</v>
      </c>
    </row>
    <row r="40" spans="2:17" x14ac:dyDescent="0.3">
      <c r="B40" s="9">
        <v>43914</v>
      </c>
      <c r="C40" s="4">
        <v>34</v>
      </c>
      <c r="D40" s="10">
        <f>'dpc-covid19-ita-andamento-naz'!L31</f>
        <v>69176</v>
      </c>
      <c r="E40" s="8">
        <f t="shared" si="8"/>
        <v>69668.611606509585</v>
      </c>
      <c r="F40" s="10">
        <f t="shared" si="6"/>
        <v>72087.629645916808</v>
      </c>
      <c r="G40" s="10">
        <f t="shared" si="7"/>
        <v>67249.593567102362</v>
      </c>
      <c r="H40" s="10">
        <f>'dpc-covid19-ita-andamento-naz'!K31</f>
        <v>6820</v>
      </c>
      <c r="I40" s="8">
        <f t="shared" si="9"/>
        <v>6733.8255302997923</v>
      </c>
      <c r="J40" s="10">
        <f t="shared" si="2"/>
        <v>6881.2392944813446</v>
      </c>
      <c r="K40" s="10">
        <f t="shared" si="3"/>
        <v>6586.4117661182399</v>
      </c>
    </row>
    <row r="41" spans="2:17" x14ac:dyDescent="0.3">
      <c r="B41" s="9">
        <v>43915</v>
      </c>
      <c r="C41" s="4">
        <v>35</v>
      </c>
      <c r="D41" s="10">
        <f>'dpc-covid19-ita-andamento-naz'!L32</f>
        <v>74386</v>
      </c>
      <c r="E41" s="8">
        <f t="shared" si="8"/>
        <v>75190.398248655125</v>
      </c>
      <c r="F41" s="10">
        <f t="shared" si="6"/>
        <v>77609.416288062348</v>
      </c>
      <c r="G41" s="10">
        <f t="shared" si="7"/>
        <v>72771.380209247902</v>
      </c>
      <c r="H41" s="10">
        <f>'dpc-covid19-ita-andamento-naz'!K32</f>
        <v>7503</v>
      </c>
      <c r="I41" s="8">
        <f t="shared" si="9"/>
        <v>7473.7269136450504</v>
      </c>
      <c r="J41" s="10">
        <f t="shared" si="2"/>
        <v>7621.1406778266028</v>
      </c>
      <c r="K41" s="10">
        <f t="shared" si="3"/>
        <v>7326.3131494634981</v>
      </c>
    </row>
    <row r="42" spans="2:17" x14ac:dyDescent="0.3">
      <c r="B42" s="9">
        <v>43916</v>
      </c>
      <c r="C42" s="4">
        <v>36</v>
      </c>
      <c r="D42" s="10">
        <f>'dpc-covid19-ita-andamento-naz'!L33</f>
        <v>80539</v>
      </c>
      <c r="E42" s="8">
        <f t="shared" si="8"/>
        <v>80664.807961964558</v>
      </c>
      <c r="F42" s="10">
        <f t="shared" si="6"/>
        <v>83083.826001371781</v>
      </c>
      <c r="G42" s="10">
        <f t="shared" si="7"/>
        <v>78245.789922557335</v>
      </c>
      <c r="H42" s="10">
        <f>'dpc-covid19-ita-andamento-naz'!K33</f>
        <v>8165</v>
      </c>
      <c r="I42" s="8">
        <f t="shared" si="9"/>
        <v>8244.8594740846675</v>
      </c>
      <c r="J42" s="10">
        <f t="shared" si="2"/>
        <v>8392.2732382662198</v>
      </c>
      <c r="K42" s="10">
        <f t="shared" si="3"/>
        <v>8097.4457099031151</v>
      </c>
    </row>
    <row r="43" spans="2:17" x14ac:dyDescent="0.3">
      <c r="B43" s="9">
        <v>43917</v>
      </c>
      <c r="C43" s="4">
        <v>37</v>
      </c>
      <c r="D43" s="10">
        <f>'dpc-covid19-ita-andamento-naz'!L34</f>
        <v>86498</v>
      </c>
      <c r="E43" s="8">
        <f t="shared" si="8"/>
        <v>86057.933492463853</v>
      </c>
      <c r="F43" s="10">
        <f t="shared" si="6"/>
        <v>88476.951531871076</v>
      </c>
      <c r="G43" s="10">
        <f t="shared" si="7"/>
        <v>83638.91545305663</v>
      </c>
      <c r="H43" s="10">
        <f>'dpc-covid19-ita-andamento-naz'!K34</f>
        <v>9134</v>
      </c>
      <c r="I43" s="8">
        <f t="shared" si="9"/>
        <v>9044.0322547560463</v>
      </c>
      <c r="J43" s="10">
        <f t="shared" si="2"/>
        <v>9191.4460189375986</v>
      </c>
      <c r="K43" s="10">
        <f t="shared" si="3"/>
        <v>8896.618490574494</v>
      </c>
    </row>
    <row r="44" spans="2:17" x14ac:dyDescent="0.3">
      <c r="B44" s="9">
        <v>43918</v>
      </c>
      <c r="C44" s="4">
        <v>38</v>
      </c>
      <c r="D44" s="10">
        <f>'dpc-covid19-ita-andamento-naz'!L35</f>
        <v>92472</v>
      </c>
      <c r="E44" s="8">
        <f t="shared" si="8"/>
        <v>91339.200403306866</v>
      </c>
      <c r="F44" s="10">
        <f t="shared" si="6"/>
        <v>93758.218442714089</v>
      </c>
      <c r="G44" s="10">
        <f t="shared" si="7"/>
        <v>88920.182363899643</v>
      </c>
      <c r="H44" s="10">
        <f>'dpc-covid19-ita-andamento-naz'!K35</f>
        <v>10023</v>
      </c>
      <c r="I44" s="8">
        <f t="shared" si="9"/>
        <v>9867.8682673310959</v>
      </c>
      <c r="J44" s="10">
        <f t="shared" si="2"/>
        <v>10015.282031512648</v>
      </c>
      <c r="K44" s="10">
        <f t="shared" si="3"/>
        <v>9720.4545031495436</v>
      </c>
    </row>
    <row r="45" spans="2:17" x14ac:dyDescent="0.3">
      <c r="B45" s="9">
        <v>43919</v>
      </c>
      <c r="C45" s="4">
        <v>39</v>
      </c>
      <c r="D45" s="10">
        <f>'dpc-covid19-ita-andamento-naz'!L36</f>
        <v>97689</v>
      </c>
      <c r="E45" s="8">
        <f t="shared" si="8"/>
        <v>96481.615443348041</v>
      </c>
      <c r="F45" s="10">
        <f t="shared" si="6"/>
        <v>98900.633482755264</v>
      </c>
      <c r="G45" s="10">
        <f t="shared" si="7"/>
        <v>94062.597403940817</v>
      </c>
      <c r="H45" s="10">
        <f>'dpc-covid19-ita-andamento-naz'!K36</f>
        <v>10779</v>
      </c>
      <c r="I45" s="8">
        <f t="shared" si="9"/>
        <v>10712.856967190726</v>
      </c>
      <c r="J45" s="10">
        <f t="shared" si="2"/>
        <v>10860.270731372279</v>
      </c>
      <c r="K45" s="10">
        <f t="shared" si="3"/>
        <v>10565.443203009174</v>
      </c>
    </row>
    <row r="46" spans="2:17" x14ac:dyDescent="0.3">
      <c r="B46" s="9">
        <v>43920</v>
      </c>
      <c r="C46" s="4">
        <v>40</v>
      </c>
      <c r="D46" s="10">
        <f>'dpc-covid19-ita-andamento-naz'!L37</f>
        <v>101739</v>
      </c>
      <c r="E46" s="8">
        <f t="shared" si="8"/>
        <v>101461.89915463101</v>
      </c>
      <c r="F46" s="10">
        <f t="shared" si="6"/>
        <v>103880.91719403824</v>
      </c>
      <c r="G46" s="10">
        <f t="shared" si="7"/>
        <v>99042.88111522379</v>
      </c>
      <c r="H46" s="10">
        <f>'dpc-covid19-ita-andamento-naz'!K37</f>
        <v>11591</v>
      </c>
      <c r="I46" s="8">
        <f t="shared" si="9"/>
        <v>11575.405056297115</v>
      </c>
      <c r="J46" s="10">
        <f t="shared" si="2"/>
        <v>11722.818820478667</v>
      </c>
      <c r="K46" s="10">
        <f t="shared" si="3"/>
        <v>11427.991292115563</v>
      </c>
    </row>
    <row r="47" spans="2:17" x14ac:dyDescent="0.3">
      <c r="B47" s="9">
        <v>43921</v>
      </c>
      <c r="C47" s="4">
        <v>41</v>
      </c>
      <c r="D47" s="10">
        <f>'dpc-covid19-ita-andamento-naz'!L38</f>
        <v>105792</v>
      </c>
      <c r="E47" s="8">
        <f t="shared" si="8"/>
        <v>106260.51562643335</v>
      </c>
      <c r="F47" s="10">
        <f t="shared" si="6"/>
        <v>108679.53366584057</v>
      </c>
      <c r="G47" s="10">
        <f t="shared" si="7"/>
        <v>103841.49758702613</v>
      </c>
      <c r="H47" s="10">
        <f>'dpc-covid19-ita-andamento-naz'!K38</f>
        <v>12428</v>
      </c>
      <c r="I47" s="8">
        <f t="shared" si="9"/>
        <v>12451.884746159982</v>
      </c>
      <c r="J47" s="10">
        <f>I47+CIh</f>
        <v>12599.298510341534</v>
      </c>
      <c r="K47" s="10">
        <f>MAX(I47-CIh,0)</f>
        <v>12304.470981978429</v>
      </c>
    </row>
    <row r="48" spans="2:17" x14ac:dyDescent="0.3">
      <c r="B48" s="9">
        <v>43922</v>
      </c>
      <c r="C48" s="4">
        <v>42</v>
      </c>
      <c r="D48" s="10">
        <f>'dpc-covid19-ita-andamento-naz'!L39</f>
        <v>110574</v>
      </c>
      <c r="E48" s="8">
        <f t="shared" si="8"/>
        <v>110861.6136388536</v>
      </c>
      <c r="F48" s="10">
        <f t="shared" si="6"/>
        <v>113280.63167826082</v>
      </c>
      <c r="G48" s="10">
        <f t="shared" si="7"/>
        <v>108442.59559944637</v>
      </c>
      <c r="H48" s="10">
        <f>'dpc-covid19-ita-andamento-naz'!K39</f>
        <v>13155</v>
      </c>
      <c r="I48" s="8">
        <f t="shared" si="9"/>
        <v>13338.678781044098</v>
      </c>
      <c r="J48" s="10">
        <f>I48+CIh</f>
        <v>13486.092545225651</v>
      </c>
      <c r="K48" s="10">
        <f>MAX(I48-CIh,0)</f>
        <v>13191.265016862546</v>
      </c>
    </row>
    <row r="49" spans="2:9" x14ac:dyDescent="0.3">
      <c r="B49" s="9">
        <v>43923</v>
      </c>
      <c r="C49" s="4">
        <v>43</v>
      </c>
      <c r="E49" s="8">
        <f t="shared" si="8"/>
        <v>115252.89396978942</v>
      </c>
      <c r="I49" s="8">
        <f t="shared" si="9"/>
        <v>14232.221683689548</v>
      </c>
    </row>
    <row r="50" spans="2:9" x14ac:dyDescent="0.3">
      <c r="B50" s="9">
        <v>43924</v>
      </c>
      <c r="C50" s="4">
        <v>44</v>
      </c>
      <c r="E50" s="8">
        <f t="shared" si="8"/>
        <v>119425.41751183612</v>
      </c>
      <c r="I50" s="8">
        <f t="shared" si="9"/>
        <v>15129.036838368422</v>
      </c>
    </row>
    <row r="51" spans="2:9" x14ac:dyDescent="0.3">
      <c r="B51" s="9">
        <v>43925</v>
      </c>
      <c r="C51" s="4">
        <v>45</v>
      </c>
      <c r="E51" s="8">
        <f t="shared" si="8"/>
        <v>123373.36820397525</v>
      </c>
      <c r="I51" s="8">
        <f t="shared" si="9"/>
        <v>16025.769166201586</v>
      </c>
    </row>
    <row r="52" spans="2:9" x14ac:dyDescent="0.3">
      <c r="B52" s="9">
        <v>43926</v>
      </c>
      <c r="C52" s="4">
        <v>46</v>
      </c>
      <c r="E52" s="8">
        <f t="shared" si="8"/>
        <v>127093.78376145898</v>
      </c>
      <c r="I52" s="8">
        <f t="shared" si="9"/>
        <v>16919.213273365516</v>
      </c>
    </row>
    <row r="53" spans="2:9" x14ac:dyDescent="0.3">
      <c r="B53" s="9">
        <v>43927</v>
      </c>
      <c r="C53" s="4">
        <v>47</v>
      </c>
      <c r="E53" s="8">
        <f t="shared" si="8"/>
        <v>130586.26590688007</v>
      </c>
      <c r="I53" s="8">
        <f t="shared" si="9"/>
        <v>17806.337063010309</v>
      </c>
    </row>
    <row r="54" spans="2:9" x14ac:dyDescent="0.3">
      <c r="B54" s="9">
        <v>43928</v>
      </c>
      <c r="C54" s="4">
        <v>48</v>
      </c>
      <c r="E54" s="8">
        <f t="shared" si="8"/>
        <v>133852.68037064082</v>
      </c>
      <c r="I54" s="8">
        <f t="shared" si="9"/>
        <v>18684.300895948658</v>
      </c>
    </row>
    <row r="55" spans="2:9" x14ac:dyDescent="0.3">
      <c r="B55" s="9">
        <v>43929</v>
      </c>
      <c r="C55" s="4">
        <v>49</v>
      </c>
      <c r="E55" s="8">
        <f t="shared" si="8"/>
        <v>136896.85542725641</v>
      </c>
      <c r="I55" s="8">
        <f t="shared" si="9"/>
        <v>19550.472463587077</v>
      </c>
    </row>
    <row r="56" spans="2:9" x14ac:dyDescent="0.3">
      <c r="B56" s="9">
        <v>43930</v>
      </c>
      <c r="C56" s="4">
        <v>50</v>
      </c>
      <c r="E56" s="8">
        <f t="shared" si="8"/>
        <v>139724.28623540699</v>
      </c>
      <c r="I56" s="8">
        <f t="shared" si="9"/>
        <v>20402.437599722805</v>
      </c>
    </row>
    <row r="57" spans="2:9" x14ac:dyDescent="0.3">
      <c r="B57" s="9">
        <v>43931</v>
      </c>
      <c r="C57" s="4">
        <v>51</v>
      </c>
      <c r="E57" s="8">
        <f t="shared" si="8"/>
        <v>142341.85080851489</v>
      </c>
      <c r="I57" s="8">
        <f t="shared" si="9"/>
        <v>21238.007306626387</v>
      </c>
    </row>
    <row r="58" spans="2:9" x14ac:dyDescent="0.3">
      <c r="B58" s="9">
        <v>43932</v>
      </c>
      <c r="C58" s="4">
        <v>52</v>
      </c>
      <c r="E58" s="8">
        <f t="shared" si="8"/>
        <v>144757.54209838228</v>
      </c>
      <c r="I58" s="8">
        <f t="shared" si="9"/>
        <v>22055.221306414765</v>
      </c>
    </row>
    <row r="59" spans="2:9" x14ac:dyDescent="0.3">
      <c r="B59" s="9">
        <v>43933</v>
      </c>
      <c r="C59" s="4">
        <v>53</v>
      </c>
      <c r="E59" s="8">
        <f t="shared" si="8"/>
        <v>146980.21945380548</v>
      </c>
      <c r="I59" s="8">
        <f t="shared" si="9"/>
        <v>22852.348452392835</v>
      </c>
    </row>
    <row r="60" spans="2:9" x14ac:dyDescent="0.3">
      <c r="B60" s="9">
        <v>43934</v>
      </c>
      <c r="C60" s="4">
        <v>54</v>
      </c>
      <c r="E60" s="8">
        <f t="shared" si="8"/>
        <v>149019.38163496662</v>
      </c>
      <c r="I60" s="8">
        <f t="shared" si="9"/>
        <v>23627.884348189542</v>
      </c>
    </row>
    <row r="61" spans="2:9" x14ac:dyDescent="0.3">
      <c r="B61" s="9">
        <v>43935</v>
      </c>
      <c r="C61" s="4">
        <v>55</v>
      </c>
      <c r="E61" s="8">
        <f t="shared" si="8"/>
        <v>150884.96262979749</v>
      </c>
      <c r="I61" s="8">
        <f t="shared" si="9"/>
        <v>24380.546526553811</v>
      </c>
    </row>
    <row r="62" spans="2:9" x14ac:dyDescent="0.3">
      <c r="B62" s="9">
        <v>43936</v>
      </c>
      <c r="C62" s="4">
        <v>56</v>
      </c>
      <c r="E62" s="8">
        <f t="shared" si="8"/>
        <v>152587.15073040235</v>
      </c>
      <c r="I62" s="8">
        <f t="shared" si="9"/>
        <v>25109.267536003452</v>
      </c>
    </row>
    <row r="63" spans="2:9" x14ac:dyDescent="0.3">
      <c r="B63" s="9">
        <v>43937</v>
      </c>
      <c r="C63" s="4">
        <v>57</v>
      </c>
      <c r="E63" s="8">
        <f t="shared" si="8"/>
        <v>154136.23068065188</v>
      </c>
      <c r="I63" s="8">
        <f t="shared" si="9"/>
        <v>25813.186273478215</v>
      </c>
    </row>
    <row r="64" spans="2:9" x14ac:dyDescent="0.3">
      <c r="B64" s="9">
        <v>43938</v>
      </c>
      <c r="C64" s="4">
        <v>58</v>
      </c>
      <c r="E64" s="8">
        <f t="shared" si="8"/>
        <v>155542.44819104546</v>
      </c>
      <c r="I64" s="8">
        <f t="shared" si="9"/>
        <v>26491.637886002361</v>
      </c>
    </row>
    <row r="65" spans="2:9" x14ac:dyDescent="0.3">
      <c r="B65" s="9">
        <v>43939</v>
      </c>
      <c r="C65" s="4">
        <v>59</v>
      </c>
      <c r="E65" s="8">
        <f t="shared" si="8"/>
        <v>156815.89572212417</v>
      </c>
      <c r="I65" s="8">
        <f t="shared" si="9"/>
        <v>27144.142545270999</v>
      </c>
    </row>
    <row r="66" spans="2:9" x14ac:dyDescent="0.3">
      <c r="B66" s="9">
        <v>43940</v>
      </c>
      <c r="C66" s="4">
        <v>60</v>
      </c>
      <c r="E66" s="8">
        <f t="shared" si="8"/>
        <v>157966.41814986651</v>
      </c>
      <c r="I66" s="8">
        <f t="shared" si="9"/>
        <v>27770.393377090852</v>
      </c>
    </row>
    <row r="67" spans="2:9" x14ac:dyDescent="0.3">
      <c r="B67" s="9">
        <v>43941</v>
      </c>
      <c r="C67" s="4">
        <v>61</v>
      </c>
      <c r="E67" s="8">
        <f t="shared" si="8"/>
        <v>159003.53673172163</v>
      </c>
      <c r="I67" s="8">
        <f t="shared" si="9"/>
        <v>28370.243803665267</v>
      </c>
    </row>
    <row r="68" spans="2:9" x14ac:dyDescent="0.3">
      <c r="B68" s="9">
        <v>43942</v>
      </c>
      <c r="C68" s="4">
        <v>62</v>
      </c>
      <c r="E68" s="8">
        <f t="shared" si="8"/>
        <v>159936.3896763738</v>
      </c>
      <c r="I68" s="8">
        <f t="shared" si="9"/>
        <v>28943.694531623016</v>
      </c>
    </row>
    <row r="69" spans="2:9" x14ac:dyDescent="0.3">
      <c r="B69" s="9">
        <v>43943</v>
      </c>
      <c r="C69" s="4">
        <v>63</v>
      </c>
      <c r="E69" s="8">
        <f t="shared" si="8"/>
        <v>160773.68757064303</v>
      </c>
      <c r="I69" s="8">
        <f t="shared" si="9"/>
        <v>29490.880393154082</v>
      </c>
    </row>
    <row r="70" spans="2:9" x14ac:dyDescent="0.3">
      <c r="B70" s="9">
        <v>43944</v>
      </c>
      <c r="C70" s="4">
        <v>64</v>
      </c>
      <c r="E70" s="8">
        <f t="shared" si="8"/>
        <v>161523.68192065132</v>
      </c>
      <c r="I70" s="8">
        <f t="shared" si="9"/>
        <v>30012.057222211013</v>
      </c>
    </row>
    <row r="71" spans="2:9" x14ac:dyDescent="0.3">
      <c r="B71" s="9"/>
      <c r="C71" s="4"/>
      <c r="E71" s="8"/>
      <c r="I71" s="8"/>
    </row>
    <row r="72" spans="2:9" x14ac:dyDescent="0.3">
      <c r="B72" s="9"/>
      <c r="C72" s="4"/>
      <c r="E72" s="8"/>
      <c r="I72" s="8"/>
    </row>
    <row r="73" spans="2:9" x14ac:dyDescent="0.3">
      <c r="B73" s="9"/>
      <c r="C73" s="4"/>
      <c r="E73" s="8"/>
      <c r="I73" s="8"/>
    </row>
    <row r="74" spans="2:9" x14ac:dyDescent="0.3">
      <c r="B74" s="9"/>
      <c r="C74" s="4"/>
      <c r="E74" s="8"/>
      <c r="I74" s="8"/>
    </row>
    <row r="75" spans="2:9" x14ac:dyDescent="0.3">
      <c r="B75" s="9"/>
      <c r="C75" s="4"/>
      <c r="E75" s="8"/>
      <c r="I75" s="8"/>
    </row>
    <row r="76" spans="2:9" x14ac:dyDescent="0.3">
      <c r="B76" s="9"/>
      <c r="C76" s="4"/>
      <c r="E76" s="8"/>
      <c r="I76" s="8"/>
    </row>
    <row r="77" spans="2:9" x14ac:dyDescent="0.3">
      <c r="B77" s="9"/>
      <c r="C77" s="4"/>
      <c r="E77" s="8"/>
      <c r="I77" s="8"/>
    </row>
    <row r="78" spans="2:9" x14ac:dyDescent="0.3">
      <c r="B78" s="9"/>
      <c r="C78" s="4"/>
      <c r="E78" s="8"/>
      <c r="I78" s="8"/>
    </row>
    <row r="79" spans="2:9" x14ac:dyDescent="0.3">
      <c r="B79" s="9"/>
      <c r="C79" s="4"/>
      <c r="E79" s="8"/>
      <c r="I79" s="8"/>
    </row>
    <row r="80" spans="2:9" x14ac:dyDescent="0.3">
      <c r="B80" s="9"/>
      <c r="C80" s="4"/>
      <c r="E80" s="8"/>
      <c r="I80" s="8"/>
    </row>
    <row r="81" spans="2:9" x14ac:dyDescent="0.3">
      <c r="B81" s="9"/>
      <c r="C81" s="4"/>
      <c r="E81" s="8"/>
      <c r="I81" s="8"/>
    </row>
    <row r="82" spans="2:9" x14ac:dyDescent="0.3">
      <c r="B82" s="9"/>
      <c r="C82" s="4"/>
      <c r="E82" s="8"/>
      <c r="I82" s="8"/>
    </row>
    <row r="83" spans="2:9" x14ac:dyDescent="0.3">
      <c r="B83" s="9"/>
      <c r="C83" s="4"/>
      <c r="E83" s="8"/>
      <c r="I83" s="8"/>
    </row>
    <row r="84" spans="2:9" x14ac:dyDescent="0.3">
      <c r="B84" s="9"/>
      <c r="C84" s="4"/>
      <c r="E84" s="8"/>
      <c r="I84" s="8"/>
    </row>
    <row r="85" spans="2:9" x14ac:dyDescent="0.3">
      <c r="B85" s="9"/>
      <c r="C85" s="4"/>
      <c r="E85" s="8"/>
      <c r="I85" s="8"/>
    </row>
    <row r="86" spans="2:9" x14ac:dyDescent="0.3">
      <c r="B86" s="9"/>
      <c r="C86" s="4"/>
      <c r="E86" s="8"/>
      <c r="I86" s="8"/>
    </row>
    <row r="87" spans="2:9" x14ac:dyDescent="0.3">
      <c r="B87" s="9"/>
      <c r="C87" s="4"/>
      <c r="E87" s="8"/>
      <c r="I87" s="8"/>
    </row>
    <row r="88" spans="2:9" x14ac:dyDescent="0.3">
      <c r="B88" s="9"/>
      <c r="C88" s="4"/>
      <c r="E88" s="8"/>
      <c r="I88" s="8"/>
    </row>
    <row r="89" spans="2:9" x14ac:dyDescent="0.3">
      <c r="B89" s="9"/>
      <c r="C89" s="4"/>
      <c r="E89" s="8"/>
      <c r="I89" s="8"/>
    </row>
    <row r="90" spans="2:9" x14ac:dyDescent="0.3">
      <c r="B90" s="9"/>
      <c r="C90" s="4"/>
      <c r="E90" s="8"/>
      <c r="I90" s="8"/>
    </row>
    <row r="91" spans="2:9" x14ac:dyDescent="0.3">
      <c r="B91" s="9"/>
      <c r="C91" s="4"/>
      <c r="E91" s="8"/>
      <c r="I91" s="8"/>
    </row>
    <row r="92" spans="2:9" x14ac:dyDescent="0.3">
      <c r="B92" s="9"/>
      <c r="C92" s="4"/>
      <c r="E92" s="8"/>
      <c r="I92" s="8"/>
    </row>
    <row r="93" spans="2:9" x14ac:dyDescent="0.3">
      <c r="B93" s="9"/>
      <c r="C93" s="4"/>
      <c r="E93" s="8"/>
      <c r="I93" s="8"/>
    </row>
    <row r="94" spans="2:9" x14ac:dyDescent="0.3">
      <c r="B94" s="9"/>
      <c r="C94" s="4"/>
      <c r="E94" s="8"/>
      <c r="I94" s="8"/>
    </row>
    <row r="95" spans="2:9" x14ac:dyDescent="0.3">
      <c r="B95" s="9"/>
      <c r="C95" s="4"/>
      <c r="E95" s="8"/>
      <c r="I95" s="8"/>
    </row>
    <row r="96" spans="2:9" x14ac:dyDescent="0.3">
      <c r="B96" s="9"/>
      <c r="C96" s="4"/>
      <c r="E96" s="8"/>
      <c r="I96" s="8"/>
    </row>
    <row r="97" spans="2:9" x14ac:dyDescent="0.3">
      <c r="B97" s="9"/>
      <c r="C97" s="4"/>
      <c r="E97" s="8"/>
      <c r="I97" s="8"/>
    </row>
    <row r="98" spans="2:9" x14ac:dyDescent="0.3">
      <c r="B98" s="9"/>
      <c r="C98" s="4"/>
      <c r="E98" s="8"/>
      <c r="I98" s="8"/>
    </row>
    <row r="99" spans="2:9" x14ac:dyDescent="0.3">
      <c r="B99" s="9"/>
      <c r="C99" s="4"/>
      <c r="E99" s="8"/>
      <c r="I99" s="8"/>
    </row>
    <row r="100" spans="2:9" x14ac:dyDescent="0.3">
      <c r="B100" s="9"/>
      <c r="C100" s="4"/>
      <c r="E100" s="8"/>
      <c r="I100" s="8"/>
    </row>
    <row r="101" spans="2:9" x14ac:dyDescent="0.3">
      <c r="B101" s="9"/>
      <c r="C101" s="4"/>
      <c r="E101" s="8"/>
      <c r="I101" s="8"/>
    </row>
    <row r="102" spans="2:9" x14ac:dyDescent="0.3">
      <c r="B102" s="9"/>
      <c r="C102" s="4"/>
      <c r="E102" s="8"/>
      <c r="I102" s="8"/>
    </row>
    <row r="103" spans="2:9" x14ac:dyDescent="0.3">
      <c r="B103" s="9"/>
      <c r="C103" s="4"/>
      <c r="E103" s="8"/>
      <c r="I103" s="8"/>
    </row>
    <row r="104" spans="2:9" x14ac:dyDescent="0.3">
      <c r="B104" s="9"/>
      <c r="C104" s="4"/>
      <c r="E104" s="8"/>
      <c r="I104" s="8"/>
    </row>
    <row r="105" spans="2:9" x14ac:dyDescent="0.3">
      <c r="B105" s="9"/>
      <c r="C105" s="4"/>
      <c r="E105" s="8"/>
      <c r="I105" s="8"/>
    </row>
    <row r="106" spans="2:9" x14ac:dyDescent="0.3">
      <c r="B106" s="9"/>
      <c r="C106" s="4"/>
      <c r="E106" s="8"/>
      <c r="I106" s="8"/>
    </row>
    <row r="107" spans="2:9" x14ac:dyDescent="0.3">
      <c r="B107" s="9"/>
      <c r="C107" s="4"/>
      <c r="E107" s="8"/>
      <c r="I107" s="8"/>
    </row>
    <row r="108" spans="2:9" x14ac:dyDescent="0.3">
      <c r="B108" s="9"/>
      <c r="C108" s="4"/>
      <c r="E108" s="8"/>
      <c r="I108" s="8"/>
    </row>
    <row r="109" spans="2:9" x14ac:dyDescent="0.3">
      <c r="B109" s="9"/>
      <c r="C109" s="4"/>
      <c r="E109" s="8"/>
      <c r="I109" s="8"/>
    </row>
    <row r="110" spans="2:9" x14ac:dyDescent="0.3">
      <c r="B110" s="9"/>
      <c r="C110" s="4"/>
      <c r="E110" s="8"/>
      <c r="I110" s="8"/>
    </row>
    <row r="111" spans="2:9" x14ac:dyDescent="0.3">
      <c r="B111" s="9"/>
      <c r="C111" s="4"/>
      <c r="E111" s="8"/>
      <c r="I111" s="8"/>
    </row>
    <row r="112" spans="2:9" x14ac:dyDescent="0.3">
      <c r="B112" s="9"/>
      <c r="C112" s="4"/>
      <c r="E112" s="8"/>
      <c r="I112" s="8"/>
    </row>
    <row r="113" spans="2:9" x14ac:dyDescent="0.3">
      <c r="B113" s="9"/>
      <c r="C113" s="4"/>
      <c r="E113" s="8"/>
      <c r="I113" s="8"/>
    </row>
    <row r="114" spans="2:9" x14ac:dyDescent="0.3">
      <c r="B114" s="9"/>
      <c r="C114" s="4"/>
      <c r="E114" s="8"/>
      <c r="I114" s="8"/>
    </row>
    <row r="115" spans="2:9" x14ac:dyDescent="0.3">
      <c r="B115" s="9"/>
      <c r="C115" s="4"/>
      <c r="E115" s="8"/>
      <c r="I115" s="8"/>
    </row>
    <row r="116" spans="2:9" x14ac:dyDescent="0.3">
      <c r="B116" s="9"/>
      <c r="C116" s="4"/>
      <c r="E116" s="8"/>
      <c r="I116" s="8"/>
    </row>
    <row r="117" spans="2:9" x14ac:dyDescent="0.3">
      <c r="B117" s="9"/>
      <c r="C117" s="4"/>
      <c r="E117" s="8"/>
      <c r="I117" s="8"/>
    </row>
    <row r="118" spans="2:9" x14ac:dyDescent="0.3">
      <c r="B118" s="9"/>
      <c r="C118" s="4"/>
      <c r="E118" s="8"/>
      <c r="I118" s="8"/>
    </row>
    <row r="119" spans="2:9" x14ac:dyDescent="0.3">
      <c r="B119" s="9"/>
      <c r="C119" s="4"/>
      <c r="E119" s="8"/>
      <c r="I119" s="8"/>
    </row>
    <row r="120" spans="2:9" x14ac:dyDescent="0.3">
      <c r="B120" s="9"/>
      <c r="C120" s="4"/>
      <c r="E120" s="8"/>
      <c r="I120" s="8"/>
    </row>
    <row r="121" spans="2:9" x14ac:dyDescent="0.3">
      <c r="B121" s="9"/>
      <c r="C121" s="4"/>
      <c r="E121" s="8"/>
      <c r="I121" s="8"/>
    </row>
    <row r="122" spans="2:9" x14ac:dyDescent="0.3">
      <c r="B122" s="9"/>
      <c r="C122" s="4"/>
      <c r="E122" s="8"/>
      <c r="I122" s="8"/>
    </row>
    <row r="123" spans="2:9" x14ac:dyDescent="0.3">
      <c r="B123" s="9"/>
      <c r="C123" s="4"/>
      <c r="E123" s="8"/>
      <c r="I123" s="8"/>
    </row>
    <row r="124" spans="2:9" x14ac:dyDescent="0.3">
      <c r="B124" s="9"/>
      <c r="C124" s="4"/>
      <c r="E124" s="8"/>
      <c r="I124" s="8"/>
    </row>
    <row r="125" spans="2:9" x14ac:dyDescent="0.3">
      <c r="B125" s="9"/>
      <c r="C125" s="4"/>
      <c r="E125" s="8"/>
      <c r="I125" s="8"/>
    </row>
    <row r="126" spans="2:9" x14ac:dyDescent="0.3">
      <c r="B126" s="9"/>
      <c r="C126" s="4"/>
      <c r="E126" s="8"/>
      <c r="I126" s="8"/>
    </row>
    <row r="127" spans="2:9" x14ac:dyDescent="0.3">
      <c r="B127" s="9"/>
      <c r="C127" s="4"/>
      <c r="E127" s="8"/>
      <c r="I127" s="8"/>
    </row>
    <row r="128" spans="2:9" x14ac:dyDescent="0.3">
      <c r="B128" s="9"/>
      <c r="C128" s="4"/>
      <c r="E128" s="8"/>
      <c r="I128" s="8"/>
    </row>
    <row r="129" spans="2:9" x14ac:dyDescent="0.3">
      <c r="B129" s="9"/>
      <c r="C129" s="4"/>
      <c r="E129" s="8"/>
      <c r="I129" s="8"/>
    </row>
    <row r="130" spans="2:9" x14ac:dyDescent="0.3">
      <c r="B130" s="9"/>
      <c r="C130" s="4"/>
      <c r="E130" s="8"/>
      <c r="I130" s="8"/>
    </row>
    <row r="131" spans="2:9" x14ac:dyDescent="0.3">
      <c r="B131" s="9"/>
      <c r="C131" s="4"/>
      <c r="E131" s="8"/>
      <c r="I131" s="8"/>
    </row>
    <row r="132" spans="2:9" x14ac:dyDescent="0.3">
      <c r="B132" s="9"/>
      <c r="C132" s="4"/>
      <c r="E132" s="8"/>
      <c r="I132" s="8"/>
    </row>
    <row r="133" spans="2:9" x14ac:dyDescent="0.3">
      <c r="B133" s="9"/>
      <c r="C133" s="4"/>
      <c r="E133" s="8"/>
      <c r="I133" s="8"/>
    </row>
    <row r="134" spans="2:9" x14ac:dyDescent="0.3">
      <c r="B134" s="9"/>
      <c r="C134" s="4"/>
      <c r="E134" s="8"/>
      <c r="I134" s="8"/>
    </row>
    <row r="135" spans="2:9" x14ac:dyDescent="0.3">
      <c r="B135" s="9"/>
      <c r="C135" s="4"/>
      <c r="E135" s="8"/>
      <c r="I135" s="8"/>
    </row>
    <row r="136" spans="2:9" x14ac:dyDescent="0.3">
      <c r="B136" s="9"/>
      <c r="C136" s="4"/>
      <c r="E136" s="8"/>
      <c r="I136" s="8"/>
    </row>
    <row r="137" spans="2:9" x14ac:dyDescent="0.3">
      <c r="B137" s="9"/>
      <c r="C137" s="4"/>
      <c r="E137" s="8"/>
      <c r="I137" s="8"/>
    </row>
    <row r="138" spans="2:9" x14ac:dyDescent="0.3">
      <c r="B138" s="9"/>
      <c r="C138" s="4"/>
      <c r="E138" s="8"/>
      <c r="I138" s="8"/>
    </row>
    <row r="139" spans="2:9" x14ac:dyDescent="0.3">
      <c r="B139" s="9"/>
      <c r="C139" s="4"/>
      <c r="E139" s="8"/>
      <c r="I139" s="8"/>
    </row>
    <row r="140" spans="2:9" x14ac:dyDescent="0.3">
      <c r="B140" s="9"/>
      <c r="C140" s="4"/>
      <c r="E140" s="8"/>
      <c r="I140" s="8"/>
    </row>
    <row r="141" spans="2:9" x14ac:dyDescent="0.3">
      <c r="B141" s="9"/>
      <c r="C141" s="4"/>
      <c r="E141" s="8"/>
      <c r="I141" s="8"/>
    </row>
    <row r="142" spans="2:9" x14ac:dyDescent="0.3">
      <c r="B142" s="9"/>
      <c r="C142" s="4"/>
      <c r="E142" s="8"/>
      <c r="I142" s="8"/>
    </row>
    <row r="143" spans="2:9" x14ac:dyDescent="0.3">
      <c r="B143" s="9"/>
      <c r="C143" s="4"/>
      <c r="E143" s="8"/>
      <c r="I143" s="8"/>
    </row>
    <row r="144" spans="2:9" x14ac:dyDescent="0.3">
      <c r="B144" s="9"/>
      <c r="C144" s="4"/>
      <c r="E144" s="8"/>
      <c r="I144" s="8"/>
    </row>
    <row r="145" spans="2:9" x14ac:dyDescent="0.3">
      <c r="B145" s="9"/>
      <c r="C145" s="4"/>
      <c r="E145" s="8"/>
      <c r="I145" s="8"/>
    </row>
    <row r="146" spans="2:9" x14ac:dyDescent="0.3">
      <c r="B146" s="9"/>
      <c r="C146" s="4"/>
      <c r="E146" s="8"/>
      <c r="I146" s="8"/>
    </row>
    <row r="147" spans="2:9" x14ac:dyDescent="0.3">
      <c r="B147" s="9"/>
      <c r="C147" s="4"/>
      <c r="E147" s="8"/>
      <c r="I147" s="8"/>
    </row>
    <row r="148" spans="2:9" x14ac:dyDescent="0.3">
      <c r="B148" s="9"/>
      <c r="C148" s="4"/>
      <c r="E148" s="8"/>
      <c r="I148" s="8"/>
    </row>
    <row r="149" spans="2:9" x14ac:dyDescent="0.3">
      <c r="B149" s="9"/>
      <c r="C149" s="4"/>
      <c r="E149" s="8"/>
      <c r="I149" s="8"/>
    </row>
    <row r="150" spans="2:9" x14ac:dyDescent="0.3">
      <c r="B150" s="9"/>
      <c r="C150" s="4"/>
      <c r="E150" s="8"/>
      <c r="I150" s="8"/>
    </row>
    <row r="151" spans="2:9" x14ac:dyDescent="0.3">
      <c r="B151" s="9"/>
      <c r="C151" s="4"/>
      <c r="E151" s="8"/>
      <c r="I151" s="8"/>
    </row>
    <row r="152" spans="2:9" x14ac:dyDescent="0.3">
      <c r="B152" s="9"/>
      <c r="C152" s="4"/>
      <c r="E152" s="8"/>
      <c r="I152" s="8"/>
    </row>
    <row r="153" spans="2:9" x14ac:dyDescent="0.3">
      <c r="B153" s="9"/>
      <c r="C153" s="4"/>
      <c r="E153" s="8"/>
      <c r="I153" s="8"/>
    </row>
    <row r="154" spans="2:9" x14ac:dyDescent="0.3">
      <c r="B154" s="9"/>
      <c r="C154" s="4"/>
      <c r="E154" s="8"/>
      <c r="I154" s="8"/>
    </row>
    <row r="155" spans="2:9" x14ac:dyDescent="0.3">
      <c r="B155" s="9"/>
      <c r="C155" s="4"/>
      <c r="E155" s="8"/>
      <c r="I155" s="8"/>
    </row>
    <row r="156" spans="2:9" x14ac:dyDescent="0.3">
      <c r="B156" s="9"/>
      <c r="C156" s="4"/>
      <c r="E156" s="8"/>
      <c r="I156" s="8"/>
    </row>
    <row r="157" spans="2:9" x14ac:dyDescent="0.3">
      <c r="B157" s="9"/>
      <c r="C157" s="4"/>
      <c r="E157" s="8"/>
      <c r="I157" s="8"/>
    </row>
    <row r="158" spans="2:9" x14ac:dyDescent="0.3">
      <c r="B158" s="9"/>
      <c r="C158" s="4"/>
      <c r="E158" s="8"/>
      <c r="I158" s="8"/>
    </row>
    <row r="159" spans="2:9" x14ac:dyDescent="0.3">
      <c r="B159" s="9"/>
      <c r="C159" s="4"/>
      <c r="E159" s="8"/>
      <c r="I159" s="8"/>
    </row>
    <row r="160" spans="2:9" x14ac:dyDescent="0.3">
      <c r="B160" s="9"/>
      <c r="C160" s="4"/>
      <c r="E160" s="8"/>
      <c r="I160" s="8"/>
    </row>
    <row r="161" spans="2:9" x14ac:dyDescent="0.3">
      <c r="B161" s="9"/>
      <c r="C161" s="4"/>
      <c r="E161" s="8"/>
      <c r="I161" s="8"/>
    </row>
    <row r="162" spans="2:9" x14ac:dyDescent="0.3">
      <c r="B162" s="9"/>
      <c r="C162" s="4"/>
      <c r="E162" s="8"/>
      <c r="I162" s="8"/>
    </row>
    <row r="163" spans="2:9" x14ac:dyDescent="0.3">
      <c r="B163" s="9"/>
      <c r="C163" s="4"/>
      <c r="E163" s="8"/>
      <c r="I163" s="8"/>
    </row>
    <row r="164" spans="2:9" x14ac:dyDescent="0.3">
      <c r="B164" s="9"/>
      <c r="C164" s="4"/>
      <c r="E164" s="8"/>
      <c r="I164" s="8"/>
    </row>
    <row r="165" spans="2:9" x14ac:dyDescent="0.3">
      <c r="B165" s="9"/>
      <c r="C165" s="4"/>
      <c r="E165" s="8"/>
      <c r="I165" s="8"/>
    </row>
    <row r="166" spans="2:9" x14ac:dyDescent="0.3">
      <c r="B166" s="9"/>
      <c r="C166" s="4"/>
      <c r="E166" s="8"/>
      <c r="I166" s="8"/>
    </row>
    <row r="167" spans="2:9" x14ac:dyDescent="0.3">
      <c r="B167" s="9"/>
      <c r="C167" s="4"/>
      <c r="E167" s="8"/>
      <c r="I167" s="8"/>
    </row>
    <row r="168" spans="2:9" x14ac:dyDescent="0.3">
      <c r="B168" s="9"/>
      <c r="C168" s="4"/>
      <c r="E168" s="8"/>
      <c r="I168" s="8"/>
    </row>
    <row r="169" spans="2:9" x14ac:dyDescent="0.3">
      <c r="B169" s="9"/>
      <c r="C169" s="4"/>
      <c r="E169" s="8"/>
      <c r="I169" s="8"/>
    </row>
    <row r="170" spans="2:9" x14ac:dyDescent="0.3">
      <c r="B170" s="9"/>
      <c r="C170" s="4"/>
      <c r="E170" s="8"/>
      <c r="I170" s="8"/>
    </row>
    <row r="171" spans="2:9" x14ac:dyDescent="0.3">
      <c r="B171" s="9"/>
      <c r="C171" s="4"/>
      <c r="E171" s="8"/>
      <c r="I171" s="8"/>
    </row>
    <row r="172" spans="2:9" x14ac:dyDescent="0.3">
      <c r="B172" s="9"/>
      <c r="C172" s="4"/>
      <c r="E172" s="8"/>
      <c r="I172" s="8"/>
    </row>
    <row r="173" spans="2:9" x14ac:dyDescent="0.3">
      <c r="B173" s="9"/>
      <c r="C173" s="4"/>
      <c r="E173" s="8"/>
      <c r="I173" s="8"/>
    </row>
    <row r="174" spans="2:9" x14ac:dyDescent="0.3">
      <c r="B174" s="9"/>
      <c r="C174" s="4"/>
      <c r="E174" s="8"/>
      <c r="I174" s="8"/>
    </row>
    <row r="175" spans="2:9" x14ac:dyDescent="0.3">
      <c r="B175" s="9"/>
      <c r="C175" s="4"/>
      <c r="E175" s="8"/>
      <c r="I175" s="8"/>
    </row>
    <row r="176" spans="2:9" x14ac:dyDescent="0.3">
      <c r="B176" s="9"/>
      <c r="C176" s="4"/>
      <c r="E176" s="8"/>
      <c r="I176" s="8"/>
    </row>
    <row r="177" spans="2:9" x14ac:dyDescent="0.3">
      <c r="B177" s="9"/>
      <c r="C177" s="4"/>
      <c r="E177" s="8"/>
      <c r="I177" s="8"/>
    </row>
    <row r="178" spans="2:9" x14ac:dyDescent="0.3">
      <c r="B178" s="9"/>
      <c r="C178" s="4"/>
      <c r="E178" s="8"/>
      <c r="I178" s="8"/>
    </row>
    <row r="179" spans="2:9" x14ac:dyDescent="0.3">
      <c r="B179" s="9"/>
      <c r="C179" s="4"/>
      <c r="E179" s="8"/>
      <c r="I179" s="8"/>
    </row>
    <row r="180" spans="2:9" x14ac:dyDescent="0.3">
      <c r="B180" s="9"/>
      <c r="C180" s="4"/>
      <c r="E180" s="8"/>
      <c r="I180" s="8"/>
    </row>
    <row r="181" spans="2:9" x14ac:dyDescent="0.3">
      <c r="B181" s="9"/>
      <c r="C181" s="4"/>
      <c r="E181" s="8"/>
      <c r="I181" s="8"/>
    </row>
    <row r="182" spans="2:9" x14ac:dyDescent="0.3">
      <c r="B182" s="9"/>
      <c r="C182" s="4"/>
      <c r="E182" s="8"/>
      <c r="I182" s="8"/>
    </row>
    <row r="183" spans="2:9" x14ac:dyDescent="0.3">
      <c r="B183" s="9"/>
      <c r="C183" s="4"/>
      <c r="E183" s="8"/>
      <c r="I183" s="8"/>
    </row>
    <row r="184" spans="2:9" x14ac:dyDescent="0.3">
      <c r="B184" s="9"/>
      <c r="C184" s="4"/>
      <c r="E184" s="8"/>
      <c r="I184" s="8"/>
    </row>
    <row r="185" spans="2:9" x14ac:dyDescent="0.3">
      <c r="B185" s="9"/>
      <c r="C185" s="4"/>
      <c r="E185" s="8"/>
      <c r="I185" s="8"/>
    </row>
    <row r="186" spans="2:9" x14ac:dyDescent="0.3">
      <c r="B186" s="9"/>
      <c r="C186" s="4"/>
      <c r="E186" s="8"/>
      <c r="I186" s="8"/>
    </row>
    <row r="187" spans="2:9" x14ac:dyDescent="0.3">
      <c r="B187" s="9"/>
      <c r="C187" s="4"/>
      <c r="E187" s="8"/>
      <c r="I187" s="8"/>
    </row>
    <row r="188" spans="2:9" x14ac:dyDescent="0.3">
      <c r="B188" s="9"/>
      <c r="C188" s="4"/>
      <c r="E188" s="8"/>
      <c r="I188" s="8"/>
    </row>
    <row r="189" spans="2:9" x14ac:dyDescent="0.3">
      <c r="B189" s="9"/>
      <c r="C189" s="4"/>
      <c r="E189" s="8"/>
      <c r="I189" s="8"/>
    </row>
    <row r="190" spans="2:9" x14ac:dyDescent="0.3">
      <c r="B190" s="9"/>
      <c r="C190" s="4"/>
      <c r="E190" s="8"/>
      <c r="I190" s="8"/>
    </row>
    <row r="191" spans="2:9" x14ac:dyDescent="0.3">
      <c r="B191" s="9"/>
      <c r="C191" s="4"/>
      <c r="E191" s="8"/>
      <c r="I191" s="8"/>
    </row>
    <row r="192" spans="2:9" x14ac:dyDescent="0.3">
      <c r="B192" s="9"/>
      <c r="C192" s="4"/>
      <c r="E192" s="8"/>
      <c r="I192" s="8"/>
    </row>
    <row r="193" spans="2:9" x14ac:dyDescent="0.3">
      <c r="B193" s="9"/>
      <c r="C193" s="4"/>
      <c r="E193" s="8"/>
      <c r="I193" s="8"/>
    </row>
    <row r="194" spans="2:9" x14ac:dyDescent="0.3">
      <c r="B194" s="9"/>
      <c r="C194" s="4"/>
      <c r="E194" s="8"/>
      <c r="I194" s="8"/>
    </row>
    <row r="195" spans="2:9" x14ac:dyDescent="0.3">
      <c r="B195" s="9"/>
      <c r="C195" s="4"/>
      <c r="E195" s="8"/>
      <c r="I195" s="8"/>
    </row>
    <row r="196" spans="2:9" x14ac:dyDescent="0.3">
      <c r="B196" s="9"/>
      <c r="C196" s="4"/>
      <c r="E196" s="8"/>
      <c r="I196" s="8"/>
    </row>
    <row r="197" spans="2:9" x14ac:dyDescent="0.3">
      <c r="B197" s="9"/>
      <c r="C197" s="4"/>
      <c r="E197" s="8"/>
      <c r="I197" s="8"/>
    </row>
    <row r="198" spans="2:9" x14ac:dyDescent="0.3">
      <c r="B198" s="9"/>
      <c r="C198" s="4"/>
      <c r="E198" s="8"/>
      <c r="I198" s="8"/>
    </row>
    <row r="199" spans="2:9" x14ac:dyDescent="0.3">
      <c r="B199" s="9"/>
      <c r="C199" s="4"/>
      <c r="E199" s="8"/>
      <c r="I199" s="8"/>
    </row>
    <row r="200" spans="2:9" x14ac:dyDescent="0.3">
      <c r="B200" s="9"/>
      <c r="C200" s="4"/>
      <c r="E200" s="8"/>
      <c r="I200" s="8"/>
    </row>
    <row r="201" spans="2:9" x14ac:dyDescent="0.3">
      <c r="B201" s="9"/>
      <c r="C201" s="4"/>
      <c r="E201" s="8"/>
      <c r="I201" s="8"/>
    </row>
    <row r="202" spans="2:9" x14ac:dyDescent="0.3">
      <c r="B202" s="9"/>
      <c r="C202" s="4"/>
      <c r="E202" s="8"/>
      <c r="I202" s="8"/>
    </row>
    <row r="203" spans="2:9" x14ac:dyDescent="0.3">
      <c r="B203" s="9"/>
      <c r="C203" s="4"/>
      <c r="E203" s="8"/>
      <c r="I203" s="8"/>
    </row>
    <row r="204" spans="2:9" x14ac:dyDescent="0.3">
      <c r="B204" s="9"/>
      <c r="C204" s="4"/>
      <c r="E204" s="8"/>
      <c r="I204" s="8"/>
    </row>
    <row r="205" spans="2:9" x14ac:dyDescent="0.3">
      <c r="B205" s="9"/>
      <c r="C205" s="4"/>
      <c r="E205" s="8"/>
      <c r="I205" s="8"/>
    </row>
    <row r="206" spans="2:9" x14ac:dyDescent="0.3">
      <c r="B206" s="9"/>
      <c r="C206" s="4"/>
      <c r="E206" s="8"/>
      <c r="I206" s="8"/>
    </row>
    <row r="207" spans="2:9" x14ac:dyDescent="0.3">
      <c r="B207" s="9"/>
      <c r="C207" s="4"/>
      <c r="E207" s="8"/>
      <c r="I207" s="8"/>
    </row>
    <row r="208" spans="2:9" x14ac:dyDescent="0.3">
      <c r="B208" s="9"/>
      <c r="C208" s="4"/>
      <c r="E208" s="8"/>
      <c r="I208" s="8"/>
    </row>
    <row r="209" spans="2:9" x14ac:dyDescent="0.3">
      <c r="B209" s="9"/>
      <c r="C209" s="4"/>
      <c r="E209" s="8"/>
      <c r="I209" s="8"/>
    </row>
    <row r="210" spans="2:9" x14ac:dyDescent="0.3">
      <c r="B210" s="9"/>
      <c r="C210" s="4"/>
      <c r="E210" s="8"/>
      <c r="I210" s="8"/>
    </row>
    <row r="211" spans="2:9" x14ac:dyDescent="0.3">
      <c r="B211" s="9"/>
      <c r="C211" s="4"/>
      <c r="E211" s="8"/>
      <c r="I211" s="8"/>
    </row>
    <row r="212" spans="2:9" x14ac:dyDescent="0.3">
      <c r="B212" s="9"/>
      <c r="C212" s="4"/>
      <c r="E212" s="8"/>
      <c r="I212" s="8"/>
    </row>
    <row r="213" spans="2:9" x14ac:dyDescent="0.3">
      <c r="B213" s="9"/>
      <c r="C213" s="4"/>
      <c r="E213" s="8"/>
      <c r="I213" s="8"/>
    </row>
    <row r="214" spans="2:9" x14ac:dyDescent="0.3">
      <c r="B214" s="9"/>
      <c r="C214" s="4"/>
      <c r="E214" s="8"/>
      <c r="I214" s="8"/>
    </row>
    <row r="215" spans="2:9" x14ac:dyDescent="0.3">
      <c r="B215" s="9"/>
      <c r="C215" s="4"/>
      <c r="E215" s="8"/>
      <c r="I215" s="8"/>
    </row>
    <row r="216" spans="2:9" x14ac:dyDescent="0.3">
      <c r="B216" s="9"/>
      <c r="C216" s="4"/>
      <c r="E216" s="8"/>
      <c r="I216" s="8"/>
    </row>
    <row r="217" spans="2:9" x14ac:dyDescent="0.3">
      <c r="B217" s="9"/>
      <c r="C217" s="4"/>
      <c r="E217" s="8"/>
      <c r="I217" s="8"/>
    </row>
    <row r="218" spans="2:9" x14ac:dyDescent="0.3">
      <c r="B218" s="9"/>
      <c r="C218" s="4"/>
      <c r="E218" s="8"/>
      <c r="I218" s="8"/>
    </row>
    <row r="219" spans="2:9" x14ac:dyDescent="0.3">
      <c r="B219" s="9"/>
      <c r="C219" s="4"/>
      <c r="E219" s="8"/>
      <c r="I219" s="8"/>
    </row>
    <row r="220" spans="2:9" x14ac:dyDescent="0.3">
      <c r="B220" s="9"/>
      <c r="C220" s="4"/>
      <c r="E220" s="8"/>
      <c r="I220" s="8"/>
    </row>
    <row r="221" spans="2:9" x14ac:dyDescent="0.3">
      <c r="B221" s="9"/>
      <c r="C221" s="4"/>
      <c r="E221" s="8"/>
      <c r="I221" s="8"/>
    </row>
    <row r="222" spans="2:9" x14ac:dyDescent="0.3">
      <c r="B222" s="9"/>
      <c r="C222" s="4"/>
      <c r="E222" s="8"/>
      <c r="I222" s="8"/>
    </row>
    <row r="223" spans="2:9" x14ac:dyDescent="0.3">
      <c r="B223" s="9"/>
      <c r="C223" s="4"/>
      <c r="E223" s="8"/>
      <c r="I223" s="8"/>
    </row>
    <row r="224" spans="2:9" x14ac:dyDescent="0.3">
      <c r="B224" s="9"/>
      <c r="C224" s="4"/>
      <c r="E224" s="8"/>
      <c r="I224" s="8"/>
    </row>
    <row r="225" spans="2:9" x14ac:dyDescent="0.3">
      <c r="B225" s="9"/>
      <c r="C225" s="4"/>
      <c r="E225" s="8"/>
      <c r="I225" s="8"/>
    </row>
    <row r="226" spans="2:9" x14ac:dyDescent="0.3">
      <c r="B226" s="9"/>
      <c r="C226" s="4"/>
      <c r="E226" s="8"/>
      <c r="I226" s="8"/>
    </row>
    <row r="227" spans="2:9" x14ac:dyDescent="0.3">
      <c r="B227" s="9"/>
      <c r="C227" s="4"/>
      <c r="E227" s="8"/>
      <c r="I227" s="8"/>
    </row>
    <row r="228" spans="2:9" x14ac:dyDescent="0.3">
      <c r="B228" s="9"/>
      <c r="C228" s="4"/>
      <c r="E228" s="8"/>
      <c r="I228" s="8"/>
    </row>
    <row r="229" spans="2:9" x14ac:dyDescent="0.3">
      <c r="B229" s="9"/>
      <c r="C229" s="4"/>
      <c r="E229" s="8"/>
      <c r="I229" s="8"/>
    </row>
    <row r="230" spans="2:9" x14ac:dyDescent="0.3">
      <c r="B230" s="9"/>
      <c r="C230" s="4"/>
      <c r="E230" s="8"/>
      <c r="I230" s="8"/>
    </row>
    <row r="231" spans="2:9" x14ac:dyDescent="0.3">
      <c r="B231" s="9"/>
      <c r="C231" s="4"/>
      <c r="E231" s="8"/>
      <c r="I231" s="8"/>
    </row>
    <row r="232" spans="2:9" x14ac:dyDescent="0.3">
      <c r="B232" s="9"/>
      <c r="C232" s="4"/>
      <c r="E232" s="8"/>
      <c r="I232" s="8"/>
    </row>
    <row r="233" spans="2:9" x14ac:dyDescent="0.3">
      <c r="B233" s="9"/>
      <c r="C233" s="4"/>
      <c r="E233" s="8"/>
      <c r="I233" s="8"/>
    </row>
    <row r="234" spans="2:9" x14ac:dyDescent="0.3">
      <c r="B234" s="9"/>
      <c r="C234" s="4"/>
      <c r="E234" s="8"/>
      <c r="I234" s="8"/>
    </row>
    <row r="235" spans="2:9" x14ac:dyDescent="0.3">
      <c r="B235" s="9"/>
      <c r="C235" s="4"/>
      <c r="E235" s="8"/>
      <c r="I235" s="8"/>
    </row>
    <row r="236" spans="2:9" x14ac:dyDescent="0.3">
      <c r="B236" s="9"/>
      <c r="C236" s="4"/>
      <c r="E236" s="8"/>
      <c r="I236" s="8"/>
    </row>
    <row r="237" spans="2:9" x14ac:dyDescent="0.3">
      <c r="B237" s="9"/>
      <c r="C237" s="4"/>
      <c r="E237" s="8"/>
      <c r="I237" s="8"/>
    </row>
    <row r="238" spans="2:9" x14ac:dyDescent="0.3">
      <c r="B238" s="9"/>
      <c r="C238" s="4"/>
      <c r="E238" s="8"/>
      <c r="I238" s="8"/>
    </row>
    <row r="239" spans="2:9" x14ac:dyDescent="0.3">
      <c r="B239" s="9"/>
      <c r="C239" s="4"/>
      <c r="E239" s="8"/>
      <c r="I239" s="8"/>
    </row>
    <row r="240" spans="2:9" x14ac:dyDescent="0.3">
      <c r="B240" s="9"/>
      <c r="C240" s="4"/>
      <c r="E240" s="8"/>
      <c r="I240" s="8"/>
    </row>
    <row r="241" spans="2:9" x14ac:dyDescent="0.3">
      <c r="B241" s="9"/>
      <c r="C241" s="4"/>
      <c r="E241" s="8"/>
      <c r="I241" s="8"/>
    </row>
    <row r="242" spans="2:9" x14ac:dyDescent="0.3">
      <c r="B242" s="9"/>
      <c r="C242" s="4"/>
      <c r="E242" s="8"/>
      <c r="I242" s="8"/>
    </row>
    <row r="243" spans="2:9" x14ac:dyDescent="0.3">
      <c r="B243" s="9"/>
      <c r="C243" s="4"/>
      <c r="E243" s="8"/>
      <c r="I243" s="8"/>
    </row>
    <row r="244" spans="2:9" x14ac:dyDescent="0.3">
      <c r="B244" s="9"/>
      <c r="C244" s="4"/>
      <c r="E244" s="8"/>
      <c r="I244" s="8"/>
    </row>
    <row r="245" spans="2:9" x14ac:dyDescent="0.3">
      <c r="B245" s="9"/>
      <c r="C245" s="4"/>
      <c r="E245" s="8"/>
      <c r="I245" s="8"/>
    </row>
    <row r="246" spans="2:9" x14ac:dyDescent="0.3">
      <c r="B246" s="9"/>
      <c r="C246" s="4"/>
      <c r="E246" s="8"/>
      <c r="I246" s="8"/>
    </row>
    <row r="247" spans="2:9" x14ac:dyDescent="0.3">
      <c r="B247" s="9"/>
      <c r="C247" s="4"/>
      <c r="E247" s="8"/>
      <c r="I247" s="8"/>
    </row>
    <row r="248" spans="2:9" x14ac:dyDescent="0.3">
      <c r="B248" s="9"/>
      <c r="C248" s="4"/>
      <c r="E248" s="8"/>
      <c r="I248" s="8"/>
    </row>
    <row r="249" spans="2:9" x14ac:dyDescent="0.3">
      <c r="B249" s="9"/>
      <c r="C249" s="4"/>
      <c r="E249" s="8"/>
      <c r="I249" s="8"/>
    </row>
    <row r="250" spans="2:9" x14ac:dyDescent="0.3">
      <c r="B250" s="9"/>
      <c r="C250" s="4"/>
      <c r="E250" s="8"/>
      <c r="I250" s="8"/>
    </row>
    <row r="251" spans="2:9" x14ac:dyDescent="0.3">
      <c r="B251" s="9"/>
      <c r="C251" s="4"/>
      <c r="E251" s="8"/>
      <c r="I251" s="8"/>
    </row>
    <row r="252" spans="2:9" x14ac:dyDescent="0.3">
      <c r="B252" s="9"/>
      <c r="C252" s="4"/>
      <c r="E252" s="8"/>
      <c r="I252" s="8"/>
    </row>
    <row r="253" spans="2:9" x14ac:dyDescent="0.3">
      <c r="B253" s="9"/>
      <c r="C253" s="4"/>
      <c r="E253" s="8"/>
      <c r="I253" s="8"/>
    </row>
    <row r="254" spans="2:9" x14ac:dyDescent="0.3">
      <c r="B254" s="9"/>
      <c r="C254" s="4"/>
      <c r="E254" s="8"/>
      <c r="I254" s="8"/>
    </row>
    <row r="255" spans="2:9" x14ac:dyDescent="0.3">
      <c r="B255" s="9"/>
      <c r="C255" s="4"/>
      <c r="E255" s="8"/>
      <c r="I255" s="8"/>
    </row>
    <row r="256" spans="2:9" x14ac:dyDescent="0.3">
      <c r="B256" s="9"/>
      <c r="C256" s="4"/>
      <c r="E256" s="8"/>
      <c r="I256" s="8"/>
    </row>
    <row r="257" spans="2:9" x14ac:dyDescent="0.3">
      <c r="B257" s="9"/>
      <c r="C257" s="4"/>
      <c r="E257" s="8"/>
      <c r="I257" s="8"/>
    </row>
    <row r="258" spans="2:9" x14ac:dyDescent="0.3">
      <c r="B258" s="9"/>
      <c r="C258" s="4"/>
      <c r="E258" s="8"/>
      <c r="I258" s="8"/>
    </row>
    <row r="259" spans="2:9" x14ac:dyDescent="0.3">
      <c r="B259" s="9"/>
      <c r="C259" s="4"/>
      <c r="E259" s="8"/>
      <c r="I259" s="8"/>
    </row>
    <row r="260" spans="2:9" x14ac:dyDescent="0.3">
      <c r="B260" s="9"/>
      <c r="C260" s="4"/>
      <c r="E260" s="8"/>
      <c r="I260" s="8"/>
    </row>
    <row r="261" spans="2:9" x14ac:dyDescent="0.3">
      <c r="B261" s="9"/>
      <c r="C261" s="4"/>
      <c r="E261" s="8"/>
      <c r="I261" s="8"/>
    </row>
    <row r="262" spans="2:9" x14ac:dyDescent="0.3">
      <c r="B262" s="9"/>
      <c r="C262" s="4"/>
      <c r="E262" s="8"/>
      <c r="I262" s="8"/>
    </row>
    <row r="263" spans="2:9" x14ac:dyDescent="0.3">
      <c r="B263" s="9"/>
      <c r="C263" s="4"/>
      <c r="E263" s="8"/>
      <c r="I263" s="8"/>
    </row>
    <row r="264" spans="2:9" x14ac:dyDescent="0.3">
      <c r="B264" s="9"/>
      <c r="C264" s="4"/>
      <c r="E264" s="8"/>
      <c r="I264" s="8"/>
    </row>
    <row r="265" spans="2:9" x14ac:dyDescent="0.3">
      <c r="B265" s="9"/>
      <c r="C265" s="4"/>
      <c r="E265" s="8"/>
      <c r="I265" s="8"/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D4DCB-1D80-454C-84B7-4D685A0A31EC}">
  <dimension ref="B2:V72"/>
  <sheetViews>
    <sheetView tabSelected="1" zoomScale="70" zoomScaleNormal="70" workbookViewId="0"/>
  </sheetViews>
  <sheetFormatPr defaultRowHeight="14.4" x14ac:dyDescent="0.3"/>
  <cols>
    <col min="1" max="1" width="2.77734375" style="2" customWidth="1"/>
    <col min="2" max="2" width="8.88671875" style="2"/>
    <col min="3" max="3" width="4.44140625" style="2" bestFit="1" customWidth="1"/>
    <col min="4" max="4" width="14.88671875" style="2" bestFit="1" customWidth="1"/>
    <col min="5" max="5" width="10.109375" style="2" bestFit="1" customWidth="1"/>
    <col min="6" max="6" width="12.6640625" style="2" bestFit="1" customWidth="1"/>
    <col min="7" max="7" width="16.109375" style="2" bestFit="1" customWidth="1"/>
    <col min="8" max="8" width="10.5546875" style="2" bestFit="1" customWidth="1"/>
    <col min="9" max="9" width="10.44140625" style="2" bestFit="1" customWidth="1"/>
    <col min="10" max="10" width="14.88671875" style="2" bestFit="1" customWidth="1"/>
    <col min="11" max="11" width="10.109375" style="2" bestFit="1" customWidth="1"/>
    <col min="12" max="12" width="12.6640625" style="2" bestFit="1" customWidth="1"/>
    <col min="13" max="13" width="16.109375" style="2" bestFit="1" customWidth="1"/>
    <col min="14" max="14" width="12" style="2" bestFit="1" customWidth="1"/>
    <col min="15" max="15" width="11.88671875" style="2" bestFit="1" customWidth="1"/>
    <col min="16" max="16" width="1.77734375" style="2" customWidth="1"/>
    <col min="17" max="17" width="10.33203125" style="2" customWidth="1"/>
    <col min="18" max="18" width="11.44140625" style="2" bestFit="1" customWidth="1"/>
    <col min="19" max="22" width="8.88671875" style="2"/>
    <col min="23" max="23" width="11" style="2" bestFit="1" customWidth="1"/>
    <col min="24" max="16384" width="8.88671875" style="2"/>
  </cols>
  <sheetData>
    <row r="2" spans="2:22" ht="31.2" x14ac:dyDescent="0.6">
      <c r="B2" s="11" t="s">
        <v>11</v>
      </c>
    </row>
    <row r="3" spans="2:22" ht="17.399999999999999" customHeight="1" x14ac:dyDescent="0.6">
      <c r="B3" s="12"/>
      <c r="C3" s="13"/>
      <c r="D3" s="13"/>
      <c r="E3" s="13"/>
      <c r="F3" s="13"/>
      <c r="G3" s="13"/>
      <c r="H3" s="13"/>
      <c r="J3" s="13"/>
      <c r="K3" s="13"/>
      <c r="L3" s="13"/>
      <c r="M3" s="13"/>
      <c r="N3" s="13"/>
      <c r="S3" s="20"/>
      <c r="T3" s="19"/>
      <c r="U3" s="34"/>
      <c r="V3" s="16"/>
    </row>
    <row r="4" spans="2:22" ht="20.399999999999999" x14ac:dyDescent="0.35">
      <c r="B4" s="15" t="s">
        <v>49</v>
      </c>
      <c r="C4" s="14"/>
      <c r="D4" s="13"/>
      <c r="E4" s="13"/>
      <c r="F4" s="13"/>
      <c r="G4" s="13"/>
      <c r="H4" s="13"/>
      <c r="J4" s="13"/>
      <c r="K4" s="13"/>
      <c r="L4" s="13"/>
      <c r="M4" s="13"/>
      <c r="N4" s="13"/>
      <c r="S4" s="20" t="s">
        <v>23</v>
      </c>
      <c r="T4" s="19" t="s">
        <v>73</v>
      </c>
      <c r="U4" s="16"/>
      <c r="V4" s="16"/>
    </row>
    <row r="5" spans="2:22" ht="18" x14ac:dyDescent="0.35">
      <c r="B5" s="28" t="s">
        <v>58</v>
      </c>
      <c r="C5" s="13"/>
      <c r="D5" s="13"/>
      <c r="E5" s="13"/>
      <c r="F5" s="13"/>
      <c r="G5" s="13"/>
      <c r="H5" s="13"/>
      <c r="J5" s="13"/>
      <c r="K5" s="13"/>
      <c r="L5" s="13"/>
      <c r="M5" s="13"/>
      <c r="N5" s="13"/>
      <c r="S5" s="20" t="s">
        <v>1</v>
      </c>
      <c r="T5" s="19" t="s">
        <v>73</v>
      </c>
      <c r="U5" s="16"/>
      <c r="V5" s="16"/>
    </row>
    <row r="6" spans="2:22" x14ac:dyDescent="0.3">
      <c r="B6" s="4" t="s">
        <v>8</v>
      </c>
      <c r="C6" s="4" t="s">
        <v>9</v>
      </c>
      <c r="D6" s="4" t="s">
        <v>25</v>
      </c>
      <c r="E6" s="32" t="s">
        <v>26</v>
      </c>
      <c r="F6" s="8" t="s">
        <v>59</v>
      </c>
      <c r="G6" s="8" t="s">
        <v>60</v>
      </c>
      <c r="H6" s="8" t="s">
        <v>61</v>
      </c>
      <c r="I6" s="8" t="s">
        <v>62</v>
      </c>
      <c r="J6" s="4" t="s">
        <v>63</v>
      </c>
      <c r="K6" s="26" t="s">
        <v>64</v>
      </c>
      <c r="L6" s="8" t="s">
        <v>65</v>
      </c>
      <c r="M6" s="8" t="s">
        <v>66</v>
      </c>
      <c r="N6" s="8" t="s">
        <v>67</v>
      </c>
      <c r="O6" s="8" t="s">
        <v>68</v>
      </c>
      <c r="P6" s="8"/>
      <c r="Q6" s="31" t="s">
        <v>46</v>
      </c>
      <c r="R6" s="3"/>
      <c r="S6" s="3"/>
    </row>
    <row r="7" spans="2:22" x14ac:dyDescent="0.3">
      <c r="B7" s="25">
        <v>43881</v>
      </c>
      <c r="C7" s="26">
        <v>1</v>
      </c>
      <c r="D7" s="27">
        <v>3</v>
      </c>
      <c r="E7" s="33">
        <f>D7</f>
        <v>3</v>
      </c>
      <c r="F7" s="8">
        <f t="shared" ref="F7:F38" si="0">t0n*_xlfn.GAMMA.DIST($C7/t0n,wn+1,1,1)*_xlfn.GAMMA(wn+1)</f>
        <v>6.9852917894591709E-7</v>
      </c>
      <c r="G7" s="24">
        <f t="shared" ref="G7:G38" si="1">(($C7/t0n)^wn)*EXP(-($C7/t0n))</f>
        <v>6.1346420540931185E-6</v>
      </c>
      <c r="H7" s="10">
        <f>G7+CIn</f>
        <v>991.13117014665318</v>
      </c>
      <c r="I7" s="10">
        <f>MAX(G7-CIn,0)</f>
        <v>0</v>
      </c>
      <c r="J7" s="26">
        <v>0</v>
      </c>
      <c r="K7" s="27">
        <f>J7</f>
        <v>0</v>
      </c>
      <c r="L7" s="8">
        <f t="shared" ref="L7:L38" si="2">t0d*_xlfn.GAMMA.DIST($C7/t0d,wd+1,1,1)*_xlfn.GAMMA(wd+1)</f>
        <v>2.8407537704834456E-7</v>
      </c>
      <c r="M7" s="24">
        <f t="shared" ref="M7:M38" si="3">(($C7/t0d)^wd)*EXP(-($C7/t0d))</f>
        <v>2.2494992624741973E-6</v>
      </c>
      <c r="N7" s="10">
        <f t="shared" ref="N7:N45" si="4">M7+CId</f>
        <v>129.37721594467638</v>
      </c>
      <c r="O7" s="10">
        <f t="shared" ref="O7:O45" si="5">MAX(M7-CId,0)</f>
        <v>0</v>
      </c>
      <c r="P7" s="8"/>
      <c r="Q7" s="21"/>
      <c r="R7" s="41"/>
      <c r="S7" s="3"/>
    </row>
    <row r="8" spans="2:22" ht="15.6" x14ac:dyDescent="0.35">
      <c r="B8" s="25">
        <v>43882</v>
      </c>
      <c r="C8" s="26">
        <v>2</v>
      </c>
      <c r="D8" s="27">
        <v>20</v>
      </c>
      <c r="E8" s="33">
        <f>D8-D7</f>
        <v>17</v>
      </c>
      <c r="F8" s="8">
        <f t="shared" si="0"/>
        <v>2.8879198649963122E-4</v>
      </c>
      <c r="G8" s="24">
        <f t="shared" si="1"/>
        <v>1.2385483531522452E-3</v>
      </c>
      <c r="H8" s="10">
        <f>G8+CIn</f>
        <v>991.13240256036431</v>
      </c>
      <c r="I8" s="10">
        <f>MAX(G8-CIn,0)</f>
        <v>0</v>
      </c>
      <c r="J8" s="26">
        <v>1</v>
      </c>
      <c r="K8" s="27">
        <f>J8-J7</f>
        <v>1</v>
      </c>
      <c r="L8" s="8">
        <f t="shared" si="2"/>
        <v>6.5772024470461512E-5</v>
      </c>
      <c r="M8" s="24">
        <f t="shared" si="3"/>
        <v>2.5569117039918305E-4</v>
      </c>
      <c r="N8" s="10">
        <f t="shared" si="4"/>
        <v>129.37746938634751</v>
      </c>
      <c r="O8" s="10">
        <f t="shared" si="5"/>
        <v>0</v>
      </c>
      <c r="P8" s="8"/>
      <c r="Q8" s="21" t="s">
        <v>24</v>
      </c>
      <c r="R8" s="30">
        <v>4.3657482294010359</v>
      </c>
      <c r="S8" s="3"/>
    </row>
    <row r="9" spans="2:22" x14ac:dyDescent="0.3">
      <c r="B9" s="25">
        <v>43883</v>
      </c>
      <c r="C9" s="26">
        <v>3</v>
      </c>
      <c r="D9" s="27">
        <v>62</v>
      </c>
      <c r="E9" s="33">
        <f>D9-D8</f>
        <v>42</v>
      </c>
      <c r="F9" s="8">
        <f t="shared" si="0"/>
        <v>9.0000707270807574E-3</v>
      </c>
      <c r="G9" s="24">
        <f t="shared" si="1"/>
        <v>2.5121001390421796E-2</v>
      </c>
      <c r="H9" s="10">
        <f>G9+CIn</f>
        <v>991.15628501340154</v>
      </c>
      <c r="I9" s="10">
        <f>MAX(G9-CIn,0)</f>
        <v>0</v>
      </c>
      <c r="J9" s="26">
        <v>2</v>
      </c>
      <c r="K9" s="27">
        <f>J9-J8</f>
        <v>1</v>
      </c>
      <c r="L9" s="8">
        <f t="shared" si="2"/>
        <v>1.4976480524946383E-3</v>
      </c>
      <c r="M9" s="24">
        <f t="shared" si="3"/>
        <v>3.8100304300077931E-3</v>
      </c>
      <c r="N9" s="10">
        <f t="shared" si="4"/>
        <v>129.38102372560712</v>
      </c>
      <c r="O9" s="10">
        <f t="shared" si="5"/>
        <v>0</v>
      </c>
      <c r="P9" s="8"/>
      <c r="Q9" s="21" t="s">
        <v>1</v>
      </c>
      <c r="R9" s="30">
        <v>7.9879129920587939</v>
      </c>
      <c r="S9" s="3"/>
    </row>
    <row r="10" spans="2:22" x14ac:dyDescent="0.3">
      <c r="B10" s="25">
        <v>43884</v>
      </c>
      <c r="C10" s="26">
        <v>4</v>
      </c>
      <c r="D10" s="27">
        <v>155</v>
      </c>
      <c r="E10" s="33">
        <f>D10-D9</f>
        <v>93</v>
      </c>
      <c r="F10" s="8">
        <f t="shared" si="0"/>
        <v>9.7354766671800291E-2</v>
      </c>
      <c r="G10" s="24">
        <f t="shared" si="1"/>
        <v>0.19886530942234731</v>
      </c>
      <c r="H10" s="10">
        <f>G10+CIn</f>
        <v>991.33002932143347</v>
      </c>
      <c r="I10" s="10">
        <f>MAX(G10-CIn,0)</f>
        <v>0</v>
      </c>
      <c r="J10" s="26">
        <v>3</v>
      </c>
      <c r="K10" s="27">
        <f>J10-J9</f>
        <v>1</v>
      </c>
      <c r="L10" s="8">
        <f t="shared" si="2"/>
        <v>1.3196701191657976E-2</v>
      </c>
      <c r="M10" s="24">
        <f t="shared" si="3"/>
        <v>2.470934207742085E-2</v>
      </c>
      <c r="N10" s="10">
        <f t="shared" si="4"/>
        <v>129.40192303725453</v>
      </c>
      <c r="O10" s="10">
        <f t="shared" si="5"/>
        <v>0</v>
      </c>
      <c r="P10" s="8"/>
      <c r="Q10" s="5" t="s">
        <v>2</v>
      </c>
      <c r="R10" s="1">
        <f>AVERAGE(E7:E48)</f>
        <v>2632.7142857142858</v>
      </c>
      <c r="S10" s="3"/>
    </row>
    <row r="11" spans="2:22" x14ac:dyDescent="0.3">
      <c r="B11" s="22">
        <v>43885</v>
      </c>
      <c r="C11" s="4">
        <v>5</v>
      </c>
      <c r="D11" s="10">
        <f>'dpc-covid19-ita-andamento-naz'!L2</f>
        <v>229</v>
      </c>
      <c r="E11" s="33">
        <f>D11-D10</f>
        <v>74</v>
      </c>
      <c r="F11" s="8">
        <f t="shared" si="0"/>
        <v>0.58987527141792373</v>
      </c>
      <c r="G11" s="24">
        <f t="shared" si="1"/>
        <v>0.94013475411355518</v>
      </c>
      <c r="H11" s="10">
        <f t="shared" ref="H11:H44" si="6">G11+CIn</f>
        <v>992.07129876612464</v>
      </c>
      <c r="I11" s="10">
        <f t="shared" ref="I11:I43" si="7">MAX(G11-CIn,0)</f>
        <v>0</v>
      </c>
      <c r="J11" s="10">
        <f>'dpc-covid19-ita-andamento-naz'!K2</f>
        <v>7</v>
      </c>
      <c r="K11" s="27">
        <f>J11-J10</f>
        <v>4</v>
      </c>
      <c r="L11" s="8">
        <f t="shared" si="2"/>
        <v>6.9127904221437414E-2</v>
      </c>
      <c r="M11" s="24">
        <f t="shared" si="3"/>
        <v>0.10158572468293493</v>
      </c>
      <c r="N11" s="10">
        <f t="shared" si="4"/>
        <v>129.47879941986005</v>
      </c>
      <c r="O11" s="10">
        <f t="shared" si="5"/>
        <v>0</v>
      </c>
      <c r="P11" s="1"/>
      <c r="Q11" s="5" t="s">
        <v>3</v>
      </c>
      <c r="R11" s="1">
        <f>COUNT(E7:E48)-COUNT(R7:R9)</f>
        <v>40</v>
      </c>
    </row>
    <row r="12" spans="2:22" x14ac:dyDescent="0.3">
      <c r="B12" s="9">
        <v>43886</v>
      </c>
      <c r="C12" s="4">
        <v>6</v>
      </c>
      <c r="D12" s="10">
        <f>'dpc-covid19-ita-andamento-naz'!L3</f>
        <v>322</v>
      </c>
      <c r="E12" s="33">
        <f>D12-D11</f>
        <v>93</v>
      </c>
      <c r="F12" s="8">
        <f t="shared" si="0"/>
        <v>2.4776310941275486</v>
      </c>
      <c r="G12" s="24">
        <f t="shared" si="1"/>
        <v>3.2077856261131865</v>
      </c>
      <c r="H12" s="10">
        <f t="shared" si="6"/>
        <v>994.33894963812429</v>
      </c>
      <c r="I12" s="10">
        <f t="shared" si="7"/>
        <v>0</v>
      </c>
      <c r="J12" s="10">
        <f>'dpc-covid19-ita-andamento-naz'!K3</f>
        <v>10</v>
      </c>
      <c r="K12" s="27">
        <f>J12-J11</f>
        <v>3</v>
      </c>
      <c r="L12" s="8">
        <f t="shared" si="2"/>
        <v>0.26062923430315005</v>
      </c>
      <c r="M12" s="24">
        <f t="shared" si="3"/>
        <v>0.31303252889892658</v>
      </c>
      <c r="N12" s="10">
        <f t="shared" si="4"/>
        <v>129.69024622407605</v>
      </c>
      <c r="O12" s="10">
        <f t="shared" si="5"/>
        <v>0</v>
      </c>
      <c r="P12" s="1"/>
      <c r="Q12" s="5" t="s">
        <v>4</v>
      </c>
      <c r="R12" s="6" cm="1">
        <f t="array" ref="R12">SQRT(SUM((E7:E48-G7:G48)^2)/dfn)</f>
        <v>490.39791823986099</v>
      </c>
    </row>
    <row r="13" spans="2:22" ht="16.2" x14ac:dyDescent="0.3">
      <c r="B13" s="9">
        <v>43887</v>
      </c>
      <c r="C13" s="4">
        <v>7</v>
      </c>
      <c r="D13" s="10">
        <f>'dpc-covid19-ita-andamento-naz'!L4</f>
        <v>400</v>
      </c>
      <c r="E13" s="33">
        <f t="shared" ref="E13:E48" si="8">D13-D12</f>
        <v>78</v>
      </c>
      <c r="F13" s="8">
        <f t="shared" si="0"/>
        <v>8.0830617378931731</v>
      </c>
      <c r="G13" s="24">
        <f t="shared" si="1"/>
        <v>8.7396248938270134</v>
      </c>
      <c r="H13" s="10">
        <f t="shared" si="6"/>
        <v>999.87078890583814</v>
      </c>
      <c r="I13" s="10">
        <f t="shared" si="7"/>
        <v>0</v>
      </c>
      <c r="J13" s="10">
        <f>'dpc-covid19-ita-andamento-naz'!K4</f>
        <v>12</v>
      </c>
      <c r="K13" s="27">
        <f t="shared" ref="K13:K48" si="9">J13-J12</f>
        <v>2</v>
      </c>
      <c r="L13" s="8">
        <f t="shared" si="2"/>
        <v>0.78320788583965739</v>
      </c>
      <c r="M13" s="24">
        <f t="shared" si="3"/>
        <v>0.79056348677269472</v>
      </c>
      <c r="N13" s="10">
        <f t="shared" si="4"/>
        <v>130.16777718194982</v>
      </c>
      <c r="O13" s="10">
        <f t="shared" si="5"/>
        <v>0</v>
      </c>
      <c r="P13" s="1"/>
      <c r="Q13" s="5" t="s">
        <v>5</v>
      </c>
      <c r="R13" s="7" cm="1">
        <f t="array" ref="R13">1-SUM((E7:E48-G7:G48)^2)/SUM((E7:E48-Mean_of_yn)^2)</f>
        <v>0.95451516142623427</v>
      </c>
    </row>
    <row r="14" spans="2:22" x14ac:dyDescent="0.3">
      <c r="B14" s="9">
        <v>43888</v>
      </c>
      <c r="C14" s="4">
        <v>8</v>
      </c>
      <c r="D14" s="10">
        <f>'dpc-covid19-ita-andamento-naz'!L5</f>
        <v>650</v>
      </c>
      <c r="E14" s="33">
        <f t="shared" si="8"/>
        <v>250</v>
      </c>
      <c r="F14" s="8">
        <f t="shared" si="0"/>
        <v>21.921083079588122</v>
      </c>
      <c r="G14" s="24">
        <f t="shared" si="1"/>
        <v>20.195273779355471</v>
      </c>
      <c r="H14" s="10">
        <f t="shared" si="6"/>
        <v>1011.3264377913666</v>
      </c>
      <c r="I14" s="10">
        <f t="shared" si="7"/>
        <v>0</v>
      </c>
      <c r="J14" s="10">
        <f>'dpc-covid19-ita-andamento-naz'!K5</f>
        <v>17</v>
      </c>
      <c r="K14" s="27">
        <f t="shared" si="9"/>
        <v>5</v>
      </c>
      <c r="L14" s="8">
        <f t="shared" si="2"/>
        <v>1.9937056280760004</v>
      </c>
      <c r="M14" s="24">
        <f t="shared" si="3"/>
        <v>1.7259880400351324</v>
      </c>
      <c r="N14" s="10">
        <f t="shared" si="4"/>
        <v>131.10320173521225</v>
      </c>
      <c r="O14" s="10">
        <f t="shared" si="5"/>
        <v>0</v>
      </c>
      <c r="P14" s="1"/>
      <c r="Q14" s="5" t="s">
        <v>6</v>
      </c>
      <c r="R14" s="7">
        <f>TINV(0.05,dfn)</f>
        <v>2.0210753903062737</v>
      </c>
    </row>
    <row r="15" spans="2:22" x14ac:dyDescent="0.3">
      <c r="B15" s="9">
        <v>43889</v>
      </c>
      <c r="C15" s="4">
        <v>9</v>
      </c>
      <c r="D15" s="10">
        <f>'dpc-covid19-ita-andamento-naz'!L6</f>
        <v>888</v>
      </c>
      <c r="E15" s="33">
        <f t="shared" si="8"/>
        <v>238</v>
      </c>
      <c r="F15" s="8">
        <f t="shared" si="0"/>
        <v>51.631601516719229</v>
      </c>
      <c r="G15" s="24">
        <f t="shared" si="1"/>
        <v>41.150391282917759</v>
      </c>
      <c r="H15" s="10">
        <f t="shared" si="6"/>
        <v>1032.2815552949289</v>
      </c>
      <c r="I15" s="10">
        <f t="shared" si="7"/>
        <v>0</v>
      </c>
      <c r="J15" s="10">
        <f>'dpc-covid19-ita-andamento-naz'!K6</f>
        <v>21</v>
      </c>
      <c r="K15" s="27">
        <f t="shared" si="9"/>
        <v>4</v>
      </c>
      <c r="L15" s="8">
        <f t="shared" si="2"/>
        <v>4.4713055777172661</v>
      </c>
      <c r="M15" s="24">
        <f t="shared" si="3"/>
        <v>3.3715789402167755</v>
      </c>
      <c r="N15" s="10">
        <f t="shared" si="4"/>
        <v>132.7487926353939</v>
      </c>
      <c r="O15" s="10">
        <f t="shared" si="5"/>
        <v>0</v>
      </c>
      <c r="P15" s="1"/>
      <c r="Q15" s="5" t="s">
        <v>7</v>
      </c>
      <c r="R15" s="1">
        <f>Critical_tn*SE_of_yn</f>
        <v>991.13116401201114</v>
      </c>
    </row>
    <row r="16" spans="2:22" x14ac:dyDescent="0.3">
      <c r="B16" s="9">
        <v>43890</v>
      </c>
      <c r="C16" s="4">
        <v>10</v>
      </c>
      <c r="D16" s="10">
        <f>'dpc-covid19-ita-andamento-naz'!L7</f>
        <v>1128</v>
      </c>
      <c r="E16" s="33">
        <f t="shared" si="8"/>
        <v>240</v>
      </c>
      <c r="F16" s="8">
        <f t="shared" si="0"/>
        <v>108.82443291259088</v>
      </c>
      <c r="G16" s="24">
        <f t="shared" si="1"/>
        <v>75.928207596559417</v>
      </c>
      <c r="H16" s="10">
        <f t="shared" si="6"/>
        <v>1067.0593716085705</v>
      </c>
      <c r="I16" s="10">
        <f t="shared" si="7"/>
        <v>0</v>
      </c>
      <c r="J16" s="10">
        <f>'dpc-covid19-ita-andamento-naz'!K7</f>
        <v>29</v>
      </c>
      <c r="K16" s="27">
        <f t="shared" si="9"/>
        <v>8</v>
      </c>
      <c r="L16" s="8">
        <f t="shared" si="2"/>
        <v>9.0749869023581873</v>
      </c>
      <c r="M16" s="24">
        <f t="shared" si="3"/>
        <v>6.0328823773857563</v>
      </c>
      <c r="N16" s="10">
        <f t="shared" si="4"/>
        <v>135.41009607256288</v>
      </c>
      <c r="O16" s="10">
        <f t="shared" si="5"/>
        <v>0</v>
      </c>
      <c r="P16" s="1"/>
      <c r="Q16" s="35" t="s">
        <v>71</v>
      </c>
      <c r="R16" s="36">
        <f>(wn^wn)*EXP(-wn)</f>
        <v>5488.4833669662066</v>
      </c>
    </row>
    <row r="17" spans="2:18" x14ac:dyDescent="0.3">
      <c r="B17" s="22">
        <v>43891</v>
      </c>
      <c r="C17" s="4">
        <v>11</v>
      </c>
      <c r="D17" s="10">
        <f>'dpc-covid19-ita-andamento-naz'!L8</f>
        <v>1694</v>
      </c>
      <c r="E17" s="33">
        <f t="shared" si="8"/>
        <v>566</v>
      </c>
      <c r="F17" s="8">
        <f t="shared" si="0"/>
        <v>209.68239979759502</v>
      </c>
      <c r="G17" s="24">
        <f t="shared" si="1"/>
        <v>129.29050766021842</v>
      </c>
      <c r="H17" s="10">
        <f t="shared" si="6"/>
        <v>1120.4216716722296</v>
      </c>
      <c r="I17" s="10">
        <f t="shared" si="7"/>
        <v>0</v>
      </c>
      <c r="J17" s="10">
        <f>'dpc-covid19-ita-andamento-naz'!K8</f>
        <v>34</v>
      </c>
      <c r="K17" s="27">
        <f t="shared" si="9"/>
        <v>5</v>
      </c>
      <c r="L17" s="8">
        <f t="shared" si="2"/>
        <v>16.990483785635654</v>
      </c>
      <c r="M17" s="24">
        <f t="shared" si="3"/>
        <v>10.055152023023746</v>
      </c>
      <c r="N17" s="10">
        <f t="shared" si="4"/>
        <v>139.43236571820086</v>
      </c>
      <c r="O17" s="10">
        <f t="shared" si="5"/>
        <v>0</v>
      </c>
      <c r="P17" s="1"/>
      <c r="Q17" s="35" t="s">
        <v>72</v>
      </c>
      <c r="R17" s="36">
        <f>wn*t0n</f>
        <v>34.873217001690207</v>
      </c>
    </row>
    <row r="18" spans="2:18" x14ac:dyDescent="0.3">
      <c r="B18" s="9">
        <v>43892</v>
      </c>
      <c r="C18" s="4">
        <v>12</v>
      </c>
      <c r="D18" s="10">
        <f>'dpc-covid19-ita-andamento-naz'!L9</f>
        <v>2036</v>
      </c>
      <c r="E18" s="33">
        <f t="shared" si="8"/>
        <v>342</v>
      </c>
      <c r="F18" s="8">
        <f t="shared" si="0"/>
        <v>375.20397202390336</v>
      </c>
      <c r="G18" s="24">
        <f t="shared" si="1"/>
        <v>206.03485794380055</v>
      </c>
      <c r="H18" s="10">
        <f t="shared" si="6"/>
        <v>1197.1660219558116</v>
      </c>
      <c r="I18" s="10">
        <f t="shared" si="7"/>
        <v>0</v>
      </c>
      <c r="J18" s="10">
        <f>'dpc-covid19-ita-andamento-naz'!K9</f>
        <v>52</v>
      </c>
      <c r="K18" s="27">
        <f t="shared" si="9"/>
        <v>18</v>
      </c>
      <c r="L18" s="8">
        <f t="shared" si="2"/>
        <v>29.761176624229211</v>
      </c>
      <c r="M18" s="24">
        <f t="shared" si="3"/>
        <v>15.805098960223468</v>
      </c>
      <c r="N18" s="10">
        <f t="shared" si="4"/>
        <v>145.18231265540058</v>
      </c>
      <c r="O18" s="10">
        <f t="shared" si="5"/>
        <v>0</v>
      </c>
      <c r="P18" s="1"/>
      <c r="Q18" s="23" t="s">
        <v>53</v>
      </c>
      <c r="R18" s="3"/>
    </row>
    <row r="19" spans="2:18" x14ac:dyDescent="0.3">
      <c r="B19" s="9">
        <v>43893</v>
      </c>
      <c r="C19" s="4">
        <v>13</v>
      </c>
      <c r="D19" s="10">
        <f>'dpc-covid19-ita-andamento-naz'!L10</f>
        <v>2502</v>
      </c>
      <c r="E19" s="33">
        <f t="shared" si="8"/>
        <v>466</v>
      </c>
      <c r="F19" s="8">
        <f t="shared" si="0"/>
        <v>631.02020992430937</v>
      </c>
      <c r="G19" s="24">
        <f t="shared" si="1"/>
        <v>310.5558454237447</v>
      </c>
      <c r="H19" s="10">
        <f t="shared" si="6"/>
        <v>1301.687009435756</v>
      </c>
      <c r="I19" s="10">
        <f t="shared" si="7"/>
        <v>0</v>
      </c>
      <c r="J19" s="10">
        <f>'dpc-covid19-ita-andamento-naz'!K10</f>
        <v>79</v>
      </c>
      <c r="K19" s="27">
        <f t="shared" si="9"/>
        <v>27</v>
      </c>
      <c r="L19" s="8">
        <f t="shared" si="2"/>
        <v>49.299224531839116</v>
      </c>
      <c r="M19" s="24">
        <f t="shared" si="3"/>
        <v>23.649968007576998</v>
      </c>
      <c r="N19" s="10">
        <f t="shared" si="4"/>
        <v>153.02718170275412</v>
      </c>
      <c r="O19" s="10">
        <f t="shared" si="5"/>
        <v>0</v>
      </c>
      <c r="P19" s="1"/>
      <c r="Q19" s="21"/>
      <c r="R19" s="41"/>
    </row>
    <row r="20" spans="2:18" ht="15.6" x14ac:dyDescent="0.35">
      <c r="B20" s="9">
        <v>43894</v>
      </c>
      <c r="C20" s="4">
        <v>14</v>
      </c>
      <c r="D20" s="10">
        <f>'dpc-covid19-ita-andamento-naz'!L11</f>
        <v>3089</v>
      </c>
      <c r="E20" s="33">
        <f t="shared" si="8"/>
        <v>587</v>
      </c>
      <c r="F20" s="8">
        <f t="shared" si="0"/>
        <v>1006.7788798659237</v>
      </c>
      <c r="G20" s="24">
        <f t="shared" si="1"/>
        <v>446.42703187969914</v>
      </c>
      <c r="H20" s="10">
        <f t="shared" si="6"/>
        <v>1437.5581958917103</v>
      </c>
      <c r="I20" s="10">
        <f t="shared" si="7"/>
        <v>0</v>
      </c>
      <c r="J20" s="10">
        <f>'dpc-covid19-ita-andamento-naz'!K11</f>
        <v>107</v>
      </c>
      <c r="K20" s="27">
        <f t="shared" si="9"/>
        <v>28</v>
      </c>
      <c r="L20" s="8">
        <f t="shared" si="2"/>
        <v>77.875283192701588</v>
      </c>
      <c r="M20" s="24">
        <f t="shared" si="3"/>
        <v>33.935955085806157</v>
      </c>
      <c r="N20" s="10">
        <f t="shared" si="4"/>
        <v>163.31316878098329</v>
      </c>
      <c r="O20" s="10">
        <f t="shared" si="5"/>
        <v>0</v>
      </c>
      <c r="P20" s="1"/>
      <c r="Q20" s="21" t="s">
        <v>24</v>
      </c>
      <c r="R20" s="30">
        <v>6.1615666191869245</v>
      </c>
    </row>
    <row r="21" spans="2:18" x14ac:dyDescent="0.3">
      <c r="B21" s="22">
        <v>43895</v>
      </c>
      <c r="C21" s="4">
        <v>15</v>
      </c>
      <c r="D21" s="10">
        <f>'dpc-covid19-ita-andamento-naz'!L12</f>
        <v>3858</v>
      </c>
      <c r="E21" s="33">
        <f t="shared" si="8"/>
        <v>769</v>
      </c>
      <c r="F21" s="8">
        <f t="shared" si="0"/>
        <v>1535.1410386587224</v>
      </c>
      <c r="G21" s="24">
        <f t="shared" si="1"/>
        <v>616.05066487761383</v>
      </c>
      <c r="H21" s="10">
        <f t="shared" si="6"/>
        <v>1607.181828889625</v>
      </c>
      <c r="I21" s="10">
        <f t="shared" si="7"/>
        <v>0</v>
      </c>
      <c r="J21" s="10">
        <f>'dpc-covid19-ita-andamento-naz'!K12</f>
        <v>148</v>
      </c>
      <c r="K21" s="27">
        <f t="shared" si="9"/>
        <v>41</v>
      </c>
      <c r="L21" s="8">
        <f t="shared" si="2"/>
        <v>118.08707248764237</v>
      </c>
      <c r="M21" s="24">
        <f t="shared" si="3"/>
        <v>46.967762374885417</v>
      </c>
      <c r="N21" s="10">
        <f t="shared" si="4"/>
        <v>176.34497607006253</v>
      </c>
      <c r="O21" s="10">
        <f t="shared" si="5"/>
        <v>0</v>
      </c>
      <c r="P21" s="1"/>
      <c r="Q21" s="21" t="s">
        <v>1</v>
      </c>
      <c r="R21" s="30">
        <v>7.0627988302931746</v>
      </c>
    </row>
    <row r="22" spans="2:18" x14ac:dyDescent="0.3">
      <c r="B22" s="9">
        <v>43896</v>
      </c>
      <c r="C22" s="4">
        <v>16</v>
      </c>
      <c r="D22" s="10">
        <f>'dpc-covid19-ita-andamento-naz'!L13</f>
        <v>4636</v>
      </c>
      <c r="E22" s="33">
        <f t="shared" si="8"/>
        <v>778</v>
      </c>
      <c r="F22" s="8">
        <f t="shared" si="0"/>
        <v>2250.4754579858618</v>
      </c>
      <c r="G22" s="24">
        <f t="shared" si="1"/>
        <v>820.40776341100684</v>
      </c>
      <c r="H22" s="10">
        <f t="shared" si="6"/>
        <v>1811.5389274230179</v>
      </c>
      <c r="I22" s="10">
        <f t="shared" si="7"/>
        <v>0</v>
      </c>
      <c r="J22" s="10">
        <f>'dpc-covid19-ita-andamento-naz'!K13</f>
        <v>197</v>
      </c>
      <c r="K22" s="27">
        <f t="shared" si="9"/>
        <v>49</v>
      </c>
      <c r="L22" s="8">
        <f t="shared" si="2"/>
        <v>172.80868681246341</v>
      </c>
      <c r="M22" s="24">
        <f t="shared" si="3"/>
        <v>62.990735759388485</v>
      </c>
      <c r="N22" s="10">
        <f t="shared" si="4"/>
        <v>192.3679494545656</v>
      </c>
      <c r="O22" s="10">
        <f t="shared" si="5"/>
        <v>0</v>
      </c>
      <c r="P22" s="1"/>
      <c r="Q22" s="2" t="s">
        <v>2</v>
      </c>
      <c r="R22" s="1">
        <f>AVERAGE(K7:K48)</f>
        <v>313.21428571428572</v>
      </c>
    </row>
    <row r="23" spans="2:18" x14ac:dyDescent="0.3">
      <c r="B23" s="9">
        <v>43897</v>
      </c>
      <c r="C23" s="4">
        <v>17</v>
      </c>
      <c r="D23" s="10">
        <f>'dpc-covid19-ita-andamento-naz'!L14</f>
        <v>5883</v>
      </c>
      <c r="E23" s="33">
        <f t="shared" si="8"/>
        <v>1247</v>
      </c>
      <c r="F23" s="8">
        <f t="shared" si="0"/>
        <v>3187.360967717862</v>
      </c>
      <c r="G23" s="24">
        <f t="shared" si="1"/>
        <v>1058.9253823711758</v>
      </c>
      <c r="H23" s="10">
        <f t="shared" si="6"/>
        <v>2050.0565463831872</v>
      </c>
      <c r="I23" s="10">
        <f t="shared" si="7"/>
        <v>67.794218359164688</v>
      </c>
      <c r="J23" s="10">
        <f>'dpc-covid19-ita-andamento-naz'!K14</f>
        <v>233</v>
      </c>
      <c r="K23" s="27">
        <f t="shared" si="9"/>
        <v>36</v>
      </c>
      <c r="L23" s="8">
        <f t="shared" si="2"/>
        <v>245.12378145127346</v>
      </c>
      <c r="M23" s="24">
        <f t="shared" si="3"/>
        <v>82.176616047402391</v>
      </c>
      <c r="N23" s="10">
        <f t="shared" si="4"/>
        <v>211.55382974257952</v>
      </c>
      <c r="O23" s="10">
        <f t="shared" si="5"/>
        <v>0</v>
      </c>
      <c r="P23" s="1"/>
      <c r="Q23" s="2" t="s">
        <v>3</v>
      </c>
      <c r="R23" s="1">
        <f>COUNT(K7:K48)-COUNT(R19:R21)</f>
        <v>40</v>
      </c>
    </row>
    <row r="24" spans="2:18" x14ac:dyDescent="0.3">
      <c r="B24" s="22">
        <v>43898</v>
      </c>
      <c r="C24" s="4">
        <v>18</v>
      </c>
      <c r="D24" s="10">
        <f>'dpc-covid19-ita-andamento-naz'!L15</f>
        <v>7375</v>
      </c>
      <c r="E24" s="33">
        <f t="shared" si="8"/>
        <v>1492</v>
      </c>
      <c r="F24" s="8">
        <f t="shared" si="0"/>
        <v>4379.016083006306</v>
      </c>
      <c r="G24" s="24">
        <f t="shared" si="1"/>
        <v>1329.4631704236963</v>
      </c>
      <c r="H24" s="10">
        <f t="shared" si="6"/>
        <v>2320.5943344357074</v>
      </c>
      <c r="I24" s="10">
        <f t="shared" si="7"/>
        <v>338.33200641168514</v>
      </c>
      <c r="J24" s="10">
        <f>'dpc-covid19-ita-andamento-naz'!K15</f>
        <v>366</v>
      </c>
      <c r="K24" s="27">
        <f t="shared" si="9"/>
        <v>133</v>
      </c>
      <c r="L24" s="8">
        <f t="shared" si="2"/>
        <v>338.24658955143082</v>
      </c>
      <c r="M24" s="24">
        <f t="shared" si="3"/>
        <v>104.61351782423556</v>
      </c>
      <c r="N24" s="10">
        <f t="shared" si="4"/>
        <v>233.99073151941269</v>
      </c>
      <c r="O24" s="10">
        <f t="shared" si="5"/>
        <v>0</v>
      </c>
      <c r="P24" s="1"/>
      <c r="Q24" s="2" t="s">
        <v>4</v>
      </c>
      <c r="R24" s="6" cm="1">
        <f t="array" ref="R24">SQRT(SUM((K7:K48-M7:M48)^2)/dfd)</f>
        <v>64.014046341720729</v>
      </c>
    </row>
    <row r="25" spans="2:18" ht="16.2" x14ac:dyDescent="0.3">
      <c r="B25" s="9">
        <v>43899</v>
      </c>
      <c r="C25" s="4">
        <v>19</v>
      </c>
      <c r="D25" s="10">
        <f>'dpc-covid19-ita-andamento-naz'!L16</f>
        <v>9172</v>
      </c>
      <c r="E25" s="33">
        <f t="shared" si="8"/>
        <v>1797</v>
      </c>
      <c r="F25" s="8">
        <f t="shared" si="0"/>
        <v>5855.7711330191487</v>
      </c>
      <c r="G25" s="24">
        <f t="shared" si="1"/>
        <v>1628.4093476524436</v>
      </c>
      <c r="H25" s="10">
        <f t="shared" si="6"/>
        <v>2619.5405116644547</v>
      </c>
      <c r="I25" s="10">
        <f t="shared" si="7"/>
        <v>637.27818364043242</v>
      </c>
      <c r="J25" s="10">
        <f>'dpc-covid19-ita-andamento-naz'!K16</f>
        <v>463</v>
      </c>
      <c r="K25" s="27">
        <f t="shared" si="9"/>
        <v>97</v>
      </c>
      <c r="L25" s="8">
        <f t="shared" si="2"/>
        <v>455.43514240099984</v>
      </c>
      <c r="M25" s="24">
        <f t="shared" si="3"/>
        <v>130.30036651958505</v>
      </c>
      <c r="N25" s="10">
        <f t="shared" si="4"/>
        <v>259.6775802147622</v>
      </c>
      <c r="O25" s="10">
        <f t="shared" si="5"/>
        <v>0.92315282440793567</v>
      </c>
      <c r="P25" s="1"/>
      <c r="Q25" s="2" t="s">
        <v>5</v>
      </c>
      <c r="R25" s="7" cm="1">
        <f t="array" ref="R25">1-SUM((K7:K48-M7:M48)^2)/SUM((K7:K48-Mean_of_yd)^2)</f>
        <v>0.96229181836419198</v>
      </c>
    </row>
    <row r="26" spans="2:18" x14ac:dyDescent="0.3">
      <c r="B26" s="22">
        <v>43900</v>
      </c>
      <c r="C26" s="4">
        <v>20</v>
      </c>
      <c r="D26" s="10">
        <f>'dpc-covid19-ita-andamento-naz'!L17</f>
        <v>10149</v>
      </c>
      <c r="E26" s="33">
        <f t="shared" si="8"/>
        <v>977</v>
      </c>
      <c r="F26" s="8">
        <f t="shared" si="0"/>
        <v>7643.6836639168614</v>
      </c>
      <c r="G26" s="24">
        <f t="shared" si="1"/>
        <v>1950.8676843957892</v>
      </c>
      <c r="H26" s="10">
        <f t="shared" si="6"/>
        <v>2941.9988484078003</v>
      </c>
      <c r="I26" s="10">
        <f t="shared" si="7"/>
        <v>959.73652038377804</v>
      </c>
      <c r="J26" s="10">
        <f>'dpc-covid19-ita-andamento-naz'!K17</f>
        <v>631</v>
      </c>
      <c r="K26" s="27">
        <f t="shared" si="9"/>
        <v>168</v>
      </c>
      <c r="L26" s="8">
        <f t="shared" si="2"/>
        <v>599.90112824888502</v>
      </c>
      <c r="M26" s="24">
        <f t="shared" si="3"/>
        <v>159.14569918549574</v>
      </c>
      <c r="N26" s="10">
        <f t="shared" si="4"/>
        <v>288.52291288067283</v>
      </c>
      <c r="O26" s="10">
        <f t="shared" si="5"/>
        <v>29.768485490318625</v>
      </c>
      <c r="P26" s="1"/>
      <c r="Q26" s="2" t="s">
        <v>6</v>
      </c>
      <c r="R26" s="7">
        <f>TINV(0.05,dfd)</f>
        <v>2.0210753903062737</v>
      </c>
    </row>
    <row r="27" spans="2:18" x14ac:dyDescent="0.3">
      <c r="B27" s="9">
        <v>43901</v>
      </c>
      <c r="C27" s="4">
        <v>21</v>
      </c>
      <c r="D27" s="10">
        <f>'dpc-covid19-ita-andamento-naz'!L18</f>
        <v>12462</v>
      </c>
      <c r="E27" s="33">
        <f t="shared" si="8"/>
        <v>2313</v>
      </c>
      <c r="F27" s="8">
        <f t="shared" si="0"/>
        <v>9763.3766806950098</v>
      </c>
      <c r="G27" s="24">
        <f t="shared" si="1"/>
        <v>2290.9120548855644</v>
      </c>
      <c r="H27" s="10">
        <f t="shared" si="6"/>
        <v>3282.0432188975756</v>
      </c>
      <c r="I27" s="10">
        <f t="shared" si="7"/>
        <v>1299.7808908735533</v>
      </c>
      <c r="J27" s="10">
        <f>'dpc-covid19-ita-andamento-naz'!K18</f>
        <v>827</v>
      </c>
      <c r="K27" s="27">
        <f t="shared" si="9"/>
        <v>196</v>
      </c>
      <c r="L27" s="8">
        <f t="shared" si="2"/>
        <v>774.72059674949662</v>
      </c>
      <c r="M27" s="24">
        <f t="shared" si="3"/>
        <v>190.97047925459438</v>
      </c>
      <c r="N27" s="10">
        <f t="shared" si="4"/>
        <v>320.3476929497715</v>
      </c>
      <c r="O27" s="10">
        <f t="shared" si="5"/>
        <v>61.593265559417262</v>
      </c>
      <c r="P27" s="1"/>
      <c r="Q27" s="2" t="s">
        <v>7</v>
      </c>
      <c r="R27" s="1">
        <f>Critical_td*SE_of_yd</f>
        <v>129.37721369517712</v>
      </c>
    </row>
    <row r="28" spans="2:18" x14ac:dyDescent="0.3">
      <c r="B28" s="22">
        <v>43902</v>
      </c>
      <c r="C28" s="4">
        <v>22</v>
      </c>
      <c r="D28" s="10">
        <f>'dpc-covid19-ita-andamento-naz'!L19</f>
        <v>15113</v>
      </c>
      <c r="E28" s="33">
        <f t="shared" si="8"/>
        <v>2651</v>
      </c>
      <c r="F28" s="8">
        <f t="shared" si="0"/>
        <v>12229.154713737007</v>
      </c>
      <c r="G28" s="24">
        <f t="shared" si="1"/>
        <v>2641.8833212818258</v>
      </c>
      <c r="H28" s="10">
        <f t="shared" si="6"/>
        <v>3633.014485293837</v>
      </c>
      <c r="I28" s="10">
        <f t="shared" si="7"/>
        <v>1650.7521572698147</v>
      </c>
      <c r="J28" s="10">
        <f>'dpc-covid19-ita-andamento-naz'!K19</f>
        <v>1016</v>
      </c>
      <c r="K28" s="27">
        <f t="shared" si="9"/>
        <v>189</v>
      </c>
      <c r="L28" s="8">
        <f t="shared" si="2"/>
        <v>982.74926898581998</v>
      </c>
      <c r="M28" s="24">
        <f t="shared" si="3"/>
        <v>225.51439263220016</v>
      </c>
      <c r="N28" s="10">
        <f t="shared" si="4"/>
        <v>354.8916063273773</v>
      </c>
      <c r="O28" s="10">
        <f t="shared" si="5"/>
        <v>96.137178937023037</v>
      </c>
      <c r="P28" s="1"/>
      <c r="Q28" s="37" t="s">
        <v>71</v>
      </c>
      <c r="R28" s="38">
        <f>(wd^wd)*EXP(-wd)</f>
        <v>848.82477772214554</v>
      </c>
    </row>
    <row r="29" spans="2:18" x14ac:dyDescent="0.3">
      <c r="B29" s="9">
        <v>43903</v>
      </c>
      <c r="C29" s="4">
        <v>23</v>
      </c>
      <c r="D29" s="10">
        <f>'dpc-covid19-ita-andamento-naz'!L20</f>
        <v>17660</v>
      </c>
      <c r="E29" s="33">
        <f t="shared" si="8"/>
        <v>2547</v>
      </c>
      <c r="F29" s="8">
        <f t="shared" si="0"/>
        <v>15048.427650169178</v>
      </c>
      <c r="G29" s="24">
        <f t="shared" si="1"/>
        <v>2996.7040753123056</v>
      </c>
      <c r="H29" s="10">
        <f t="shared" si="6"/>
        <v>3987.8352393243167</v>
      </c>
      <c r="I29" s="10">
        <f t="shared" si="7"/>
        <v>2005.5729113002944</v>
      </c>
      <c r="J29" s="10">
        <f>'dpc-covid19-ita-andamento-naz'!K20</f>
        <v>1266</v>
      </c>
      <c r="K29" s="27">
        <f t="shared" si="9"/>
        <v>250</v>
      </c>
      <c r="L29" s="8">
        <f t="shared" si="2"/>
        <v>1226.545617688311</v>
      </c>
      <c r="M29" s="24">
        <f t="shared" si="3"/>
        <v>262.44497791173808</v>
      </c>
      <c r="N29" s="10">
        <f t="shared" si="4"/>
        <v>391.82219160691523</v>
      </c>
      <c r="O29" s="10">
        <f t="shared" si="5"/>
        <v>133.06776421656096</v>
      </c>
      <c r="P29" s="1"/>
      <c r="Q29" s="37" t="s">
        <v>72</v>
      </c>
      <c r="R29" s="38">
        <f>wd*t0d</f>
        <v>43.51790551076688</v>
      </c>
    </row>
    <row r="30" spans="2:18" x14ac:dyDescent="0.3">
      <c r="B30" s="9">
        <v>43904</v>
      </c>
      <c r="C30" s="4">
        <v>24</v>
      </c>
      <c r="D30" s="10">
        <f>'dpc-covid19-ita-andamento-naz'!L21</f>
        <v>21157</v>
      </c>
      <c r="E30" s="33">
        <f t="shared" si="8"/>
        <v>3497</v>
      </c>
      <c r="F30" s="8">
        <f t="shared" si="0"/>
        <v>18221.448999498243</v>
      </c>
      <c r="G30" s="24">
        <f t="shared" si="1"/>
        <v>3348.1894244233754</v>
      </c>
      <c r="H30" s="10">
        <f t="shared" si="6"/>
        <v>4339.3205884353865</v>
      </c>
      <c r="I30" s="10">
        <f t="shared" si="7"/>
        <v>2357.0582604113642</v>
      </c>
      <c r="J30" s="10">
        <f>'dpc-covid19-ita-andamento-naz'!K21</f>
        <v>1441</v>
      </c>
      <c r="K30" s="27">
        <f t="shared" si="9"/>
        <v>175</v>
      </c>
      <c r="L30" s="8">
        <f t="shared" si="2"/>
        <v>1508.3042033165098</v>
      </c>
      <c r="M30" s="24">
        <f t="shared" si="3"/>
        <v>301.36888927062034</v>
      </c>
      <c r="N30" s="10">
        <f t="shared" si="4"/>
        <v>430.74610296579749</v>
      </c>
      <c r="O30" s="10">
        <f t="shared" si="5"/>
        <v>171.99167557544322</v>
      </c>
      <c r="P30" s="1"/>
    </row>
    <row r="31" spans="2:18" x14ac:dyDescent="0.3">
      <c r="B31" s="9">
        <v>43905</v>
      </c>
      <c r="C31" s="4">
        <v>25</v>
      </c>
      <c r="D31" s="10">
        <f>'dpc-covid19-ita-andamento-naz'!L22</f>
        <v>24747</v>
      </c>
      <c r="E31" s="33">
        <f t="shared" si="8"/>
        <v>3590</v>
      </c>
      <c r="F31" s="8">
        <f t="shared" si="0"/>
        <v>21741.355304720342</v>
      </c>
      <c r="G31" s="24">
        <f t="shared" si="1"/>
        <v>3689.3358636333228</v>
      </c>
      <c r="H31" s="10">
        <f t="shared" si="6"/>
        <v>4680.4670276453344</v>
      </c>
      <c r="I31" s="10">
        <f t="shared" si="7"/>
        <v>2698.2046996213116</v>
      </c>
      <c r="J31" s="10">
        <f>'dpc-covid19-ita-andamento-naz'!K22</f>
        <v>1809</v>
      </c>
      <c r="K31" s="27">
        <f t="shared" si="9"/>
        <v>368</v>
      </c>
      <c r="L31" s="8">
        <f t="shared" si="2"/>
        <v>1829.8010444554886</v>
      </c>
      <c r="M31" s="24">
        <f t="shared" si="3"/>
        <v>341.84458650908078</v>
      </c>
      <c r="N31" s="10">
        <f t="shared" si="4"/>
        <v>471.22180020425787</v>
      </c>
      <c r="O31" s="10">
        <f t="shared" si="5"/>
        <v>212.46737281390367</v>
      </c>
      <c r="P31" s="1"/>
    </row>
    <row r="32" spans="2:18" x14ac:dyDescent="0.3">
      <c r="B32" s="9">
        <v>43906</v>
      </c>
      <c r="C32" s="4">
        <v>26</v>
      </c>
      <c r="D32" s="10">
        <f>'dpc-covid19-ita-andamento-naz'!L23</f>
        <v>27980</v>
      </c>
      <c r="E32" s="33">
        <f t="shared" si="8"/>
        <v>3233</v>
      </c>
      <c r="F32" s="8">
        <f t="shared" si="0"/>
        <v>25594.477642536633</v>
      </c>
      <c r="G32" s="24">
        <f t="shared" si="1"/>
        <v>4013.5747078368081</v>
      </c>
      <c r="H32" s="10">
        <f t="shared" si="6"/>
        <v>5004.7058718488188</v>
      </c>
      <c r="I32" s="10">
        <f t="shared" si="7"/>
        <v>3022.443543824797</v>
      </c>
      <c r="J32" s="10">
        <f>'dpc-covid19-ita-andamento-naz'!K23</f>
        <v>2158</v>
      </c>
      <c r="K32" s="27">
        <f t="shared" si="9"/>
        <v>349</v>
      </c>
      <c r="L32" s="8">
        <f t="shared" si="2"/>
        <v>2192.3521101793222</v>
      </c>
      <c r="M32" s="24">
        <f t="shared" si="3"/>
        <v>383.39578179070747</v>
      </c>
      <c r="N32" s="10">
        <f t="shared" si="4"/>
        <v>512.77299548588462</v>
      </c>
      <c r="O32" s="10">
        <f t="shared" si="5"/>
        <v>254.01856809553036</v>
      </c>
      <c r="P32" s="1"/>
    </row>
    <row r="33" spans="2:21" x14ac:dyDescent="0.3">
      <c r="B33" s="9">
        <v>43907</v>
      </c>
      <c r="C33" s="4">
        <v>27</v>
      </c>
      <c r="D33" s="10">
        <f>'dpc-covid19-ita-andamento-naz'!L24</f>
        <v>31506</v>
      </c>
      <c r="E33" s="33">
        <f t="shared" si="8"/>
        <v>3526</v>
      </c>
      <c r="F33" s="8">
        <f t="shared" si="0"/>
        <v>29760.884898442062</v>
      </c>
      <c r="G33" s="24">
        <f t="shared" si="1"/>
        <v>4314.98107244734</v>
      </c>
      <c r="H33" s="10">
        <f t="shared" si="6"/>
        <v>5306.1122364593512</v>
      </c>
      <c r="I33" s="10">
        <f t="shared" si="7"/>
        <v>3323.8499084353289</v>
      </c>
      <c r="J33" s="10">
        <f>'dpc-covid19-ita-andamento-naz'!K24</f>
        <v>2503</v>
      </c>
      <c r="K33" s="27">
        <f t="shared" si="9"/>
        <v>345</v>
      </c>
      <c r="L33" s="8">
        <f t="shared" si="2"/>
        <v>2596.7853814410491</v>
      </c>
      <c r="M33" s="24">
        <f t="shared" si="3"/>
        <v>425.52503624118793</v>
      </c>
      <c r="N33" s="10">
        <f t="shared" si="4"/>
        <v>554.90224993636502</v>
      </c>
      <c r="O33" s="10">
        <f t="shared" si="5"/>
        <v>296.14782254601084</v>
      </c>
      <c r="P33" s="1"/>
    </row>
    <row r="34" spans="2:21" x14ac:dyDescent="0.3">
      <c r="B34" s="9">
        <v>43908</v>
      </c>
      <c r="C34" s="4">
        <v>28</v>
      </c>
      <c r="D34" s="10">
        <f>'dpc-covid19-ita-andamento-naz'!L25</f>
        <v>35713</v>
      </c>
      <c r="E34" s="33">
        <f t="shared" si="8"/>
        <v>4207</v>
      </c>
      <c r="F34" s="8">
        <f t="shared" si="0"/>
        <v>34215.111637428374</v>
      </c>
      <c r="G34" s="24">
        <f t="shared" si="1"/>
        <v>4588.4336115685865</v>
      </c>
      <c r="H34" s="10">
        <f t="shared" si="6"/>
        <v>5579.5647755805976</v>
      </c>
      <c r="I34" s="10">
        <f t="shared" si="7"/>
        <v>3597.3024475565753</v>
      </c>
      <c r="J34" s="10">
        <f>'dpc-covid19-ita-andamento-naz'!K25</f>
        <v>2978</v>
      </c>
      <c r="K34" s="27">
        <f t="shared" si="9"/>
        <v>475</v>
      </c>
      <c r="L34" s="8">
        <f t="shared" si="2"/>
        <v>3043.4263616835228</v>
      </c>
      <c r="M34" s="24">
        <f t="shared" si="3"/>
        <v>467.72698189121866</v>
      </c>
      <c r="N34" s="10">
        <f t="shared" si="4"/>
        <v>597.1041955863958</v>
      </c>
      <c r="O34" s="10">
        <f t="shared" si="5"/>
        <v>338.34976819604151</v>
      </c>
      <c r="U34" s="1"/>
    </row>
    <row r="35" spans="2:21" x14ac:dyDescent="0.3">
      <c r="B35" s="9">
        <v>43909</v>
      </c>
      <c r="C35" s="4">
        <v>29</v>
      </c>
      <c r="D35" s="10">
        <f>'dpc-covid19-ita-andamento-naz'!L26</f>
        <v>41035</v>
      </c>
      <c r="E35" s="33">
        <f t="shared" si="8"/>
        <v>5322</v>
      </c>
      <c r="F35" s="8">
        <f t="shared" si="0"/>
        <v>38927.020493432043</v>
      </c>
      <c r="G35" s="24">
        <f t="shared" si="1"/>
        <v>4829.7239047926923</v>
      </c>
      <c r="H35" s="10">
        <f t="shared" si="6"/>
        <v>5820.8550688047035</v>
      </c>
      <c r="I35" s="10">
        <f t="shared" si="7"/>
        <v>3838.5927407806812</v>
      </c>
      <c r="J35" s="10">
        <f>'dpc-covid19-ita-andamento-naz'!K26</f>
        <v>3405</v>
      </c>
      <c r="K35" s="27">
        <f t="shared" si="9"/>
        <v>427</v>
      </c>
      <c r="L35" s="8">
        <f t="shared" si="2"/>
        <v>3532.0964381083577</v>
      </c>
      <c r="M35" s="24">
        <f t="shared" si="3"/>
        <v>509.50073704642114</v>
      </c>
      <c r="N35" s="10">
        <f t="shared" si="4"/>
        <v>638.87795074159828</v>
      </c>
      <c r="O35" s="10">
        <f t="shared" si="5"/>
        <v>380.12352335124399</v>
      </c>
    </row>
    <row r="36" spans="2:21" x14ac:dyDescent="0.3">
      <c r="B36" s="9">
        <v>43910</v>
      </c>
      <c r="C36" s="4">
        <v>30</v>
      </c>
      <c r="D36" s="10">
        <f>'dpc-covid19-ita-andamento-naz'!L27</f>
        <v>47021</v>
      </c>
      <c r="E36" s="33">
        <f t="shared" si="8"/>
        <v>5986</v>
      </c>
      <c r="F36" s="8">
        <f t="shared" si="0"/>
        <v>43862.74945347396</v>
      </c>
      <c r="G36" s="24">
        <f t="shared" si="1"/>
        <v>5035.6173876165976</v>
      </c>
      <c r="H36" s="10">
        <f t="shared" si="6"/>
        <v>6026.7485516286088</v>
      </c>
      <c r="I36" s="10">
        <f t="shared" si="7"/>
        <v>4044.4862236045865</v>
      </c>
      <c r="J36" s="10">
        <f>'dpc-covid19-ita-andamento-naz'!K27</f>
        <v>4032</v>
      </c>
      <c r="K36" s="27">
        <f t="shared" si="9"/>
        <v>627</v>
      </c>
      <c r="L36" s="8">
        <f t="shared" si="2"/>
        <v>4062.1231110408598</v>
      </c>
      <c r="M36" s="24">
        <f t="shared" si="3"/>
        <v>550.36117904818605</v>
      </c>
      <c r="N36" s="10">
        <f t="shared" si="4"/>
        <v>679.73839274336319</v>
      </c>
      <c r="O36" s="10">
        <f t="shared" si="5"/>
        <v>420.9839653530089</v>
      </c>
    </row>
    <row r="37" spans="2:21" x14ac:dyDescent="0.3">
      <c r="B37" s="9">
        <v>43911</v>
      </c>
      <c r="C37" s="4">
        <v>31</v>
      </c>
      <c r="D37" s="10">
        <f>'dpc-covid19-ita-andamento-naz'!L28</f>
        <v>53578</v>
      </c>
      <c r="E37" s="33">
        <f t="shared" si="8"/>
        <v>6557</v>
      </c>
      <c r="F37" s="8">
        <f t="shared" si="0"/>
        <v>48985.697506230565</v>
      </c>
      <c r="G37" s="24">
        <f t="shared" si="1"/>
        <v>5203.869996475386</v>
      </c>
      <c r="H37" s="10">
        <f t="shared" si="6"/>
        <v>6195.0011604873971</v>
      </c>
      <c r="I37" s="10">
        <f t="shared" si="7"/>
        <v>4212.7388324633748</v>
      </c>
      <c r="J37" s="10">
        <f>'dpc-covid19-ita-andamento-naz'!K28</f>
        <v>4825</v>
      </c>
      <c r="K37" s="27">
        <f t="shared" si="9"/>
        <v>793</v>
      </c>
      <c r="L37" s="8">
        <f t="shared" si="2"/>
        <v>4632.3608200083472</v>
      </c>
      <c r="M37" s="24">
        <f t="shared" si="3"/>
        <v>589.84883207504936</v>
      </c>
      <c r="N37" s="10">
        <f t="shared" si="4"/>
        <v>719.22604577022651</v>
      </c>
      <c r="O37" s="10">
        <f t="shared" si="5"/>
        <v>460.47161837987221</v>
      </c>
    </row>
    <row r="38" spans="2:21" x14ac:dyDescent="0.3">
      <c r="B38" s="9">
        <v>43912</v>
      </c>
      <c r="C38" s="4">
        <v>32</v>
      </c>
      <c r="D38" s="10">
        <f>'dpc-covid19-ita-andamento-naz'!L29</f>
        <v>59138</v>
      </c>
      <c r="E38" s="33">
        <f t="shared" si="8"/>
        <v>5560</v>
      </c>
      <c r="F38" s="8">
        <f t="shared" si="0"/>
        <v>54257.507135577362</v>
      </c>
      <c r="G38" s="24">
        <f t="shared" si="1"/>
        <v>5333.2062647280063</v>
      </c>
      <c r="H38" s="10">
        <f t="shared" si="6"/>
        <v>6324.3374287400175</v>
      </c>
      <c r="I38" s="10">
        <f t="shared" si="7"/>
        <v>4342.0751007159952</v>
      </c>
      <c r="J38" s="10">
        <f>'dpc-covid19-ita-andamento-naz'!K29</f>
        <v>5476</v>
      </c>
      <c r="K38" s="27">
        <f t="shared" si="9"/>
        <v>651</v>
      </c>
      <c r="L38" s="8">
        <f t="shared" si="2"/>
        <v>5241.2208971707105</v>
      </c>
      <c r="M38" s="24">
        <f t="shared" si="3"/>
        <v>627.53821506784993</v>
      </c>
      <c r="N38" s="10">
        <f t="shared" si="4"/>
        <v>756.91542876302708</v>
      </c>
      <c r="O38" s="10">
        <f t="shared" si="5"/>
        <v>498.16100137267279</v>
      </c>
    </row>
    <row r="39" spans="2:21" x14ac:dyDescent="0.3">
      <c r="B39" s="22">
        <v>43913</v>
      </c>
      <c r="C39" s="4">
        <v>33</v>
      </c>
      <c r="D39" s="10">
        <f>'dpc-covid19-ita-andamento-naz'!L30</f>
        <v>63927</v>
      </c>
      <c r="E39" s="33">
        <f t="shared" si="8"/>
        <v>4789</v>
      </c>
      <c r="F39" s="8">
        <f t="shared" ref="F39:F70" si="10">t0n*_xlfn.GAMMA.DIST($C39/t0n,wn+1,1,1)*_xlfn.GAMMA(wn+1)</f>
        <v>59639.008385536683</v>
      </c>
      <c r="G39" s="24">
        <f t="shared" ref="G39:G70" si="11">(($C39/t0n)^wn)*EXP(-($C39/t0n))</f>
        <v>5423.2655242603241</v>
      </c>
      <c r="H39" s="10">
        <f t="shared" si="6"/>
        <v>6414.3966882723353</v>
      </c>
      <c r="I39" s="10">
        <f t="shared" si="7"/>
        <v>4432.134360248313</v>
      </c>
      <c r="J39" s="10">
        <f>'dpc-covid19-ita-andamento-naz'!K30</f>
        <v>6077</v>
      </c>
      <c r="K39" s="27">
        <f t="shared" si="9"/>
        <v>601</v>
      </c>
      <c r="L39" s="8">
        <f t="shared" ref="L39:L70" si="12">t0d*_xlfn.GAMMA.DIST($C39/t0d,wd+1,1,1)*_xlfn.GAMMA(wd+1)</f>
        <v>5886.7090638645341</v>
      </c>
      <c r="M39" s="24">
        <f t="shared" ref="M39:M70" si="13">(($C39/t0d)^wd)*EXP(-($C39/t0d))</f>
        <v>663.04457326436705</v>
      </c>
      <c r="N39" s="10">
        <f t="shared" si="4"/>
        <v>792.42178695954419</v>
      </c>
      <c r="O39" s="10">
        <f t="shared" si="5"/>
        <v>533.6673595691899</v>
      </c>
    </row>
    <row r="40" spans="2:21" x14ac:dyDescent="0.3">
      <c r="B40" s="9">
        <v>43914</v>
      </c>
      <c r="C40" s="4">
        <v>34</v>
      </c>
      <c r="D40" s="10">
        <f>'dpc-covid19-ita-andamento-naz'!L31</f>
        <v>69176</v>
      </c>
      <c r="E40" s="33">
        <f t="shared" si="8"/>
        <v>5249</v>
      </c>
      <c r="F40" s="8">
        <f t="shared" si="10"/>
        <v>65091.096101370393</v>
      </c>
      <c r="G40" s="24">
        <f t="shared" si="11"/>
        <v>5474.5232307507576</v>
      </c>
      <c r="H40" s="10">
        <f t="shared" si="6"/>
        <v>6465.6543947627688</v>
      </c>
      <c r="I40" s="10">
        <f t="shared" si="7"/>
        <v>4483.3920667387465</v>
      </c>
      <c r="J40" s="10">
        <f>'dpc-covid19-ita-andamento-naz'!K31</f>
        <v>6820</v>
      </c>
      <c r="K40" s="27">
        <f t="shared" si="9"/>
        <v>743</v>
      </c>
      <c r="L40" s="8">
        <f t="shared" si="12"/>
        <v>6566.4688442898068</v>
      </c>
      <c r="M40" s="24">
        <f t="shared" si="13"/>
        <v>696.02898451816645</v>
      </c>
      <c r="N40" s="10">
        <f t="shared" si="4"/>
        <v>825.4061982133436</v>
      </c>
      <c r="O40" s="10">
        <f t="shared" si="5"/>
        <v>566.65177082298931</v>
      </c>
    </row>
    <row r="41" spans="2:21" x14ac:dyDescent="0.3">
      <c r="B41" s="9">
        <v>43915</v>
      </c>
      <c r="C41" s="4">
        <v>35</v>
      </c>
      <c r="D41" s="10">
        <f>'dpc-covid19-ita-andamento-naz'!L32</f>
        <v>74386</v>
      </c>
      <c r="E41" s="33">
        <f t="shared" si="8"/>
        <v>5210</v>
      </c>
      <c r="F41" s="8">
        <f t="shared" si="10"/>
        <v>70575.518959554785</v>
      </c>
      <c r="G41" s="24">
        <f t="shared" si="11"/>
        <v>5488.1943447322565</v>
      </c>
      <c r="H41" s="10">
        <f t="shared" si="6"/>
        <v>6479.3255087442676</v>
      </c>
      <c r="I41" s="10">
        <f t="shared" si="7"/>
        <v>4497.0631807202453</v>
      </c>
      <c r="J41" s="10">
        <f>'dpc-covid19-ita-andamento-naz'!K32</f>
        <v>7503</v>
      </c>
      <c r="K41" s="27">
        <f t="shared" si="9"/>
        <v>683</v>
      </c>
      <c r="L41" s="8">
        <f t="shared" si="12"/>
        <v>7277.8292906117886</v>
      </c>
      <c r="M41" s="24">
        <f t="shared" si="13"/>
        <v>726.20188777467968</v>
      </c>
      <c r="N41" s="10">
        <f t="shared" si="4"/>
        <v>855.57910146985682</v>
      </c>
      <c r="O41" s="10">
        <f t="shared" si="5"/>
        <v>596.82467407950253</v>
      </c>
    </row>
    <row r="42" spans="2:21" x14ac:dyDescent="0.3">
      <c r="B42" s="9">
        <v>43916</v>
      </c>
      <c r="C42" s="4">
        <v>36</v>
      </c>
      <c r="D42" s="10">
        <f>'dpc-covid19-ita-andamento-naz'!L33</f>
        <v>80539</v>
      </c>
      <c r="E42" s="33">
        <f t="shared" si="8"/>
        <v>6153</v>
      </c>
      <c r="F42" s="8">
        <f t="shared" si="10"/>
        <v>76055.56564192388</v>
      </c>
      <c r="G42" s="24">
        <f t="shared" si="11"/>
        <v>5466.1252733004221</v>
      </c>
      <c r="H42" s="10">
        <f t="shared" si="6"/>
        <v>6457.2564373124333</v>
      </c>
      <c r="I42" s="10">
        <f t="shared" si="7"/>
        <v>4474.994109288411</v>
      </c>
      <c r="J42" s="10">
        <f>'dpc-covid19-ita-andamento-naz'!K33</f>
        <v>8165</v>
      </c>
      <c r="K42" s="27">
        <f t="shared" si="9"/>
        <v>662</v>
      </c>
      <c r="L42" s="8">
        <f t="shared" si="12"/>
        <v>8017.8554843960492</v>
      </c>
      <c r="M42" s="24">
        <f t="shared" si="13"/>
        <v>753.32512572227438</v>
      </c>
      <c r="N42" s="10">
        <f t="shared" si="4"/>
        <v>882.70233941745153</v>
      </c>
      <c r="O42" s="10">
        <f t="shared" si="5"/>
        <v>623.94791202709723</v>
      </c>
    </row>
    <row r="43" spans="2:21" x14ac:dyDescent="0.3">
      <c r="B43" s="9">
        <v>43917</v>
      </c>
      <c r="C43" s="4">
        <v>37</v>
      </c>
      <c r="D43" s="10">
        <f>'dpc-covid19-ita-andamento-naz'!L34</f>
        <v>86498</v>
      </c>
      <c r="E43" s="33">
        <f t="shared" si="8"/>
        <v>5959</v>
      </c>
      <c r="F43" s="8">
        <f t="shared" si="10"/>
        <v>81496.639696784041</v>
      </c>
      <c r="G43" s="24">
        <f t="shared" si="11"/>
        <v>5410.6802107520643</v>
      </c>
      <c r="H43" s="10">
        <f t="shared" si="6"/>
        <v>6401.8113747640755</v>
      </c>
      <c r="I43" s="10">
        <f t="shared" si="7"/>
        <v>4419.5490467400532</v>
      </c>
      <c r="J43" s="10">
        <f>'dpc-covid19-ita-andamento-naz'!K34</f>
        <v>9134</v>
      </c>
      <c r="K43" s="27">
        <f t="shared" si="9"/>
        <v>969</v>
      </c>
      <c r="L43" s="8">
        <f t="shared" si="12"/>
        <v>8783.4003889881969</v>
      </c>
      <c r="M43" s="24">
        <f t="shared" si="13"/>
        <v>777.21262720382106</v>
      </c>
      <c r="N43" s="10">
        <f t="shared" si="4"/>
        <v>906.5898408989982</v>
      </c>
      <c r="O43" s="10">
        <f t="shared" si="5"/>
        <v>647.83541350864391</v>
      </c>
    </row>
    <row r="44" spans="2:21" x14ac:dyDescent="0.3">
      <c r="B44" s="9">
        <v>43918</v>
      </c>
      <c r="C44" s="4">
        <v>38</v>
      </c>
      <c r="D44" s="10">
        <f>'dpc-covid19-ita-andamento-naz'!L35</f>
        <v>92472</v>
      </c>
      <c r="E44" s="33">
        <f t="shared" si="8"/>
        <v>5974</v>
      </c>
      <c r="F44" s="8">
        <f t="shared" si="10"/>
        <v>86866.720069588788</v>
      </c>
      <c r="G44" s="24">
        <f t="shared" si="11"/>
        <v>5324.6269016027081</v>
      </c>
      <c r="H44" s="10">
        <f t="shared" si="6"/>
        <v>6315.7580656147193</v>
      </c>
      <c r="I44" s="10">
        <f>MAX(G44-CIn,0)</f>
        <v>4333.495737590697</v>
      </c>
      <c r="J44" s="10">
        <f>'dpc-covid19-ita-andamento-naz'!K35</f>
        <v>10023</v>
      </c>
      <c r="K44" s="27">
        <f t="shared" si="9"/>
        <v>889</v>
      </c>
      <c r="L44" s="8">
        <f t="shared" si="12"/>
        <v>9571.1567655183244</v>
      </c>
      <c r="M44" s="24">
        <f t="shared" si="13"/>
        <v>797.72987832333058</v>
      </c>
      <c r="N44" s="10">
        <f t="shared" si="4"/>
        <v>927.10709201850773</v>
      </c>
      <c r="O44" s="10">
        <f t="shared" si="5"/>
        <v>668.35266462815343</v>
      </c>
    </row>
    <row r="45" spans="2:21" x14ac:dyDescent="0.3">
      <c r="B45" s="9">
        <v>43919</v>
      </c>
      <c r="C45" s="4">
        <v>39</v>
      </c>
      <c r="D45" s="10">
        <f>'dpc-covid19-ita-andamento-naz'!L36</f>
        <v>97689</v>
      </c>
      <c r="E45" s="33">
        <f t="shared" si="8"/>
        <v>5217</v>
      </c>
      <c r="F45" s="8">
        <f t="shared" si="10"/>
        <v>92136.708869297523</v>
      </c>
      <c r="G45" s="24">
        <f t="shared" si="11"/>
        <v>5211.0259633619398</v>
      </c>
      <c r="H45" s="10">
        <f>G45+CIn</f>
        <v>6202.157127373951</v>
      </c>
      <c r="I45" s="10">
        <f>MAX(G45-CIn,0)</f>
        <v>4219.8947993499287</v>
      </c>
      <c r="J45" s="10">
        <f>'dpc-covid19-ita-andamento-naz'!K36</f>
        <v>10779</v>
      </c>
      <c r="K45" s="27">
        <f t="shared" si="9"/>
        <v>756</v>
      </c>
      <c r="L45" s="8">
        <f t="shared" si="12"/>
        <v>10377.708021972094</v>
      </c>
      <c r="M45" s="24">
        <f t="shared" si="13"/>
        <v>814.7923454194397</v>
      </c>
      <c r="N45" s="10">
        <f t="shared" si="4"/>
        <v>944.16955911461685</v>
      </c>
      <c r="O45" s="10">
        <f t="shared" si="5"/>
        <v>685.41513172426255</v>
      </c>
    </row>
    <row r="46" spans="2:21" x14ac:dyDescent="0.3">
      <c r="B46" s="9">
        <v>43920</v>
      </c>
      <c r="C46" s="4">
        <v>40</v>
      </c>
      <c r="D46" s="10">
        <f>'dpc-covid19-ita-andamento-naz'!L37</f>
        <v>101739</v>
      </c>
      <c r="E46" s="33">
        <f t="shared" si="8"/>
        <v>4050</v>
      </c>
      <c r="F46" s="8">
        <f t="shared" si="10"/>
        <v>97280.671624841969</v>
      </c>
      <c r="G46" s="24">
        <f t="shared" si="11"/>
        <v>5073.1270111061267</v>
      </c>
      <c r="H46" s="10">
        <f>G46+CIn</f>
        <v>6064.2581751181378</v>
      </c>
      <c r="I46" s="10">
        <f>MAX(G46-CIn,0)</f>
        <v>4081.9958470941156</v>
      </c>
      <c r="J46" s="10">
        <f>'dpc-covid19-ita-andamento-naz'!K37</f>
        <v>11591</v>
      </c>
      <c r="K46" s="27">
        <f t="shared" si="9"/>
        <v>812</v>
      </c>
      <c r="L46" s="8">
        <f t="shared" si="12"/>
        <v>11199.577031728781</v>
      </c>
      <c r="M46" s="24">
        <f t="shared" si="13"/>
        <v>828.3630194466956</v>
      </c>
      <c r="N46" s="10">
        <f>M46+CId</f>
        <v>957.74023314187275</v>
      </c>
      <c r="O46" s="10">
        <f>MAX(M46-CId,0)</f>
        <v>698.98580575151846</v>
      </c>
    </row>
    <row r="47" spans="2:21" x14ac:dyDescent="0.3">
      <c r="B47" s="9">
        <v>43921</v>
      </c>
      <c r="C47" s="4">
        <v>41</v>
      </c>
      <c r="D47" s="10">
        <f>'dpc-covid19-ita-andamento-naz'!L38</f>
        <v>105792</v>
      </c>
      <c r="E47" s="33">
        <f t="shared" si="8"/>
        <v>4053</v>
      </c>
      <c r="F47" s="8">
        <f t="shared" si="10"/>
        <v>102275.9780946801</v>
      </c>
      <c r="G47" s="24">
        <f t="shared" si="11"/>
        <v>4914.2739684229919</v>
      </c>
      <c r="H47" s="10">
        <f>G47+CIn</f>
        <v>5905.405132435003</v>
      </c>
      <c r="I47" s="10">
        <f>MAX(G47-CIn,0)</f>
        <v>3923.1428044109807</v>
      </c>
      <c r="J47" s="10">
        <f>'dpc-covid19-ita-andamento-naz'!K38</f>
        <v>12428</v>
      </c>
      <c r="K47" s="27">
        <f t="shared" si="9"/>
        <v>837</v>
      </c>
      <c r="L47" s="8">
        <f t="shared" si="12"/>
        <v>12033.272127898834</v>
      </c>
      <c r="M47" s="24">
        <f t="shared" si="13"/>
        <v>838.44925109981114</v>
      </c>
      <c r="N47" s="10">
        <f>M47+CId</f>
        <v>967.82646479498828</v>
      </c>
      <c r="O47" s="10">
        <f>MAX(M47-CId,0)</f>
        <v>709.07203740463399</v>
      </c>
    </row>
    <row r="48" spans="2:21" x14ac:dyDescent="0.3">
      <c r="B48" s="9">
        <v>43922</v>
      </c>
      <c r="C48" s="4">
        <v>42</v>
      </c>
      <c r="D48" s="10">
        <f>'dpc-covid19-ita-andamento-naz'!L39</f>
        <v>110574</v>
      </c>
      <c r="E48" s="33">
        <f t="shared" si="8"/>
        <v>4782</v>
      </c>
      <c r="F48" s="8">
        <f t="shared" si="10"/>
        <v>107103.35367692179</v>
      </c>
      <c r="G48" s="24">
        <f t="shared" si="11"/>
        <v>4737.8211631717768</v>
      </c>
      <c r="H48" s="10">
        <f>G48+CIn</f>
        <v>5728.9523271837879</v>
      </c>
      <c r="I48" s="10">
        <f>MAX(G48-CIn,0)</f>
        <v>3746.6899991597656</v>
      </c>
      <c r="J48" s="10">
        <f>'dpc-covid19-ita-andamento-naz'!K39</f>
        <v>13155</v>
      </c>
      <c r="K48" s="27">
        <f t="shared" si="9"/>
        <v>727</v>
      </c>
      <c r="L48" s="8">
        <f t="shared" si="12"/>
        <v>12875.32964676528</v>
      </c>
      <c r="M48" s="24">
        <f t="shared" si="13"/>
        <v>845.0990405092316</v>
      </c>
      <c r="N48" s="10">
        <f>M48+CId</f>
        <v>974.47625420440875</v>
      </c>
      <c r="O48" s="10">
        <f>MAX(M48-CId,0)</f>
        <v>715.72182681405445</v>
      </c>
    </row>
    <row r="49" spans="2:13" x14ac:dyDescent="0.3">
      <c r="B49" s="9">
        <v>43923</v>
      </c>
      <c r="C49" s="4">
        <v>43</v>
      </c>
      <c r="E49" s="33"/>
      <c r="F49" s="8">
        <f t="shared" si="10"/>
        <v>111746.85271093986</v>
      </c>
      <c r="G49" s="24">
        <f t="shared" si="11"/>
        <v>4547.0611131745882</v>
      </c>
      <c r="K49" s="27"/>
      <c r="L49" s="8">
        <f t="shared" si="12"/>
        <v>13722.352552954206</v>
      </c>
      <c r="M49" s="24">
        <f t="shared" si="13"/>
        <v>848.39693573440468</v>
      </c>
    </row>
    <row r="50" spans="2:13" x14ac:dyDescent="0.3">
      <c r="B50" s="9">
        <v>43924</v>
      </c>
      <c r="C50" s="4">
        <v>44</v>
      </c>
      <c r="E50" s="33"/>
      <c r="F50" s="8">
        <f t="shared" si="10"/>
        <v>116193.76556301044</v>
      </c>
      <c r="G50" s="24">
        <f t="shared" si="11"/>
        <v>4345.1643178484865</v>
      </c>
      <c r="K50" s="27"/>
      <c r="L50" s="8">
        <f t="shared" si="12"/>
        <v>14571.044827095979</v>
      </c>
      <c r="M50" s="24">
        <f t="shared" si="13"/>
        <v>848.4596816879847</v>
      </c>
    </row>
    <row r="51" spans="2:13" x14ac:dyDescent="0.3">
      <c r="B51" s="9">
        <v>43925</v>
      </c>
      <c r="C51" s="4">
        <v>45</v>
      </c>
      <c r="E51" s="33"/>
      <c r="F51" s="8">
        <f t="shared" si="10"/>
        <v>120434.47145485684</v>
      </c>
      <c r="G51" s="24">
        <f t="shared" si="11"/>
        <v>4135.1308902948967</v>
      </c>
      <c r="K51" s="27"/>
      <c r="L51" s="8">
        <f t="shared" si="12"/>
        <v>15418.241431200098</v>
      </c>
      <c r="M51" s="24">
        <f t="shared" si="13"/>
        <v>845.43174652062112</v>
      </c>
    </row>
    <row r="52" spans="2:13" x14ac:dyDescent="0.3">
      <c r="B52" s="9">
        <v>43926</v>
      </c>
      <c r="C52" s="4">
        <v>46</v>
      </c>
      <c r="E52" s="33"/>
      <c r="F52" s="8">
        <f t="shared" si="10"/>
        <v>124462.24863168004</v>
      </c>
      <c r="G52" s="24">
        <f t="shared" si="11"/>
        <v>3919.753487751434</v>
      </c>
      <c r="K52" s="27"/>
      <c r="L52" s="8">
        <f t="shared" si="12"/>
        <v>16260.933786178659</v>
      </c>
      <c r="M52" s="24">
        <f t="shared" si="13"/>
        <v>839.48083672989731</v>
      </c>
    </row>
    <row r="53" spans="2:13" x14ac:dyDescent="0.3">
      <c r="B53" s="9">
        <v>43927</v>
      </c>
      <c r="C53" s="4">
        <v>47</v>
      </c>
      <c r="E53" s="33"/>
      <c r="F53" s="8">
        <f t="shared" si="10"/>
        <v>128273.05277698404</v>
      </c>
      <c r="G53" s="24">
        <f t="shared" si="11"/>
        <v>3701.5907194729671</v>
      </c>
      <c r="K53" s="27"/>
      <c r="L53" s="8">
        <f t="shared" si="12"/>
        <v>17096.290799119892</v>
      </c>
      <c r="M53" s="24">
        <f t="shared" si="13"/>
        <v>830.79349604066408</v>
      </c>
    </row>
    <row r="54" spans="2:13" x14ac:dyDescent="0.3">
      <c r="B54" s="9">
        <v>43928</v>
      </c>
      <c r="C54" s="4">
        <v>48</v>
      </c>
      <c r="E54" s="33"/>
      <c r="F54" s="8">
        <f t="shared" si="10"/>
        <v>131865.27365819353</v>
      </c>
      <c r="G54" s="24">
        <f t="shared" si="11"/>
        <v>3482.9500200581692</v>
      </c>
      <c r="K54" s="27"/>
      <c r="L54" s="8">
        <f t="shared" si="12"/>
        <v>17921.675564886104</v>
      </c>
      <c r="M54" s="24">
        <f t="shared" si="13"/>
        <v>819.57086701830985</v>
      </c>
    </row>
    <row r="55" spans="2:13" x14ac:dyDescent="0.3">
      <c r="B55" s="9">
        <v>43929</v>
      </c>
      <c r="C55" s="4">
        <v>49</v>
      </c>
      <c r="E55" s="33"/>
      <c r="F55" s="8">
        <f t="shared" si="10"/>
        <v>135239.47891180063</v>
      </c>
      <c r="G55" s="24">
        <f t="shared" si="11"/>
        <v>3265.8788613552329</v>
      </c>
      <c r="K55" s="27"/>
      <c r="L55" s="8">
        <f t="shared" si="12"/>
        <v>18734.657937757907</v>
      </c>
      <c r="M55" s="24">
        <f t="shared" si="13"/>
        <v>806.02467887878436</v>
      </c>
    </row>
    <row r="56" spans="2:13" x14ac:dyDescent="0.3">
      <c r="B56" s="9">
        <v>43930</v>
      </c>
      <c r="C56" s="4">
        <v>50</v>
      </c>
      <c r="E56" s="33"/>
      <c r="F56" s="8">
        <f t="shared" si="10"/>
        <v>138398.15271960682</v>
      </c>
      <c r="G56" s="24">
        <f t="shared" si="11"/>
        <v>3052.163125109375</v>
      </c>
      <c r="K56" s="27"/>
      <c r="L56" s="8">
        <f t="shared" si="12"/>
        <v>19533.023224938646</v>
      </c>
      <c r="M56" s="24">
        <f t="shared" si="13"/>
        <v>790.37351039446571</v>
      </c>
    </row>
    <row r="57" spans="2:13" x14ac:dyDescent="0.3">
      <c r="B57" s="9">
        <v>43931</v>
      </c>
      <c r="C57" s="4">
        <v>51</v>
      </c>
      <c r="E57" s="33"/>
      <c r="F57" s="8">
        <f t="shared" si="10"/>
        <v>141345.43594637307</v>
      </c>
      <c r="G57" s="24">
        <f t="shared" si="11"/>
        <v>2843.3314593158607</v>
      </c>
      <c r="K57" s="27"/>
      <c r="L57" s="8">
        <f t="shared" si="12"/>
        <v>20314.777295833144</v>
      </c>
      <c r="M57" s="24">
        <f t="shared" si="13"/>
        <v>772.83936340878176</v>
      </c>
    </row>
    <row r="58" spans="2:13" x14ac:dyDescent="0.3">
      <c r="B58" s="9">
        <v>43932</v>
      </c>
      <c r="C58" s="4">
        <v>52</v>
      </c>
      <c r="E58" s="33"/>
      <c r="F58" s="8">
        <f t="shared" si="10"/>
        <v>144086.87314979039</v>
      </c>
      <c r="G58" s="24">
        <f t="shared" si="11"/>
        <v>2640.6644823350643</v>
      </c>
      <c r="K58" s="27"/>
      <c r="L58" s="8">
        <f t="shared" si="12"/>
        <v>21078.148430386664</v>
      </c>
      <c r="M58" s="24">
        <f t="shared" si="13"/>
        <v>753.64457042387437</v>
      </c>
    </row>
    <row r="59" spans="2:13" x14ac:dyDescent="0.3">
      <c r="B59" s="9">
        <v>43933</v>
      </c>
      <c r="C59" s="4">
        <v>53</v>
      </c>
      <c r="E59" s="33"/>
      <c r="F59" s="8">
        <f t="shared" si="10"/>
        <v>146629.17077112847</v>
      </c>
      <c r="G59" s="24">
        <f t="shared" si="11"/>
        <v>2445.2077697588502</v>
      </c>
      <c r="K59" s="27"/>
      <c r="L59" s="8">
        <f t="shared" si="12"/>
        <v>21821.586247802992</v>
      </c>
      <c r="M59" s="24">
        <f t="shared" si="13"/>
        <v>733.00904910100826</v>
      </c>
    </row>
    <row r="60" spans="2:13" x14ac:dyDescent="0.3">
      <c r="B60" s="9">
        <v>43934</v>
      </c>
      <c r="C60" s="4">
        <v>54</v>
      </c>
      <c r="E60" s="33"/>
      <c r="F60" s="8">
        <f t="shared" si="10"/>
        <v>148979.96979431607</v>
      </c>
      <c r="G60" s="24">
        <f t="shared" si="11"/>
        <v>2257.7876505770273</v>
      </c>
      <c r="K60" s="27"/>
      <c r="L60" s="8">
        <f t="shared" si="12"/>
        <v>22543.758065090064</v>
      </c>
      <c r="M60" s="24">
        <f t="shared" si="13"/>
        <v>711.14790733945517</v>
      </c>
    </row>
    <row r="61" spans="2:13" x14ac:dyDescent="0.3">
      <c r="B61" s="9">
        <v>43935</v>
      </c>
      <c r="C61" s="4">
        <v>55</v>
      </c>
      <c r="E61" s="33"/>
      <c r="F61" s="8">
        <f t="shared" si="10"/>
        <v>151147.6352391422</v>
      </c>
      <c r="G61" s="24">
        <f t="shared" si="11"/>
        <v>2079.0289435067998</v>
      </c>
      <c r="K61" s="27"/>
      <c r="L61" s="8">
        <f t="shared" si="12"/>
        <v>23243.543034560636</v>
      </c>
      <c r="M61" s="24">
        <f t="shared" si="13"/>
        <v>688.26939485457024</v>
      </c>
    </row>
    <row r="62" spans="2:13" x14ac:dyDescent="0.3">
      <c r="B62" s="9">
        <v>43936</v>
      </c>
      <c r="C62" s="4">
        <v>56</v>
      </c>
      <c r="E62" s="33"/>
      <c r="F62" s="8">
        <f t="shared" si="10"/>
        <v>153141.0640401206</v>
      </c>
      <c r="G62" s="24">
        <f t="shared" si="11"/>
        <v>1909.3738748888968</v>
      </c>
      <c r="K62" s="27"/>
      <c r="L62" s="8">
        <f t="shared" si="12"/>
        <v>23920.024402035757</v>
      </c>
      <c r="M62" s="24">
        <f t="shared" si="13"/>
        <v>664.57319080190291</v>
      </c>
    </row>
    <row r="63" spans="2:13" x14ac:dyDescent="0.3">
      <c r="B63" s="9">
        <v>43937</v>
      </c>
      <c r="C63" s="4">
        <v>57</v>
      </c>
      <c r="E63" s="33"/>
      <c r="F63" s="8">
        <f t="shared" si="10"/>
        <v>154969.51215983098</v>
      </c>
      <c r="G63" s="24">
        <f t="shared" si="11"/>
        <v>1749.1015310862554</v>
      </c>
      <c r="K63" s="27"/>
      <c r="L63" s="8">
        <f t="shared" si="12"/>
        <v>24572.480214399493</v>
      </c>
      <c r="M63" s="24">
        <f t="shared" si="13"/>
        <v>640.24901190541823</v>
      </c>
    </row>
    <row r="64" spans="2:13" x14ac:dyDescent="0.3">
      <c r="B64" s="9">
        <v>43938</v>
      </c>
      <c r="C64" s="4">
        <v>58</v>
      </c>
      <c r="E64" s="33"/>
      <c r="F64" s="8">
        <f t="shared" si="10"/>
        <v>156642.44119311846</v>
      </c>
      <c r="G64" s="24">
        <f t="shared" si="11"/>
        <v>1598.3473067947145</v>
      </c>
      <c r="K64" s="27"/>
      <c r="L64" s="8">
        <f t="shared" si="12"/>
        <v>25200.372787563956</v>
      </c>
      <c r="M64" s="24">
        <f t="shared" si="13"/>
        <v>615.47552164001684</v>
      </c>
    </row>
    <row r="65" spans="2:13" x14ac:dyDescent="0.3">
      <c r="B65" s="9">
        <v>43939</v>
      </c>
      <c r="C65" s="4">
        <v>59</v>
      </c>
      <c r="E65" s="33"/>
      <c r="F65" s="8">
        <f t="shared" si="10"/>
        <v>158169.38423176031</v>
      </c>
      <c r="G65" s="24">
        <f t="shared" si="11"/>
        <v>1457.1219131035482</v>
      </c>
      <c r="K65" s="27"/>
      <c r="L65" s="8">
        <f t="shared" si="12"/>
        <v>25803.337224947547</v>
      </c>
      <c r="M65" s="24">
        <f t="shared" si="13"/>
        <v>590.41951817541599</v>
      </c>
    </row>
    <row r="66" spans="2:13" x14ac:dyDescent="0.3">
      <c r="B66" s="9">
        <v>43940</v>
      </c>
      <c r="C66" s="4">
        <v>60</v>
      </c>
      <c r="E66" s="33"/>
      <c r="F66" s="8">
        <f t="shared" si="10"/>
        <v>159559.83037094233</v>
      </c>
      <c r="G66" s="24">
        <f t="shared" si="11"/>
        <v>1325.3296034569817</v>
      </c>
      <c r="K66" s="27"/>
      <c r="L66" s="8">
        <f t="shared" si="12"/>
        <v>26381.169253254004</v>
      </c>
      <c r="M66" s="24">
        <f t="shared" si="13"/>
        <v>565.23537688753879</v>
      </c>
    </row>
    <row r="67" spans="2:13" x14ac:dyDescent="0.3">
      <c r="B67" s="9">
        <v>43941</v>
      </c>
      <c r="C67" s="4">
        <v>61</v>
      </c>
      <c r="E67" s="33"/>
      <c r="F67" s="8">
        <f t="shared" si="10"/>
        <v>160823.12694031274</v>
      </c>
      <c r="G67" s="24">
        <f t="shared" si="11"/>
        <v>1202.7853605723431</v>
      </c>
      <c r="K67" s="27"/>
      <c r="L67" s="8">
        <f t="shared" si="12"/>
        <v>26933.81261754068</v>
      </c>
      <c r="M67" s="24">
        <f t="shared" si="13"/>
        <v>540.06472216208954</v>
      </c>
    </row>
    <row r="68" spans="2:13" x14ac:dyDescent="0.3">
      <c r="B68" s="9">
        <v>43942</v>
      </c>
      <c r="C68" s="4">
        <v>62</v>
      </c>
      <c r="E68" s="33"/>
      <c r="F68" s="8">
        <f t="shared" si="10"/>
        <v>161968.39832370632</v>
      </c>
      <c r="G68" s="24">
        <f t="shared" si="11"/>
        <v>1089.2308622065818</v>
      </c>
      <c r="K68" s="27"/>
      <c r="L68" s="8">
        <f t="shared" si="12"/>
        <v>27461.34625204527</v>
      </c>
      <c r="M68" s="24">
        <f t="shared" si="13"/>
        <v>515.03630283182804</v>
      </c>
    </row>
    <row r="69" spans="2:13" x14ac:dyDescent="0.3">
      <c r="B69" s="9">
        <v>43943</v>
      </c>
      <c r="C69" s="4">
        <v>63</v>
      </c>
      <c r="E69" s="33"/>
      <c r="F69" s="8">
        <f t="shared" si="10"/>
        <v>163004.48008267762</v>
      </c>
      <c r="G69" s="24">
        <f t="shared" si="11"/>
        <v>984.34910827505848</v>
      </c>
      <c r="K69" s="27"/>
      <c r="L69" s="8">
        <f t="shared" si="12"/>
        <v>27963.971417637425</v>
      </c>
      <c r="M69" s="24">
        <f t="shared" si="13"/>
        <v>490.26604578931921</v>
      </c>
    </row>
    <row r="70" spans="2:13" x14ac:dyDescent="0.3">
      <c r="B70" s="9">
        <v>43944</v>
      </c>
      <c r="C70" s="4">
        <v>64</v>
      </c>
      <c r="E70" s="33"/>
      <c r="F70" s="8">
        <f t="shared" si="10"/>
        <v>163939.8670096093</v>
      </c>
      <c r="G70" s="24">
        <f t="shared" si="11"/>
        <v>887.77764644712215</v>
      </c>
      <c r="K70" s="27"/>
      <c r="L70" s="8">
        <f t="shared" si="12"/>
        <v>28441.99897160591</v>
      </c>
      <c r="M70" s="24">
        <f t="shared" si="13"/>
        <v>465.85726299252553</v>
      </c>
    </row>
    <row r="71" spans="2:13" x14ac:dyDescent="0.3">
      <c r="B71" s="9"/>
      <c r="C71" s="4"/>
    </row>
    <row r="72" spans="2:13" x14ac:dyDescent="0.3">
      <c r="B72" s="9"/>
      <c r="C72" s="4"/>
    </row>
  </sheetData>
  <pageMargins left="0.7" right="0.7" top="0.75" bottom="0.75" header="0.3" footer="0.3"/>
  <drawing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05EB14-AEBC-4B5D-B827-B6FF39F422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40</vt:i4>
      </vt:variant>
    </vt:vector>
  </HeadingPairs>
  <TitlesOfParts>
    <vt:vector size="43" baseType="lpstr">
      <vt:lpstr>dpc-covid19-ita-andamento-naz</vt:lpstr>
      <vt:lpstr>Cumul_confirmed - Power law fit</vt:lpstr>
      <vt:lpstr>New_confirmed - Power law fit</vt:lpstr>
      <vt:lpstr>CI</vt:lpstr>
      <vt:lpstr>CId</vt:lpstr>
      <vt:lpstr>CIh</vt:lpstr>
      <vt:lpstr>CIn</vt:lpstr>
      <vt:lpstr>Critical_t</vt:lpstr>
      <vt:lpstr>Critical_td</vt:lpstr>
      <vt:lpstr>Critical_th</vt:lpstr>
      <vt:lpstr>Critical_tn</vt:lpstr>
      <vt:lpstr>df</vt:lpstr>
      <vt:lpstr>dfd</vt:lpstr>
      <vt:lpstr>dfh</vt:lpstr>
      <vt:lpstr>dfn</vt:lpstr>
      <vt:lpstr>K</vt:lpstr>
      <vt:lpstr>K_end</vt:lpstr>
      <vt:lpstr>K_start</vt:lpstr>
      <vt:lpstr>Kd</vt:lpstr>
      <vt:lpstr>Kh</vt:lpstr>
      <vt:lpstr>Kn</vt:lpstr>
      <vt:lpstr>M_end</vt:lpstr>
      <vt:lpstr>M_start</vt:lpstr>
      <vt:lpstr>Mean_of_y</vt:lpstr>
      <vt:lpstr>Mean_of_yd</vt:lpstr>
      <vt:lpstr>Mean_of_yh</vt:lpstr>
      <vt:lpstr>Mean_of_yn</vt:lpstr>
      <vt:lpstr>RSQ</vt:lpstr>
      <vt:lpstr>RSQd</vt:lpstr>
      <vt:lpstr>RSQh</vt:lpstr>
      <vt:lpstr>RSQn</vt:lpstr>
      <vt:lpstr>SE_of_y</vt:lpstr>
      <vt:lpstr>SE_of_yd</vt:lpstr>
      <vt:lpstr>SE_of_yh</vt:lpstr>
      <vt:lpstr>SE_of_yn</vt:lpstr>
      <vt:lpstr>t0</vt:lpstr>
      <vt:lpstr>t0d</vt:lpstr>
      <vt:lpstr>t0h</vt:lpstr>
      <vt:lpstr>t0n</vt:lpstr>
      <vt:lpstr>w</vt:lpstr>
      <vt:lpstr>wd</vt:lpstr>
      <vt:lpstr>wh</vt:lpstr>
      <vt:lpstr>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 Franco Nali</dc:creator>
  <cp:lastModifiedBy>ampfn</cp:lastModifiedBy>
  <dcterms:created xsi:type="dcterms:W3CDTF">2015-06-05T18:17:20Z</dcterms:created>
  <dcterms:modified xsi:type="dcterms:W3CDTF">2020-04-02T00:35:18Z</dcterms:modified>
</cp:coreProperties>
</file>